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青田　晋也（福祉総合評価機構）\Documents\"/>
    </mc:Choice>
  </mc:AlternateContent>
  <xr:revisionPtr revIDLastSave="0" documentId="13_ncr:1_{043259AD-86DE-4918-8D39-AE19C49FB747}" xr6:coauthVersionLast="47" xr6:coauthVersionMax="47" xr10:uidLastSave="{00000000-0000-0000-0000-000000000000}"/>
  <bookViews>
    <workbookView xWindow="-120" yWindow="-120" windowWidth="20730" windowHeight="11310" tabRatio="875" activeTab="19" xr2:uid="{258E8E91-B43C-4F1C-93FF-EF0DE4E7BC47}"/>
  </bookViews>
  <sheets>
    <sheet name="基本情報" sheetId="1" r:id="rId1"/>
    <sheet name="児童数" sheetId="24" r:id="rId2"/>
    <sheet name="事業費・管理費" sheetId="46" state="hidden" r:id="rId3"/>
    <sheet name="月途中入退所情報" sheetId="41" r:id="rId4"/>
    <sheet name="加算と減算" sheetId="19" r:id="rId5"/>
    <sheet name="単価表" sheetId="29" state="hidden" r:id="rId6"/>
    <sheet name="5月" sheetId="30" state="hidden" r:id="rId7"/>
    <sheet name="6月" sheetId="31" state="hidden" r:id="rId8"/>
    <sheet name="7月" sheetId="32" state="hidden" r:id="rId9"/>
    <sheet name="8月" sheetId="33" state="hidden" r:id="rId10"/>
    <sheet name="9月" sheetId="34" state="hidden" r:id="rId11"/>
    <sheet name="10月" sheetId="35" state="hidden" r:id="rId12"/>
    <sheet name="11月" sheetId="36" state="hidden" r:id="rId13"/>
    <sheet name="12月" sheetId="37" state="hidden" r:id="rId14"/>
    <sheet name="1月" sheetId="38" state="hidden" r:id="rId15"/>
    <sheet name="4月" sheetId="22" state="hidden" r:id="rId16"/>
    <sheet name="2月" sheetId="39" state="hidden" r:id="rId17"/>
    <sheet name="3月" sheetId="40" state="hidden" r:id="rId18"/>
    <sheet name="処遇Ⅱ" sheetId="20" r:id="rId19"/>
    <sheet name="集計" sheetId="16" r:id="rId20"/>
    <sheet name="内訳計算" sheetId="47" state="hidden" r:id="rId21"/>
    <sheet name="処遇Ⅰ計算用" sheetId="43" state="hidden" r:id="rId22"/>
    <sheet name="定員超過減算率" sheetId="27" state="hidden" r:id="rId23"/>
  </sheets>
  <externalReferences>
    <externalReference r:id="rId24"/>
  </externalReferences>
  <definedNames>
    <definedName name="_xlnm._FilterDatabase" localSheetId="0" hidden="1">基本情報!#REF!</definedName>
    <definedName name="_xlnm._FilterDatabase" localSheetId="5" hidden="1">単価表!$A$7:$AW$482</definedName>
    <definedName name="_xlnm.Print_Area" localSheetId="11">'10月'!$A$1:$AG$101</definedName>
    <definedName name="_xlnm.Print_Area" localSheetId="12">'11月'!$A$1:$AG$101</definedName>
    <definedName name="_xlnm.Print_Area" localSheetId="13">'12月'!$A$1:$AG$101</definedName>
    <definedName name="_xlnm.Print_Area" localSheetId="14">'1月'!$A$1:$AG$101</definedName>
    <definedName name="_xlnm.Print_Area" localSheetId="16">'2月'!$A$1:$AG$101</definedName>
    <definedName name="_xlnm.Print_Area" localSheetId="17">'3月'!$A$1:$AG$107</definedName>
    <definedName name="_xlnm.Print_Area" localSheetId="15">'4月'!$A$1:$AG$101</definedName>
    <definedName name="_xlnm.Print_Area" localSheetId="6">'5月'!$A$1:$AG$101</definedName>
    <definedName name="_xlnm.Print_Area" localSheetId="7">'6月'!$A$1:$AG$101</definedName>
    <definedName name="_xlnm.Print_Area" localSheetId="8">'7月'!$A$1:$AG$101</definedName>
    <definedName name="_xlnm.Print_Area" localSheetId="9">'8月'!$A$1:$AG$101</definedName>
    <definedName name="_xlnm.Print_Area" localSheetId="10">'9月'!$A$1:$AG$101</definedName>
    <definedName name="_xlnm.Print_Area" localSheetId="4">加算と減算!$A$1:$Q$32</definedName>
    <definedName name="_xlnm.Print_Area" localSheetId="3">月途中入退所情報!$A$1:$T$50</definedName>
    <definedName name="_xlnm.Print_Area" localSheetId="21">処遇Ⅰ計算用!$A$1:$T$95</definedName>
    <definedName name="_xlnm.Print_Area" localSheetId="5">単価表!$AY$57:$CC$79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107" i="47" l="1"/>
  <c r="AY107" i="47" a="1"/>
  <c r="AY107" i="47" s="1"/>
  <c r="AX107" i="47" a="1"/>
  <c r="AX107" i="47" s="1"/>
  <c r="AW107" i="47" a="1"/>
  <c r="AW107" i="47" s="1"/>
  <c r="AV107" i="47" a="1"/>
  <c r="AV107" i="47" s="1"/>
  <c r="AU107" i="47" a="1"/>
  <c r="AU107" i="47" s="1"/>
  <c r="AT107" i="47" a="1"/>
  <c r="AT107" i="47" s="1"/>
  <c r="AS107" i="47" a="1"/>
  <c r="AS107" i="47" s="1"/>
  <c r="AR107" i="47" a="1"/>
  <c r="AR107" i="47" s="1"/>
  <c r="AQ107" i="47" a="1"/>
  <c r="AQ107" i="47" s="1"/>
  <c r="AP107" i="47" a="1"/>
  <c r="AP107" i="47" s="1"/>
  <c r="AO107" i="47" a="1"/>
  <c r="AO107" i="47" s="1"/>
  <c r="AN107" i="47" a="1"/>
  <c r="AN107" i="47" s="1"/>
  <c r="AM107" i="47" a="1"/>
  <c r="AM107" i="47" s="1"/>
  <c r="AL107" i="47" a="1"/>
  <c r="AL107" i="47" s="1"/>
  <c r="AK107" i="47" a="1"/>
  <c r="AK107" i="47" s="1"/>
  <c r="AJ107" i="47" a="1"/>
  <c r="AJ107" i="47" s="1"/>
  <c r="AI107" i="47" a="1"/>
  <c r="AI107" i="47" s="1"/>
  <c r="AH107" i="47" a="1"/>
  <c r="AH107" i="47" s="1"/>
  <c r="AG107" i="47" a="1"/>
  <c r="AG107" i="47" s="1"/>
  <c r="AF107" i="47" a="1"/>
  <c r="AF107" i="47" s="1"/>
  <c r="AE107" i="47" a="1"/>
  <c r="AE107" i="47" s="1"/>
  <c r="AD107" i="47" a="1"/>
  <c r="AD107" i="47" s="1"/>
  <c r="AC107" i="47" a="1"/>
  <c r="AC107" i="47" s="1"/>
  <c r="AA107" i="47" a="1"/>
  <c r="AA107" i="47" s="1"/>
  <c r="BD106" i="47"/>
  <c r="AY106" i="47" a="1"/>
  <c r="AY106" i="47" s="1"/>
  <c r="AX106" i="47" a="1"/>
  <c r="AX106" i="47" s="1"/>
  <c r="AW106" i="47" a="1"/>
  <c r="AW106" i="47" s="1"/>
  <c r="AV106" i="47" a="1"/>
  <c r="AV106" i="47" s="1"/>
  <c r="AU106" i="47" a="1"/>
  <c r="AU106" i="47" s="1"/>
  <c r="AT106" i="47" a="1"/>
  <c r="AT106" i="47" s="1"/>
  <c r="AS106" i="47" a="1"/>
  <c r="AS106" i="47" s="1"/>
  <c r="AR106" i="47" a="1"/>
  <c r="AR106" i="47" s="1"/>
  <c r="AQ106" i="47" a="1"/>
  <c r="AQ106" i="47" s="1"/>
  <c r="AP106" i="47" a="1"/>
  <c r="AP106" i="47" s="1"/>
  <c r="AO106" i="47" a="1"/>
  <c r="AO106" i="47" s="1"/>
  <c r="AN106" i="47" a="1"/>
  <c r="AN106" i="47" s="1"/>
  <c r="AM106" i="47" a="1"/>
  <c r="AM106" i="47" s="1"/>
  <c r="AL106" i="47" a="1"/>
  <c r="AL106" i="47" s="1"/>
  <c r="AK106" i="47" a="1"/>
  <c r="AK106" i="47" s="1"/>
  <c r="AJ106" i="47" a="1"/>
  <c r="AJ106" i="47" s="1"/>
  <c r="AI106" i="47" a="1"/>
  <c r="AI106" i="47" s="1"/>
  <c r="AH106" i="47" a="1"/>
  <c r="AH106" i="47" s="1"/>
  <c r="AG106" i="47" a="1"/>
  <c r="AG106" i="47" s="1"/>
  <c r="AF106" i="47" a="1"/>
  <c r="AF106" i="47" s="1"/>
  <c r="AE106" i="47" a="1"/>
  <c r="AE106" i="47" s="1"/>
  <c r="AD106" i="47" a="1"/>
  <c r="AD106" i="47" s="1"/>
  <c r="AC106" i="47" a="1"/>
  <c r="AC106" i="47" s="1"/>
  <c r="AA106" i="47" a="1"/>
  <c r="AA106" i="47" s="1"/>
  <c r="BD105" i="47"/>
  <c r="AY105" i="47" a="1"/>
  <c r="AY105" i="47" s="1"/>
  <c r="AX105" i="47" a="1"/>
  <c r="AX105" i="47" s="1"/>
  <c r="AW105" i="47" a="1"/>
  <c r="AW105" i="47" s="1"/>
  <c r="AV105" i="47" a="1"/>
  <c r="AV105" i="47" s="1"/>
  <c r="AU105" i="47" a="1"/>
  <c r="AU105" i="47" s="1"/>
  <c r="AT105" i="47" a="1"/>
  <c r="AT105" i="47" s="1"/>
  <c r="AS105" i="47" a="1"/>
  <c r="AS105" i="47" s="1"/>
  <c r="AR105" i="47" a="1"/>
  <c r="AR105" i="47" s="1"/>
  <c r="AQ105" i="47" a="1"/>
  <c r="AQ105" i="47" s="1"/>
  <c r="AP105" i="47" a="1"/>
  <c r="AP105" i="47" s="1"/>
  <c r="AO105" i="47" a="1"/>
  <c r="AO105" i="47" s="1"/>
  <c r="AN105" i="47" a="1"/>
  <c r="AN105" i="47" s="1"/>
  <c r="AM105" i="47" a="1"/>
  <c r="AM105" i="47" s="1"/>
  <c r="AL105" i="47" a="1"/>
  <c r="AL105" i="47" s="1"/>
  <c r="AK105" i="47" a="1"/>
  <c r="AK105" i="47" s="1"/>
  <c r="AJ105" i="47" a="1"/>
  <c r="AJ105" i="47" s="1"/>
  <c r="AI105" i="47" a="1"/>
  <c r="AI105" i="47" s="1"/>
  <c r="AH105" i="47" a="1"/>
  <c r="AH105" i="47" s="1"/>
  <c r="AG105" i="47" a="1"/>
  <c r="AG105" i="47" s="1"/>
  <c r="AF105" i="47" a="1"/>
  <c r="AF105" i="47" s="1"/>
  <c r="AE105" i="47" a="1"/>
  <c r="AE105" i="47" s="1"/>
  <c r="AD105" i="47" a="1"/>
  <c r="AD105" i="47" s="1"/>
  <c r="AC105" i="47" a="1"/>
  <c r="AC105" i="47" s="1"/>
  <c r="AA105" i="47" a="1"/>
  <c r="AA105" i="47" s="1"/>
  <c r="BD104" i="47"/>
  <c r="AY104" i="47" a="1"/>
  <c r="AY104" i="47" s="1"/>
  <c r="AX104" i="47" a="1"/>
  <c r="AX104" i="47" s="1"/>
  <c r="AW104" i="47" a="1"/>
  <c r="AW104" i="47" s="1"/>
  <c r="AV104" i="47" a="1"/>
  <c r="AV104" i="47" s="1"/>
  <c r="AU104" i="47" a="1"/>
  <c r="AU104" i="47" s="1"/>
  <c r="AT104" i="47" a="1"/>
  <c r="AT104" i="47" s="1"/>
  <c r="AS104" i="47" a="1"/>
  <c r="AS104" i="47" s="1"/>
  <c r="AR104" i="47" a="1"/>
  <c r="AR104" i="47" s="1"/>
  <c r="AQ104" i="47" a="1"/>
  <c r="AQ104" i="47" s="1"/>
  <c r="AP104" i="47" a="1"/>
  <c r="AP104" i="47" s="1"/>
  <c r="AO104" i="47" a="1"/>
  <c r="AO104" i="47" s="1"/>
  <c r="AN104" i="47" a="1"/>
  <c r="AN104" i="47" s="1"/>
  <c r="AM104" i="47" a="1"/>
  <c r="AM104" i="47" s="1"/>
  <c r="AL104" i="47" a="1"/>
  <c r="AL104" i="47" s="1"/>
  <c r="AK104" i="47" a="1"/>
  <c r="AK104" i="47" s="1"/>
  <c r="AJ104" i="47" a="1"/>
  <c r="AJ104" i="47" s="1"/>
  <c r="AI104" i="47" a="1"/>
  <c r="AI104" i="47" s="1"/>
  <c r="AH104" i="47" a="1"/>
  <c r="AH104" i="47" s="1"/>
  <c r="AG104" i="47" a="1"/>
  <c r="AG104" i="47" s="1"/>
  <c r="AF104" i="47" a="1"/>
  <c r="AF104" i="47" s="1"/>
  <c r="AE104" i="47" a="1"/>
  <c r="AE104" i="47" s="1"/>
  <c r="AD104" i="47" a="1"/>
  <c r="AD104" i="47" s="1"/>
  <c r="AC104" i="47" a="1"/>
  <c r="AC104" i="47" s="1"/>
  <c r="AA104" i="47" a="1"/>
  <c r="AA104" i="47" s="1"/>
  <c r="BD103" i="47"/>
  <c r="AY103" i="47" a="1"/>
  <c r="AY103" i="47" s="1"/>
  <c r="AX103" i="47" a="1"/>
  <c r="AX103" i="47" s="1"/>
  <c r="AW103" i="47" a="1"/>
  <c r="AW103" i="47" s="1"/>
  <c r="AV103" i="47" a="1"/>
  <c r="AV103" i="47" s="1"/>
  <c r="AU103" i="47" a="1"/>
  <c r="AU103" i="47" s="1"/>
  <c r="AT103" i="47" a="1"/>
  <c r="AT103" i="47" s="1"/>
  <c r="AS103" i="47" a="1"/>
  <c r="AS103" i="47" s="1"/>
  <c r="AR103" i="47" a="1"/>
  <c r="AR103" i="47" s="1"/>
  <c r="AQ103" i="47" a="1"/>
  <c r="AQ103" i="47" s="1"/>
  <c r="AP103" i="47" a="1"/>
  <c r="AP103" i="47" s="1"/>
  <c r="AO103" i="47" a="1"/>
  <c r="AO103" i="47" s="1"/>
  <c r="AN103" i="47" a="1"/>
  <c r="AN103" i="47" s="1"/>
  <c r="AM103" i="47" a="1"/>
  <c r="AM103" i="47" s="1"/>
  <c r="AL103" i="47" a="1"/>
  <c r="AL103" i="47" s="1"/>
  <c r="AK103" i="47" a="1"/>
  <c r="AK103" i="47" s="1"/>
  <c r="AJ103" i="47" a="1"/>
  <c r="AJ103" i="47" s="1"/>
  <c r="AI103" i="47" a="1"/>
  <c r="AI103" i="47" s="1"/>
  <c r="AH103" i="47" a="1"/>
  <c r="AH103" i="47" s="1"/>
  <c r="AG103" i="47" a="1"/>
  <c r="AG103" i="47" s="1"/>
  <c r="AF103" i="47" a="1"/>
  <c r="AF103" i="47" s="1"/>
  <c r="AE103" i="47" a="1"/>
  <c r="AE103" i="47" s="1"/>
  <c r="AD103" i="47" a="1"/>
  <c r="AD103" i="47" s="1"/>
  <c r="AC103" i="47" a="1"/>
  <c r="AC103" i="47" s="1"/>
  <c r="AA103" i="47" a="1"/>
  <c r="AA103" i="47" s="1"/>
  <c r="BD102" i="47"/>
  <c r="AY102" i="47" a="1"/>
  <c r="AY102" i="47" s="1"/>
  <c r="AX102" i="47" a="1"/>
  <c r="AX102" i="47" s="1"/>
  <c r="AW102" i="47" a="1"/>
  <c r="AW102" i="47" s="1"/>
  <c r="AV102" i="47" a="1"/>
  <c r="AV102" i="47" s="1"/>
  <c r="AU102" i="47" a="1"/>
  <c r="AU102" i="47" s="1"/>
  <c r="AT102" i="47" a="1"/>
  <c r="AT102" i="47" s="1"/>
  <c r="AS102" i="47" a="1"/>
  <c r="AS102" i="47" s="1"/>
  <c r="AR102" i="47" a="1"/>
  <c r="AR102" i="47" s="1"/>
  <c r="AQ102" i="47" a="1"/>
  <c r="AQ102" i="47" s="1"/>
  <c r="AP102" i="47" a="1"/>
  <c r="AP102" i="47" s="1"/>
  <c r="AO102" i="47" a="1"/>
  <c r="AO102" i="47" s="1"/>
  <c r="AN102" i="47" a="1"/>
  <c r="AN102" i="47" s="1"/>
  <c r="AM102" i="47" a="1"/>
  <c r="AM102" i="47" s="1"/>
  <c r="AL102" i="47" a="1"/>
  <c r="AL102" i="47" s="1"/>
  <c r="AK102" i="47" a="1"/>
  <c r="AK102" i="47" s="1"/>
  <c r="AJ102" i="47" a="1"/>
  <c r="AJ102" i="47" s="1"/>
  <c r="AI102" i="47" a="1"/>
  <c r="AI102" i="47" s="1"/>
  <c r="AH102" i="47" a="1"/>
  <c r="AH102" i="47" s="1"/>
  <c r="AG102" i="47" a="1"/>
  <c r="AG102" i="47" s="1"/>
  <c r="AF102" i="47" a="1"/>
  <c r="AF102" i="47" s="1"/>
  <c r="AE102" i="47" a="1"/>
  <c r="AE102" i="47" s="1"/>
  <c r="AD102" i="47" a="1"/>
  <c r="AD102" i="47" s="1"/>
  <c r="AC102" i="47" a="1"/>
  <c r="AC102" i="47" s="1"/>
  <c r="AA102" i="47" a="1"/>
  <c r="AA102" i="47" s="1"/>
  <c r="BD101" i="47"/>
  <c r="AY101" i="47" a="1"/>
  <c r="AY101" i="47" s="1"/>
  <c r="AX101" i="47" a="1"/>
  <c r="AX101" i="47" s="1"/>
  <c r="AW101" i="47" a="1"/>
  <c r="AW101" i="47" s="1"/>
  <c r="AV101" i="47" a="1"/>
  <c r="AV101" i="47" s="1"/>
  <c r="AU101" i="47" a="1"/>
  <c r="AU101" i="47" s="1"/>
  <c r="AT101" i="47" a="1"/>
  <c r="AT101" i="47" s="1"/>
  <c r="AS101" i="47" a="1"/>
  <c r="AS101" i="47" s="1"/>
  <c r="AR101" i="47" a="1"/>
  <c r="AR101" i="47" s="1"/>
  <c r="AQ101" i="47" a="1"/>
  <c r="AQ101" i="47" s="1"/>
  <c r="AP101" i="47" a="1"/>
  <c r="AP101" i="47" s="1"/>
  <c r="AO101" i="47" a="1"/>
  <c r="AO101" i="47" s="1"/>
  <c r="AN101" i="47" a="1"/>
  <c r="AN101" i="47" s="1"/>
  <c r="AM101" i="47" a="1"/>
  <c r="AM101" i="47" s="1"/>
  <c r="AL101" i="47" a="1"/>
  <c r="AL101" i="47" s="1"/>
  <c r="AK101" i="47" a="1"/>
  <c r="AK101" i="47" s="1"/>
  <c r="AJ101" i="47" a="1"/>
  <c r="AJ101" i="47" s="1"/>
  <c r="AI101" i="47" a="1"/>
  <c r="AI101" i="47" s="1"/>
  <c r="AH101" i="47" a="1"/>
  <c r="AH101" i="47" s="1"/>
  <c r="AG101" i="47" a="1"/>
  <c r="AG101" i="47" s="1"/>
  <c r="AF101" i="47" a="1"/>
  <c r="AF101" i="47" s="1"/>
  <c r="AE101" i="47" a="1"/>
  <c r="AE101" i="47" s="1"/>
  <c r="AD101" i="47" a="1"/>
  <c r="AD101" i="47" s="1"/>
  <c r="AC101" i="47" a="1"/>
  <c r="AC101" i="47" s="1"/>
  <c r="AA101" i="47" a="1"/>
  <c r="AA101" i="47" s="1"/>
  <c r="BD100" i="47"/>
  <c r="AY100" i="47" a="1"/>
  <c r="AY100" i="47" s="1"/>
  <c r="AX100" i="47" a="1"/>
  <c r="AX100" i="47" s="1"/>
  <c r="AW100" i="47" a="1"/>
  <c r="AW100" i="47" s="1"/>
  <c r="AV100" i="47" a="1"/>
  <c r="AV100" i="47" s="1"/>
  <c r="AU100" i="47" a="1"/>
  <c r="AU100" i="47" s="1"/>
  <c r="AT100" i="47" a="1"/>
  <c r="AT100" i="47" s="1"/>
  <c r="AS100" i="47" a="1"/>
  <c r="AS100" i="47" s="1"/>
  <c r="AR100" i="47" a="1"/>
  <c r="AR100" i="47" s="1"/>
  <c r="AQ100" i="47" a="1"/>
  <c r="AQ100" i="47" s="1"/>
  <c r="AP100" i="47" a="1"/>
  <c r="AP100" i="47" s="1"/>
  <c r="AO100" i="47" a="1"/>
  <c r="AO100" i="47" s="1"/>
  <c r="AN100" i="47" a="1"/>
  <c r="AN100" i="47" s="1"/>
  <c r="AM100" i="47" a="1"/>
  <c r="AM100" i="47" s="1"/>
  <c r="AL100" i="47" a="1"/>
  <c r="AL100" i="47" s="1"/>
  <c r="AK100" i="47" a="1"/>
  <c r="AK100" i="47" s="1"/>
  <c r="AJ100" i="47" a="1"/>
  <c r="AJ100" i="47" s="1"/>
  <c r="AI100" i="47" a="1"/>
  <c r="AI100" i="47" s="1"/>
  <c r="AH100" i="47" a="1"/>
  <c r="AH100" i="47" s="1"/>
  <c r="AG100" i="47" a="1"/>
  <c r="AG100" i="47" s="1"/>
  <c r="AF100" i="47" a="1"/>
  <c r="AF100" i="47" s="1"/>
  <c r="AE100" i="47" a="1"/>
  <c r="AE100" i="47" s="1"/>
  <c r="AD100" i="47" a="1"/>
  <c r="AD100" i="47" s="1"/>
  <c r="AC100" i="47" a="1"/>
  <c r="AC100" i="47" s="1"/>
  <c r="AA100" i="47" a="1"/>
  <c r="AA100" i="47" s="1"/>
  <c r="BD99" i="47"/>
  <c r="AY99" i="47" a="1"/>
  <c r="AY99" i="47" s="1"/>
  <c r="AX99" i="47" a="1"/>
  <c r="AX99" i="47" s="1"/>
  <c r="AW99" i="47" a="1"/>
  <c r="AW99" i="47" s="1"/>
  <c r="AV99" i="47" a="1"/>
  <c r="AV99" i="47" s="1"/>
  <c r="AU99" i="47" a="1"/>
  <c r="AU99" i="47" s="1"/>
  <c r="AT99" i="47" a="1"/>
  <c r="AT99" i="47" s="1"/>
  <c r="AS99" i="47" a="1"/>
  <c r="AS99" i="47" s="1"/>
  <c r="AR99" i="47" a="1"/>
  <c r="AR99" i="47" s="1"/>
  <c r="AQ99" i="47" a="1"/>
  <c r="AQ99" i="47" s="1"/>
  <c r="AP99" i="47" a="1"/>
  <c r="AP99" i="47" s="1"/>
  <c r="AO99" i="47" a="1"/>
  <c r="AO99" i="47" s="1"/>
  <c r="AN99" i="47" a="1"/>
  <c r="AN99" i="47" s="1"/>
  <c r="AM99" i="47" a="1"/>
  <c r="AM99" i="47" s="1"/>
  <c r="AL99" i="47" a="1"/>
  <c r="AL99" i="47" s="1"/>
  <c r="AK99" i="47" a="1"/>
  <c r="AK99" i="47" s="1"/>
  <c r="AJ99" i="47" a="1"/>
  <c r="AJ99" i="47" s="1"/>
  <c r="AI99" i="47" a="1"/>
  <c r="AI99" i="47" s="1"/>
  <c r="AH99" i="47" a="1"/>
  <c r="AH99" i="47" s="1"/>
  <c r="AG99" i="47" a="1"/>
  <c r="AG99" i="47" s="1"/>
  <c r="AF99" i="47" a="1"/>
  <c r="AF99" i="47" s="1"/>
  <c r="AE99" i="47" a="1"/>
  <c r="AE99" i="47" s="1"/>
  <c r="AD99" i="47" a="1"/>
  <c r="AD99" i="47" s="1"/>
  <c r="AC99" i="47" a="1"/>
  <c r="AC99" i="47" s="1"/>
  <c r="AA99" i="47" a="1"/>
  <c r="AA99" i="47" s="1"/>
  <c r="BD98" i="47"/>
  <c r="AY98" i="47" a="1"/>
  <c r="AY98" i="47" s="1"/>
  <c r="AX98" i="47" a="1"/>
  <c r="AX98" i="47" s="1"/>
  <c r="AW98" i="47" a="1"/>
  <c r="AW98" i="47" s="1"/>
  <c r="AV98" i="47" a="1"/>
  <c r="AV98" i="47" s="1"/>
  <c r="AU98" i="47" a="1"/>
  <c r="AU98" i="47" s="1"/>
  <c r="AT98" i="47" a="1"/>
  <c r="AT98" i="47" s="1"/>
  <c r="AS98" i="47" a="1"/>
  <c r="AS98" i="47" s="1"/>
  <c r="AR98" i="47" a="1"/>
  <c r="AR98" i="47" s="1"/>
  <c r="AQ98" i="47" a="1"/>
  <c r="AQ98" i="47" s="1"/>
  <c r="AP98" i="47" a="1"/>
  <c r="AP98" i="47" s="1"/>
  <c r="AO98" i="47" a="1"/>
  <c r="AO98" i="47" s="1"/>
  <c r="AN98" i="47" a="1"/>
  <c r="AN98" i="47" s="1"/>
  <c r="AM98" i="47" a="1"/>
  <c r="AM98" i="47" s="1"/>
  <c r="AL98" i="47" a="1"/>
  <c r="AL98" i="47" s="1"/>
  <c r="AK98" i="47" a="1"/>
  <c r="AK98" i="47" s="1"/>
  <c r="AJ98" i="47" a="1"/>
  <c r="AJ98" i="47" s="1"/>
  <c r="AI98" i="47" a="1"/>
  <c r="AI98" i="47" s="1"/>
  <c r="AH98" i="47" a="1"/>
  <c r="AH98" i="47" s="1"/>
  <c r="AG98" i="47" a="1"/>
  <c r="AG98" i="47" s="1"/>
  <c r="AF98" i="47" a="1"/>
  <c r="AF98" i="47" s="1"/>
  <c r="AE98" i="47" a="1"/>
  <c r="AE98" i="47" s="1"/>
  <c r="AD98" i="47" a="1"/>
  <c r="AD98" i="47" s="1"/>
  <c r="AC98" i="47" a="1"/>
  <c r="AC98" i="47" s="1"/>
  <c r="AA98" i="47" a="1"/>
  <c r="AA98" i="47" s="1"/>
  <c r="BD97" i="47"/>
  <c r="AY97" i="47" a="1"/>
  <c r="AY97" i="47" s="1"/>
  <c r="AX97" i="47" a="1"/>
  <c r="AX97" i="47" s="1"/>
  <c r="AW97" i="47" a="1"/>
  <c r="AW97" i="47" s="1"/>
  <c r="AV97" i="47" a="1"/>
  <c r="AV97" i="47" s="1"/>
  <c r="AU97" i="47" a="1"/>
  <c r="AU97" i="47" s="1"/>
  <c r="AT97" i="47" a="1"/>
  <c r="AT97" i="47" s="1"/>
  <c r="AS97" i="47" a="1"/>
  <c r="AS97" i="47" s="1"/>
  <c r="AR97" i="47" a="1"/>
  <c r="AR97" i="47" s="1"/>
  <c r="AQ97" i="47" a="1"/>
  <c r="AQ97" i="47" s="1"/>
  <c r="AP97" i="47" a="1"/>
  <c r="AP97" i="47" s="1"/>
  <c r="AO97" i="47" a="1"/>
  <c r="AO97" i="47" s="1"/>
  <c r="AN97" i="47" a="1"/>
  <c r="AN97" i="47" s="1"/>
  <c r="AM97" i="47" a="1"/>
  <c r="AM97" i="47" s="1"/>
  <c r="AL97" i="47" a="1"/>
  <c r="AL97" i="47" s="1"/>
  <c r="AK97" i="47" a="1"/>
  <c r="AK97" i="47" s="1"/>
  <c r="AJ97" i="47" a="1"/>
  <c r="AJ97" i="47" s="1"/>
  <c r="AI97" i="47" a="1"/>
  <c r="AI97" i="47" s="1"/>
  <c r="AH97" i="47" a="1"/>
  <c r="AH97" i="47" s="1"/>
  <c r="AG97" i="47" a="1"/>
  <c r="AG97" i="47" s="1"/>
  <c r="AF97" i="47" a="1"/>
  <c r="AF97" i="47" s="1"/>
  <c r="AE97" i="47" a="1"/>
  <c r="AE97" i="47" s="1"/>
  <c r="AD97" i="47" a="1"/>
  <c r="AD97" i="47" s="1"/>
  <c r="AC97" i="47" a="1"/>
  <c r="AC97" i="47" s="1"/>
  <c r="AA97" i="47" a="1"/>
  <c r="AA97" i="47" s="1"/>
  <c r="BD96" i="47"/>
  <c r="AY96" i="47" a="1"/>
  <c r="AY96" i="47" s="1"/>
  <c r="AX96" i="47" a="1"/>
  <c r="AX96" i="47" s="1"/>
  <c r="AW96" i="47" a="1"/>
  <c r="AW96" i="47" s="1"/>
  <c r="AV96" i="47" a="1"/>
  <c r="AV96" i="47" s="1"/>
  <c r="AU96" i="47" a="1"/>
  <c r="AU96" i="47" s="1"/>
  <c r="AT96" i="47" a="1"/>
  <c r="AT96" i="47" s="1"/>
  <c r="AS96" i="47" a="1"/>
  <c r="AS96" i="47" s="1"/>
  <c r="AR96" i="47" a="1"/>
  <c r="AR96" i="47" s="1"/>
  <c r="AQ96" i="47" a="1"/>
  <c r="AQ96" i="47" s="1"/>
  <c r="AP96" i="47" a="1"/>
  <c r="AP96" i="47" s="1"/>
  <c r="AO96" i="47" a="1"/>
  <c r="AO96" i="47" s="1"/>
  <c r="AN96" i="47" a="1"/>
  <c r="AN96" i="47" s="1"/>
  <c r="AM96" i="47" a="1"/>
  <c r="AM96" i="47" s="1"/>
  <c r="AL96" i="47" a="1"/>
  <c r="AL96" i="47" s="1"/>
  <c r="AK96" i="47" a="1"/>
  <c r="AK96" i="47" s="1"/>
  <c r="AJ96" i="47" a="1"/>
  <c r="AJ96" i="47" s="1"/>
  <c r="AI96" i="47" a="1"/>
  <c r="AI96" i="47" s="1"/>
  <c r="AH96" i="47" a="1"/>
  <c r="AH96" i="47" s="1"/>
  <c r="AG96" i="47" a="1"/>
  <c r="AG96" i="47" s="1"/>
  <c r="AF96" i="47" a="1"/>
  <c r="AF96" i="47" s="1"/>
  <c r="AE96" i="47" a="1"/>
  <c r="AE96" i="47" s="1"/>
  <c r="AD96" i="47" a="1"/>
  <c r="AD96" i="47" s="1"/>
  <c r="AC96" i="47" a="1"/>
  <c r="AC96" i="47" s="1"/>
  <c r="AA96" i="47" a="1"/>
  <c r="AA96" i="47" s="1"/>
  <c r="BD95" i="47"/>
  <c r="AY95" i="47" a="1"/>
  <c r="AY95" i="47" s="1"/>
  <c r="AX95" i="47" a="1"/>
  <c r="AX95" i="47" s="1"/>
  <c r="AW95" i="47" a="1"/>
  <c r="AW95" i="47" s="1"/>
  <c r="AV95" i="47" a="1"/>
  <c r="AV95" i="47" s="1"/>
  <c r="AU95" i="47" a="1"/>
  <c r="AU95" i="47" s="1"/>
  <c r="AT95" i="47" a="1"/>
  <c r="AT95" i="47" s="1"/>
  <c r="AS95" i="47" a="1"/>
  <c r="AS95" i="47" s="1"/>
  <c r="AR95" i="47" a="1"/>
  <c r="AR95" i="47" s="1"/>
  <c r="AQ95" i="47" a="1"/>
  <c r="AQ95" i="47" s="1"/>
  <c r="AP95" i="47" a="1"/>
  <c r="AP95" i="47" s="1"/>
  <c r="AO95" i="47" a="1"/>
  <c r="AO95" i="47" s="1"/>
  <c r="AN95" i="47" a="1"/>
  <c r="AN95" i="47" s="1"/>
  <c r="AM95" i="47" a="1"/>
  <c r="AM95" i="47" s="1"/>
  <c r="AL95" i="47" a="1"/>
  <c r="AL95" i="47" s="1"/>
  <c r="AK95" i="47" a="1"/>
  <c r="AK95" i="47" s="1"/>
  <c r="AJ95" i="47" a="1"/>
  <c r="AJ95" i="47" s="1"/>
  <c r="AI95" i="47" a="1"/>
  <c r="AI95" i="47" s="1"/>
  <c r="AH95" i="47" a="1"/>
  <c r="AH95" i="47" s="1"/>
  <c r="AG95" i="47" a="1"/>
  <c r="AG95" i="47" s="1"/>
  <c r="AF95" i="47" a="1"/>
  <c r="AF95" i="47" s="1"/>
  <c r="AE95" i="47" a="1"/>
  <c r="AE95" i="47" s="1"/>
  <c r="AD95" i="47" a="1"/>
  <c r="AD95" i="47" s="1"/>
  <c r="AC95" i="47" a="1"/>
  <c r="AC95" i="47" s="1"/>
  <c r="AA95" i="47" a="1"/>
  <c r="AA95" i="47" s="1"/>
  <c r="BD94" i="47"/>
  <c r="AY94" i="47" a="1"/>
  <c r="AY94" i="47" s="1"/>
  <c r="AX94" i="47" a="1"/>
  <c r="AX94" i="47" s="1"/>
  <c r="AW94" i="47" a="1"/>
  <c r="AW94" i="47" s="1"/>
  <c r="AV94" i="47" a="1"/>
  <c r="AV94" i="47" s="1"/>
  <c r="AU94" i="47" a="1"/>
  <c r="AU94" i="47" s="1"/>
  <c r="AT94" i="47" a="1"/>
  <c r="AT94" i="47" s="1"/>
  <c r="AS94" i="47" a="1"/>
  <c r="AS94" i="47" s="1"/>
  <c r="AR94" i="47" a="1"/>
  <c r="AR94" i="47" s="1"/>
  <c r="AQ94" i="47" a="1"/>
  <c r="AQ94" i="47" s="1"/>
  <c r="AP94" i="47" a="1"/>
  <c r="AP94" i="47" s="1"/>
  <c r="AO94" i="47" a="1"/>
  <c r="AO94" i="47" s="1"/>
  <c r="AN94" i="47" a="1"/>
  <c r="AN94" i="47" s="1"/>
  <c r="AM94" i="47" a="1"/>
  <c r="AM94" i="47" s="1"/>
  <c r="AL94" i="47" a="1"/>
  <c r="AL94" i="47" s="1"/>
  <c r="AK94" i="47" a="1"/>
  <c r="AK94" i="47" s="1"/>
  <c r="AJ94" i="47" a="1"/>
  <c r="AJ94" i="47" s="1"/>
  <c r="AI94" i="47" a="1"/>
  <c r="AI94" i="47" s="1"/>
  <c r="AH94" i="47" a="1"/>
  <c r="AH94" i="47" s="1"/>
  <c r="AG94" i="47" a="1"/>
  <c r="AG94" i="47" s="1"/>
  <c r="AF94" i="47" a="1"/>
  <c r="AF94" i="47" s="1"/>
  <c r="AE94" i="47" a="1"/>
  <c r="AE94" i="47" s="1"/>
  <c r="AD94" i="47" a="1"/>
  <c r="AD94" i="47" s="1"/>
  <c r="AC94" i="47" a="1"/>
  <c r="AC94" i="47" s="1"/>
  <c r="AA94" i="47" a="1"/>
  <c r="AA94" i="47" s="1"/>
  <c r="BD93" i="47"/>
  <c r="AY93" i="47" a="1"/>
  <c r="AY93" i="47" s="1"/>
  <c r="AX93" i="47" a="1"/>
  <c r="AX93" i="47" s="1"/>
  <c r="AW93" i="47" a="1"/>
  <c r="AW93" i="47" s="1"/>
  <c r="AV93" i="47" a="1"/>
  <c r="AV93" i="47" s="1"/>
  <c r="AU93" i="47" a="1"/>
  <c r="AU93" i="47" s="1"/>
  <c r="AT93" i="47" a="1"/>
  <c r="AT93" i="47" s="1"/>
  <c r="AS93" i="47" a="1"/>
  <c r="AS93" i="47" s="1"/>
  <c r="AR93" i="47" a="1"/>
  <c r="AR93" i="47" s="1"/>
  <c r="AQ93" i="47" a="1"/>
  <c r="AQ93" i="47" s="1"/>
  <c r="AP93" i="47" a="1"/>
  <c r="AP93" i="47" s="1"/>
  <c r="AO93" i="47" a="1"/>
  <c r="AO93" i="47" s="1"/>
  <c r="AN93" i="47" a="1"/>
  <c r="AN93" i="47" s="1"/>
  <c r="AM93" i="47" a="1"/>
  <c r="AM93" i="47" s="1"/>
  <c r="AL93" i="47" a="1"/>
  <c r="AL93" i="47" s="1"/>
  <c r="AK93" i="47" a="1"/>
  <c r="AK93" i="47" s="1"/>
  <c r="AJ93" i="47" a="1"/>
  <c r="AJ93" i="47" s="1"/>
  <c r="AI93" i="47" a="1"/>
  <c r="AI93" i="47" s="1"/>
  <c r="AH93" i="47" a="1"/>
  <c r="AH93" i="47" s="1"/>
  <c r="AG93" i="47" a="1"/>
  <c r="AG93" i="47" s="1"/>
  <c r="AF93" i="47" a="1"/>
  <c r="AF93" i="47" s="1"/>
  <c r="AE93" i="47" a="1"/>
  <c r="AE93" i="47" s="1"/>
  <c r="AD93" i="47" a="1"/>
  <c r="AD93" i="47" s="1"/>
  <c r="AC93" i="47" a="1"/>
  <c r="AC93" i="47" s="1"/>
  <c r="AA93" i="47" a="1"/>
  <c r="AA93" i="47" s="1"/>
  <c r="BD92" i="47"/>
  <c r="AY92" i="47" a="1"/>
  <c r="AY92" i="47" s="1"/>
  <c r="AX92" i="47" a="1"/>
  <c r="AX92" i="47" s="1"/>
  <c r="AW92" i="47" a="1"/>
  <c r="AW92" i="47" s="1"/>
  <c r="AV92" i="47" a="1"/>
  <c r="AV92" i="47" s="1"/>
  <c r="AU92" i="47" a="1"/>
  <c r="AU92" i="47" s="1"/>
  <c r="AT92" i="47" a="1"/>
  <c r="AT92" i="47" s="1"/>
  <c r="AS92" i="47" a="1"/>
  <c r="AS92" i="47" s="1"/>
  <c r="AR92" i="47" a="1"/>
  <c r="AR92" i="47" s="1"/>
  <c r="AQ92" i="47" a="1"/>
  <c r="AQ92" i="47" s="1"/>
  <c r="AP92" i="47" a="1"/>
  <c r="AP92" i="47" s="1"/>
  <c r="AO92" i="47" a="1"/>
  <c r="AO92" i="47" s="1"/>
  <c r="AN92" i="47" a="1"/>
  <c r="AN92" i="47" s="1"/>
  <c r="AM92" i="47" a="1"/>
  <c r="AM92" i="47" s="1"/>
  <c r="AL92" i="47" a="1"/>
  <c r="AL92" i="47" s="1"/>
  <c r="AK92" i="47" a="1"/>
  <c r="AK92" i="47" s="1"/>
  <c r="AJ92" i="47" a="1"/>
  <c r="AJ92" i="47" s="1"/>
  <c r="AI92" i="47" a="1"/>
  <c r="AI92" i="47" s="1"/>
  <c r="AH92" i="47" a="1"/>
  <c r="AH92" i="47" s="1"/>
  <c r="AG92" i="47" a="1"/>
  <c r="AG92" i="47" s="1"/>
  <c r="AF92" i="47" a="1"/>
  <c r="AF92" i="47" s="1"/>
  <c r="AE92" i="47" a="1"/>
  <c r="AE92" i="47" s="1"/>
  <c r="AD92" i="47" a="1"/>
  <c r="AD92" i="47" s="1"/>
  <c r="AC92" i="47" a="1"/>
  <c r="AC92" i="47" s="1"/>
  <c r="AA92" i="47" a="1"/>
  <c r="AA92" i="47" s="1"/>
  <c r="BD91" i="47"/>
  <c r="AY91" i="47" a="1"/>
  <c r="AY91" i="47" s="1"/>
  <c r="AX91" i="47" a="1"/>
  <c r="AX91" i="47" s="1"/>
  <c r="AW91" i="47" a="1"/>
  <c r="AW91" i="47" s="1"/>
  <c r="AV91" i="47" a="1"/>
  <c r="AV91" i="47" s="1"/>
  <c r="AU91" i="47" a="1"/>
  <c r="AU91" i="47" s="1"/>
  <c r="AT91" i="47" a="1"/>
  <c r="AT91" i="47" s="1"/>
  <c r="AS91" i="47" a="1"/>
  <c r="AS91" i="47" s="1"/>
  <c r="AR91" i="47" a="1"/>
  <c r="AR91" i="47" s="1"/>
  <c r="AQ91" i="47" a="1"/>
  <c r="AQ91" i="47" s="1"/>
  <c r="AP91" i="47" a="1"/>
  <c r="AP91" i="47" s="1"/>
  <c r="AO91" i="47" a="1"/>
  <c r="AO91" i="47" s="1"/>
  <c r="AN91" i="47" a="1"/>
  <c r="AN91" i="47" s="1"/>
  <c r="AM91" i="47" a="1"/>
  <c r="AM91" i="47" s="1"/>
  <c r="AL91" i="47" a="1"/>
  <c r="AL91" i="47" s="1"/>
  <c r="AK91" i="47" a="1"/>
  <c r="AK91" i="47" s="1"/>
  <c r="AJ91" i="47" a="1"/>
  <c r="AJ91" i="47" s="1"/>
  <c r="AI91" i="47" a="1"/>
  <c r="AI91" i="47" s="1"/>
  <c r="AH91" i="47" a="1"/>
  <c r="AH91" i="47" s="1"/>
  <c r="AG91" i="47" a="1"/>
  <c r="AG91" i="47" s="1"/>
  <c r="AF91" i="47" a="1"/>
  <c r="AF91" i="47" s="1"/>
  <c r="AE91" i="47" a="1"/>
  <c r="AE91" i="47" s="1"/>
  <c r="AD91" i="47" a="1"/>
  <c r="AD91" i="47" s="1"/>
  <c r="AC91" i="47" a="1"/>
  <c r="AC91" i="47" s="1"/>
  <c r="AA91" i="47" a="1"/>
  <c r="AA91" i="47" s="1"/>
  <c r="BD90" i="47"/>
  <c r="AY90" i="47" a="1"/>
  <c r="AY90" i="47" s="1"/>
  <c r="AX90" i="47" a="1"/>
  <c r="AX90" i="47" s="1"/>
  <c r="AW90" i="47" a="1"/>
  <c r="AW90" i="47" s="1"/>
  <c r="AV90" i="47" a="1"/>
  <c r="AV90" i="47" s="1"/>
  <c r="AU90" i="47" a="1"/>
  <c r="AU90" i="47" s="1"/>
  <c r="AT90" i="47" a="1"/>
  <c r="AT90" i="47" s="1"/>
  <c r="AS90" i="47" a="1"/>
  <c r="AS90" i="47" s="1"/>
  <c r="AR90" i="47" a="1"/>
  <c r="AR90" i="47" s="1"/>
  <c r="AQ90" i="47" a="1"/>
  <c r="AQ90" i="47" s="1"/>
  <c r="AP90" i="47" a="1"/>
  <c r="AP90" i="47" s="1"/>
  <c r="AO90" i="47" a="1"/>
  <c r="AO90" i="47" s="1"/>
  <c r="AN90" i="47" a="1"/>
  <c r="AN90" i="47" s="1"/>
  <c r="AM90" i="47" a="1"/>
  <c r="AM90" i="47" s="1"/>
  <c r="AL90" i="47" a="1"/>
  <c r="AL90" i="47" s="1"/>
  <c r="AK90" i="47" a="1"/>
  <c r="AK90" i="47" s="1"/>
  <c r="AJ90" i="47" a="1"/>
  <c r="AJ90" i="47" s="1"/>
  <c r="AI90" i="47" a="1"/>
  <c r="AI90" i="47" s="1"/>
  <c r="AH90" i="47" a="1"/>
  <c r="AH90" i="47" s="1"/>
  <c r="AG90" i="47" a="1"/>
  <c r="AG90" i="47" s="1"/>
  <c r="AF90" i="47" a="1"/>
  <c r="AF90" i="47" s="1"/>
  <c r="AE90" i="47" a="1"/>
  <c r="AE90" i="47" s="1"/>
  <c r="AD90" i="47" a="1"/>
  <c r="AD90" i="47" s="1"/>
  <c r="AC90" i="47" a="1"/>
  <c r="AC90" i="47" s="1"/>
  <c r="AA90" i="47" a="1"/>
  <c r="AA90" i="47" s="1"/>
  <c r="BD89" i="47"/>
  <c r="AY89" i="47" a="1"/>
  <c r="AY89" i="47" s="1"/>
  <c r="AX89" i="47" a="1"/>
  <c r="AX89" i="47" s="1"/>
  <c r="AW89" i="47" a="1"/>
  <c r="AW89" i="47" s="1"/>
  <c r="AV89" i="47" a="1"/>
  <c r="AV89" i="47" s="1"/>
  <c r="AU89" i="47" a="1"/>
  <c r="AU89" i="47" s="1"/>
  <c r="AT89" i="47" a="1"/>
  <c r="AT89" i="47" s="1"/>
  <c r="AS89" i="47" a="1"/>
  <c r="AS89" i="47" s="1"/>
  <c r="AR89" i="47" a="1"/>
  <c r="AR89" i="47" s="1"/>
  <c r="AQ89" i="47" a="1"/>
  <c r="AQ89" i="47" s="1"/>
  <c r="AP89" i="47" a="1"/>
  <c r="AP89" i="47" s="1"/>
  <c r="AO89" i="47" a="1"/>
  <c r="AO89" i="47" s="1"/>
  <c r="AN89" i="47" a="1"/>
  <c r="AN89" i="47" s="1"/>
  <c r="AM89" i="47" a="1"/>
  <c r="AM89" i="47" s="1"/>
  <c r="AL89" i="47" a="1"/>
  <c r="AL89" i="47" s="1"/>
  <c r="AK89" i="47" a="1"/>
  <c r="AK89" i="47" s="1"/>
  <c r="AJ89" i="47" a="1"/>
  <c r="AJ89" i="47" s="1"/>
  <c r="AI89" i="47" a="1"/>
  <c r="AI89" i="47" s="1"/>
  <c r="AH89" i="47" a="1"/>
  <c r="AH89" i="47" s="1"/>
  <c r="AG89" i="47" a="1"/>
  <c r="AG89" i="47" s="1"/>
  <c r="AF89" i="47" a="1"/>
  <c r="AF89" i="47" s="1"/>
  <c r="AE89" i="47" a="1"/>
  <c r="AE89" i="47" s="1"/>
  <c r="AD89" i="47" a="1"/>
  <c r="AD89" i="47" s="1"/>
  <c r="AC89" i="47" a="1"/>
  <c r="AC89" i="47" s="1"/>
  <c r="AA89" i="47" a="1"/>
  <c r="AA89" i="47" s="1"/>
  <c r="BD88" i="47"/>
  <c r="AY88" i="47" a="1"/>
  <c r="AY88" i="47" s="1"/>
  <c r="AX88" i="47" a="1"/>
  <c r="AX88" i="47" s="1"/>
  <c r="AW88" i="47" a="1"/>
  <c r="AW88" i="47" s="1"/>
  <c r="AV88" i="47" a="1"/>
  <c r="AV88" i="47" s="1"/>
  <c r="AU88" i="47" a="1"/>
  <c r="AU88" i="47" s="1"/>
  <c r="AT88" i="47" a="1"/>
  <c r="AT88" i="47" s="1"/>
  <c r="AS88" i="47" a="1"/>
  <c r="AS88" i="47" s="1"/>
  <c r="AR88" i="47" a="1"/>
  <c r="AR88" i="47" s="1"/>
  <c r="AQ88" i="47" a="1"/>
  <c r="AQ88" i="47" s="1"/>
  <c r="AP88" i="47" a="1"/>
  <c r="AP88" i="47" s="1"/>
  <c r="AO88" i="47" a="1"/>
  <c r="AO88" i="47" s="1"/>
  <c r="AN88" i="47" a="1"/>
  <c r="AN88" i="47" s="1"/>
  <c r="AM88" i="47" a="1"/>
  <c r="AM88" i="47" s="1"/>
  <c r="AL88" i="47" a="1"/>
  <c r="AL88" i="47" s="1"/>
  <c r="AK88" i="47" a="1"/>
  <c r="AK88" i="47" s="1"/>
  <c r="AJ88" i="47" a="1"/>
  <c r="AJ88" i="47" s="1"/>
  <c r="AI88" i="47" a="1"/>
  <c r="AI88" i="47" s="1"/>
  <c r="AH88" i="47" a="1"/>
  <c r="AH88" i="47" s="1"/>
  <c r="AG88" i="47" a="1"/>
  <c r="AG88" i="47" s="1"/>
  <c r="AF88" i="47" a="1"/>
  <c r="AF88" i="47" s="1"/>
  <c r="AE88" i="47" a="1"/>
  <c r="AE88" i="47" s="1"/>
  <c r="AD88" i="47" a="1"/>
  <c r="AD88" i="47" s="1"/>
  <c r="AC88" i="47" a="1"/>
  <c r="AC88" i="47" s="1"/>
  <c r="AA88" i="47" a="1"/>
  <c r="AA88" i="47" s="1"/>
  <c r="BD81" i="47"/>
  <c r="AY81" i="47" a="1"/>
  <c r="AY81" i="47" s="1"/>
  <c r="AX81" i="47" a="1"/>
  <c r="AX81" i="47" s="1"/>
  <c r="AW81" i="47" a="1"/>
  <c r="AW81" i="47" s="1"/>
  <c r="AV81" i="47" a="1"/>
  <c r="AV81" i="47" s="1"/>
  <c r="AU81" i="47" a="1"/>
  <c r="AU81" i="47" s="1"/>
  <c r="AT81" i="47" a="1"/>
  <c r="AT81" i="47" s="1"/>
  <c r="AS81" i="47" a="1"/>
  <c r="AS81" i="47" s="1"/>
  <c r="AR81" i="47" a="1"/>
  <c r="AR81" i="47" s="1"/>
  <c r="AQ81" i="47" a="1"/>
  <c r="AQ81" i="47" s="1"/>
  <c r="AP81" i="47" a="1"/>
  <c r="AP81" i="47" s="1"/>
  <c r="AO81" i="47" a="1"/>
  <c r="AO81" i="47" s="1"/>
  <c r="AN81" i="47" a="1"/>
  <c r="AN81" i="47" s="1"/>
  <c r="AM81" i="47" a="1"/>
  <c r="AM81" i="47" s="1"/>
  <c r="AL81" i="47" a="1"/>
  <c r="AL81" i="47" s="1"/>
  <c r="AK81" i="47" a="1"/>
  <c r="AK81" i="47" s="1"/>
  <c r="AJ81" i="47" a="1"/>
  <c r="AJ81" i="47" s="1"/>
  <c r="AI81" i="47" a="1"/>
  <c r="AI81" i="47" s="1"/>
  <c r="AH81" i="47" a="1"/>
  <c r="AH81" i="47" s="1"/>
  <c r="AG81" i="47" a="1"/>
  <c r="AG81" i="47" s="1"/>
  <c r="AF81" i="47" a="1"/>
  <c r="AF81" i="47" s="1"/>
  <c r="AE81" i="47" a="1"/>
  <c r="AE81" i="47" s="1"/>
  <c r="AD81" i="47" a="1"/>
  <c r="AD81" i="47" s="1"/>
  <c r="AC81" i="47" a="1"/>
  <c r="AC81" i="47" s="1"/>
  <c r="AA81" i="47" a="1"/>
  <c r="AA81" i="47" s="1"/>
  <c r="BD80" i="47"/>
  <c r="AY80" i="47" a="1"/>
  <c r="AY80" i="47" s="1"/>
  <c r="AX80" i="47" a="1"/>
  <c r="AX80" i="47" s="1"/>
  <c r="AW80" i="47" a="1"/>
  <c r="AW80" i="47" s="1"/>
  <c r="AV80" i="47" a="1"/>
  <c r="AV80" i="47" s="1"/>
  <c r="AU80" i="47" a="1"/>
  <c r="AU80" i="47" s="1"/>
  <c r="AT80" i="47" a="1"/>
  <c r="AT80" i="47" s="1"/>
  <c r="AS80" i="47" a="1"/>
  <c r="AS80" i="47" s="1"/>
  <c r="AR80" i="47" a="1"/>
  <c r="AR80" i="47" s="1"/>
  <c r="AQ80" i="47" a="1"/>
  <c r="AQ80" i="47" s="1"/>
  <c r="AP80" i="47" a="1"/>
  <c r="AP80" i="47" s="1"/>
  <c r="AO80" i="47" a="1"/>
  <c r="AO80" i="47" s="1"/>
  <c r="AN80" i="47" a="1"/>
  <c r="AN80" i="47" s="1"/>
  <c r="AM80" i="47" a="1"/>
  <c r="AM80" i="47" s="1"/>
  <c r="AL80" i="47" a="1"/>
  <c r="AL80" i="47" s="1"/>
  <c r="AK80" i="47" a="1"/>
  <c r="AK80" i="47" s="1"/>
  <c r="AJ80" i="47" a="1"/>
  <c r="AJ80" i="47" s="1"/>
  <c r="AI80" i="47" a="1"/>
  <c r="AI80" i="47" s="1"/>
  <c r="AH80" i="47" a="1"/>
  <c r="AH80" i="47" s="1"/>
  <c r="AG80" i="47" a="1"/>
  <c r="AG80" i="47" s="1"/>
  <c r="AF80" i="47" a="1"/>
  <c r="AF80" i="47" s="1"/>
  <c r="AE80" i="47" a="1"/>
  <c r="AE80" i="47" s="1"/>
  <c r="AD80" i="47" a="1"/>
  <c r="AD80" i="47" s="1"/>
  <c r="AC80" i="47" a="1"/>
  <c r="AC80" i="47" s="1"/>
  <c r="AA80" i="47" a="1"/>
  <c r="AA80" i="47" s="1"/>
  <c r="BD79" i="47"/>
  <c r="AY79" i="47" a="1"/>
  <c r="AY79" i="47" s="1"/>
  <c r="AX79" i="47" a="1"/>
  <c r="AX79" i="47" s="1"/>
  <c r="AW79" i="47" a="1"/>
  <c r="AW79" i="47" s="1"/>
  <c r="AV79" i="47" a="1"/>
  <c r="AV79" i="47" s="1"/>
  <c r="AU79" i="47" a="1"/>
  <c r="AU79" i="47" s="1"/>
  <c r="AT79" i="47" a="1"/>
  <c r="AT79" i="47" s="1"/>
  <c r="AS79" i="47" a="1"/>
  <c r="AS79" i="47" s="1"/>
  <c r="AR79" i="47" a="1"/>
  <c r="AR79" i="47" s="1"/>
  <c r="AQ79" i="47" a="1"/>
  <c r="AQ79" i="47" s="1"/>
  <c r="AP79" i="47" a="1"/>
  <c r="AP79" i="47" s="1"/>
  <c r="AO79" i="47" a="1"/>
  <c r="AO79" i="47" s="1"/>
  <c r="AN79" i="47" a="1"/>
  <c r="AN79" i="47" s="1"/>
  <c r="AM79" i="47" a="1"/>
  <c r="AM79" i="47" s="1"/>
  <c r="AL79" i="47" a="1"/>
  <c r="AL79" i="47" s="1"/>
  <c r="AK79" i="47" a="1"/>
  <c r="AK79" i="47" s="1"/>
  <c r="AJ79" i="47" a="1"/>
  <c r="AJ79" i="47" s="1"/>
  <c r="AI79" i="47" a="1"/>
  <c r="AI79" i="47" s="1"/>
  <c r="AH79" i="47" a="1"/>
  <c r="AH79" i="47" s="1"/>
  <c r="AG79" i="47" a="1"/>
  <c r="AG79" i="47" s="1"/>
  <c r="AF79" i="47" a="1"/>
  <c r="AF79" i="47" s="1"/>
  <c r="AE79" i="47" a="1"/>
  <c r="AE79" i="47" s="1"/>
  <c r="AD79" i="47" a="1"/>
  <c r="AD79" i="47" s="1"/>
  <c r="AC79" i="47" a="1"/>
  <c r="AC79" i="47" s="1"/>
  <c r="AA79" i="47" a="1"/>
  <c r="AA79" i="47" s="1"/>
  <c r="BD78" i="47"/>
  <c r="AY78" i="47" a="1"/>
  <c r="AY78" i="47" s="1"/>
  <c r="AX78" i="47" a="1"/>
  <c r="AX78" i="47" s="1"/>
  <c r="AW78" i="47" a="1"/>
  <c r="AW78" i="47" s="1"/>
  <c r="AV78" i="47" a="1"/>
  <c r="AV78" i="47" s="1"/>
  <c r="AU78" i="47" a="1"/>
  <c r="AU78" i="47" s="1"/>
  <c r="AT78" i="47" a="1"/>
  <c r="AT78" i="47" s="1"/>
  <c r="AS78" i="47" a="1"/>
  <c r="AS78" i="47" s="1"/>
  <c r="AR78" i="47" a="1"/>
  <c r="AR78" i="47" s="1"/>
  <c r="AQ78" i="47" a="1"/>
  <c r="AQ78" i="47" s="1"/>
  <c r="AP78" i="47" a="1"/>
  <c r="AP78" i="47" s="1"/>
  <c r="AO78" i="47" a="1"/>
  <c r="AO78" i="47" s="1"/>
  <c r="AN78" i="47" a="1"/>
  <c r="AN78" i="47" s="1"/>
  <c r="AM78" i="47" a="1"/>
  <c r="AM78" i="47" s="1"/>
  <c r="AL78" i="47" a="1"/>
  <c r="AL78" i="47" s="1"/>
  <c r="AK78" i="47" a="1"/>
  <c r="AK78" i="47" s="1"/>
  <c r="AJ78" i="47" a="1"/>
  <c r="AJ78" i="47" s="1"/>
  <c r="AI78" i="47" a="1"/>
  <c r="AI78" i="47" s="1"/>
  <c r="AH78" i="47" a="1"/>
  <c r="AH78" i="47" s="1"/>
  <c r="AG78" i="47" a="1"/>
  <c r="AG78" i="47" s="1"/>
  <c r="AF78" i="47" a="1"/>
  <c r="AF78" i="47" s="1"/>
  <c r="AE78" i="47" a="1"/>
  <c r="AE78" i="47" s="1"/>
  <c r="AD78" i="47" a="1"/>
  <c r="AD78" i="47" s="1"/>
  <c r="AC78" i="47" a="1"/>
  <c r="AC78" i="47" s="1"/>
  <c r="AA78" i="47" a="1"/>
  <c r="AA78" i="47" s="1"/>
  <c r="BD77" i="47"/>
  <c r="AY77" i="47" a="1"/>
  <c r="AY77" i="47" s="1"/>
  <c r="AX77" i="47" a="1"/>
  <c r="AX77" i="47" s="1"/>
  <c r="AW77" i="47" a="1"/>
  <c r="AW77" i="47" s="1"/>
  <c r="AV77" i="47" a="1"/>
  <c r="AV77" i="47" s="1"/>
  <c r="AU77" i="47" a="1"/>
  <c r="AU77" i="47" s="1"/>
  <c r="AT77" i="47" a="1"/>
  <c r="AT77" i="47" s="1"/>
  <c r="AS77" i="47" a="1"/>
  <c r="AS77" i="47" s="1"/>
  <c r="AR77" i="47" a="1"/>
  <c r="AR77" i="47" s="1"/>
  <c r="AQ77" i="47" a="1"/>
  <c r="AQ77" i="47" s="1"/>
  <c r="AP77" i="47" a="1"/>
  <c r="AP77" i="47" s="1"/>
  <c r="AO77" i="47" a="1"/>
  <c r="AO77" i="47" s="1"/>
  <c r="AN77" i="47" a="1"/>
  <c r="AN77" i="47" s="1"/>
  <c r="AM77" i="47" a="1"/>
  <c r="AM77" i="47" s="1"/>
  <c r="AL77" i="47" a="1"/>
  <c r="AL77" i="47" s="1"/>
  <c r="AK77" i="47" a="1"/>
  <c r="AK77" i="47" s="1"/>
  <c r="AJ77" i="47" a="1"/>
  <c r="AJ77" i="47" s="1"/>
  <c r="AI77" i="47" a="1"/>
  <c r="AI77" i="47" s="1"/>
  <c r="AH77" i="47" a="1"/>
  <c r="AH77" i="47" s="1"/>
  <c r="AG77" i="47" a="1"/>
  <c r="AG77" i="47" s="1"/>
  <c r="AF77" i="47" a="1"/>
  <c r="AF77" i="47" s="1"/>
  <c r="AE77" i="47" a="1"/>
  <c r="AE77" i="47" s="1"/>
  <c r="AD77" i="47" a="1"/>
  <c r="AD77" i="47" s="1"/>
  <c r="AC77" i="47" a="1"/>
  <c r="AC77" i="47" s="1"/>
  <c r="AA77" i="47" a="1"/>
  <c r="AA77" i="47" s="1"/>
  <c r="BD76" i="47"/>
  <c r="AY76" i="47" a="1"/>
  <c r="AY76" i="47" s="1"/>
  <c r="AX76" i="47" a="1"/>
  <c r="AX76" i="47" s="1"/>
  <c r="AW76" i="47" a="1"/>
  <c r="AW76" i="47" s="1"/>
  <c r="AV76" i="47" a="1"/>
  <c r="AV76" i="47" s="1"/>
  <c r="AU76" i="47" a="1"/>
  <c r="AU76" i="47" s="1"/>
  <c r="AT76" i="47" a="1"/>
  <c r="AT76" i="47" s="1"/>
  <c r="AS76" i="47" a="1"/>
  <c r="AS76" i="47" s="1"/>
  <c r="AR76" i="47" a="1"/>
  <c r="AR76" i="47" s="1"/>
  <c r="AQ76" i="47" a="1"/>
  <c r="AQ76" i="47" s="1"/>
  <c r="AP76" i="47" a="1"/>
  <c r="AP76" i="47" s="1"/>
  <c r="AO76" i="47" a="1"/>
  <c r="AO76" i="47" s="1"/>
  <c r="AN76" i="47" a="1"/>
  <c r="AN76" i="47" s="1"/>
  <c r="AM76" i="47" a="1"/>
  <c r="AM76" i="47" s="1"/>
  <c r="AL76" i="47" a="1"/>
  <c r="AL76" i="47" s="1"/>
  <c r="AK76" i="47" a="1"/>
  <c r="AK76" i="47" s="1"/>
  <c r="AJ76" i="47" a="1"/>
  <c r="AJ76" i="47" s="1"/>
  <c r="AI76" i="47" a="1"/>
  <c r="AI76" i="47" s="1"/>
  <c r="AH76" i="47" a="1"/>
  <c r="AH76" i="47" s="1"/>
  <c r="AG76" i="47" a="1"/>
  <c r="AG76" i="47" s="1"/>
  <c r="AF76" i="47" a="1"/>
  <c r="AF76" i="47" s="1"/>
  <c r="AE76" i="47" a="1"/>
  <c r="AE76" i="47" s="1"/>
  <c r="AD76" i="47" a="1"/>
  <c r="AD76" i="47" s="1"/>
  <c r="AC76" i="47" a="1"/>
  <c r="AC76" i="47" s="1"/>
  <c r="AA76" i="47" a="1"/>
  <c r="AA76" i="47" s="1"/>
  <c r="BD75" i="47"/>
  <c r="AY75" i="47" a="1"/>
  <c r="AY75" i="47" s="1"/>
  <c r="AX75" i="47" a="1"/>
  <c r="AX75" i="47" s="1"/>
  <c r="AW75" i="47" a="1"/>
  <c r="AW75" i="47" s="1"/>
  <c r="AV75" i="47" a="1"/>
  <c r="AV75" i="47" s="1"/>
  <c r="AU75" i="47" a="1"/>
  <c r="AU75" i="47" s="1"/>
  <c r="AT75" i="47" a="1"/>
  <c r="AT75" i="47" s="1"/>
  <c r="AS75" i="47" a="1"/>
  <c r="AS75" i="47" s="1"/>
  <c r="AR75" i="47" a="1"/>
  <c r="AR75" i="47" s="1"/>
  <c r="AQ75" i="47" a="1"/>
  <c r="AQ75" i="47" s="1"/>
  <c r="AP75" i="47" a="1"/>
  <c r="AP75" i="47" s="1"/>
  <c r="AO75" i="47" a="1"/>
  <c r="AO75" i="47" s="1"/>
  <c r="AN75" i="47" a="1"/>
  <c r="AN75" i="47" s="1"/>
  <c r="AM75" i="47" a="1"/>
  <c r="AM75" i="47" s="1"/>
  <c r="AL75" i="47" a="1"/>
  <c r="AL75" i="47" s="1"/>
  <c r="AK75" i="47" a="1"/>
  <c r="AK75" i="47" s="1"/>
  <c r="AJ75" i="47" a="1"/>
  <c r="AJ75" i="47" s="1"/>
  <c r="AI75" i="47" a="1"/>
  <c r="AI75" i="47" s="1"/>
  <c r="AH75" i="47" a="1"/>
  <c r="AH75" i="47" s="1"/>
  <c r="AG75" i="47" a="1"/>
  <c r="AG75" i="47" s="1"/>
  <c r="AF75" i="47" a="1"/>
  <c r="AF75" i="47" s="1"/>
  <c r="AE75" i="47" a="1"/>
  <c r="AE75" i="47" s="1"/>
  <c r="AD75" i="47" a="1"/>
  <c r="AD75" i="47" s="1"/>
  <c r="AC75" i="47" a="1"/>
  <c r="AC75" i="47" s="1"/>
  <c r="AA75" i="47" a="1"/>
  <c r="AA75" i="47" s="1"/>
  <c r="BD74" i="47"/>
  <c r="AY74" i="47" a="1"/>
  <c r="AY74" i="47" s="1"/>
  <c r="AX74" i="47" a="1"/>
  <c r="AX74" i="47" s="1"/>
  <c r="AW74" i="47" a="1"/>
  <c r="AW74" i="47" s="1"/>
  <c r="AV74" i="47" a="1"/>
  <c r="AV74" i="47" s="1"/>
  <c r="AU74" i="47" a="1"/>
  <c r="AU74" i="47" s="1"/>
  <c r="AT74" i="47" a="1"/>
  <c r="AT74" i="47" s="1"/>
  <c r="AS74" i="47" a="1"/>
  <c r="AS74" i="47" s="1"/>
  <c r="AR74" i="47" a="1"/>
  <c r="AR74" i="47" s="1"/>
  <c r="AQ74" i="47" a="1"/>
  <c r="AQ74" i="47" s="1"/>
  <c r="AP74" i="47" a="1"/>
  <c r="AP74" i="47" s="1"/>
  <c r="AO74" i="47" a="1"/>
  <c r="AO74" i="47" s="1"/>
  <c r="AN74" i="47" a="1"/>
  <c r="AN74" i="47" s="1"/>
  <c r="AM74" i="47" a="1"/>
  <c r="AM74" i="47" s="1"/>
  <c r="AL74" i="47" a="1"/>
  <c r="AL74" i="47" s="1"/>
  <c r="AK74" i="47" a="1"/>
  <c r="AK74" i="47" s="1"/>
  <c r="AJ74" i="47" a="1"/>
  <c r="AJ74" i="47" s="1"/>
  <c r="AI74" i="47" a="1"/>
  <c r="AI74" i="47" s="1"/>
  <c r="AH74" i="47" a="1"/>
  <c r="AH74" i="47" s="1"/>
  <c r="AG74" i="47" a="1"/>
  <c r="AG74" i="47" s="1"/>
  <c r="AF74" i="47" a="1"/>
  <c r="AF74" i="47" s="1"/>
  <c r="AE74" i="47" a="1"/>
  <c r="AE74" i="47" s="1"/>
  <c r="AD74" i="47" a="1"/>
  <c r="AD74" i="47" s="1"/>
  <c r="AC74" i="47" a="1"/>
  <c r="AC74" i="47" s="1"/>
  <c r="AA74" i="47" a="1"/>
  <c r="AA74" i="47" s="1"/>
  <c r="BD73" i="47"/>
  <c r="AY73" i="47" a="1"/>
  <c r="AY73" i="47" s="1"/>
  <c r="AX73" i="47" a="1"/>
  <c r="AX73" i="47" s="1"/>
  <c r="AW73" i="47" a="1"/>
  <c r="AW73" i="47" s="1"/>
  <c r="AV73" i="47" a="1"/>
  <c r="AV73" i="47" s="1"/>
  <c r="AU73" i="47" a="1"/>
  <c r="AU73" i="47" s="1"/>
  <c r="AT73" i="47" a="1"/>
  <c r="AT73" i="47" s="1"/>
  <c r="AS73" i="47" a="1"/>
  <c r="AS73" i="47" s="1"/>
  <c r="AR73" i="47" a="1"/>
  <c r="AR73" i="47" s="1"/>
  <c r="AQ73" i="47" a="1"/>
  <c r="AQ73" i="47" s="1"/>
  <c r="AP73" i="47" a="1"/>
  <c r="AP73" i="47" s="1"/>
  <c r="AO73" i="47" a="1"/>
  <c r="AO73" i="47" s="1"/>
  <c r="AN73" i="47" a="1"/>
  <c r="AN73" i="47" s="1"/>
  <c r="AM73" i="47" a="1"/>
  <c r="AM73" i="47" s="1"/>
  <c r="AL73" i="47" a="1"/>
  <c r="AL73" i="47" s="1"/>
  <c r="AK73" i="47" a="1"/>
  <c r="AK73" i="47" s="1"/>
  <c r="AJ73" i="47" a="1"/>
  <c r="AJ73" i="47" s="1"/>
  <c r="AI73" i="47" a="1"/>
  <c r="AI73" i="47" s="1"/>
  <c r="AH73" i="47" a="1"/>
  <c r="AH73" i="47" s="1"/>
  <c r="AG73" i="47" a="1"/>
  <c r="AG73" i="47" s="1"/>
  <c r="AF73" i="47" a="1"/>
  <c r="AF73" i="47" s="1"/>
  <c r="AE73" i="47" a="1"/>
  <c r="AE73" i="47" s="1"/>
  <c r="AD73" i="47" a="1"/>
  <c r="AD73" i="47" s="1"/>
  <c r="AC73" i="47" a="1"/>
  <c r="AC73" i="47" s="1"/>
  <c r="AA73" i="47" a="1"/>
  <c r="AA73" i="47" s="1"/>
  <c r="BD72" i="47"/>
  <c r="AY72" i="47" a="1"/>
  <c r="AY72" i="47" s="1"/>
  <c r="AX72" i="47" a="1"/>
  <c r="AX72" i="47" s="1"/>
  <c r="AW72" i="47" a="1"/>
  <c r="AW72" i="47" s="1"/>
  <c r="AV72" i="47" a="1"/>
  <c r="AV72" i="47" s="1"/>
  <c r="AU72" i="47" a="1"/>
  <c r="AU72" i="47" s="1"/>
  <c r="AT72" i="47" a="1"/>
  <c r="AT72" i="47" s="1"/>
  <c r="AS72" i="47" a="1"/>
  <c r="AS72" i="47" s="1"/>
  <c r="AR72" i="47" a="1"/>
  <c r="AR72" i="47" s="1"/>
  <c r="AQ72" i="47" a="1"/>
  <c r="AQ72" i="47" s="1"/>
  <c r="AP72" i="47" a="1"/>
  <c r="AP72" i="47" s="1"/>
  <c r="AO72" i="47" a="1"/>
  <c r="AO72" i="47" s="1"/>
  <c r="AN72" i="47" a="1"/>
  <c r="AN72" i="47" s="1"/>
  <c r="AM72" i="47" a="1"/>
  <c r="AM72" i="47" s="1"/>
  <c r="AL72" i="47" a="1"/>
  <c r="AL72" i="47" s="1"/>
  <c r="AK72" i="47" a="1"/>
  <c r="AK72" i="47" s="1"/>
  <c r="AJ72" i="47" a="1"/>
  <c r="AJ72" i="47" s="1"/>
  <c r="AI72" i="47" a="1"/>
  <c r="AI72" i="47" s="1"/>
  <c r="AH72" i="47" a="1"/>
  <c r="AH72" i="47" s="1"/>
  <c r="AG72" i="47" a="1"/>
  <c r="AG72" i="47" s="1"/>
  <c r="AF72" i="47" a="1"/>
  <c r="AF72" i="47" s="1"/>
  <c r="AE72" i="47" a="1"/>
  <c r="AE72" i="47" s="1"/>
  <c r="AD72" i="47" a="1"/>
  <c r="AD72" i="47" s="1"/>
  <c r="AC72" i="47" a="1"/>
  <c r="AC72" i="47" s="1"/>
  <c r="AA72" i="47" a="1"/>
  <c r="AA72" i="47" s="1"/>
  <c r="BD71" i="47"/>
  <c r="AY71" i="47" a="1"/>
  <c r="AY71" i="47" s="1"/>
  <c r="AX71" i="47" a="1"/>
  <c r="AX71" i="47" s="1"/>
  <c r="AW71" i="47" a="1"/>
  <c r="AW71" i="47" s="1"/>
  <c r="AV71" i="47" a="1"/>
  <c r="AV71" i="47" s="1"/>
  <c r="AU71" i="47" a="1"/>
  <c r="AU71" i="47" s="1"/>
  <c r="AT71" i="47" a="1"/>
  <c r="AT71" i="47" s="1"/>
  <c r="AS71" i="47" a="1"/>
  <c r="AS71" i="47" s="1"/>
  <c r="AR71" i="47" a="1"/>
  <c r="AR71" i="47" s="1"/>
  <c r="AQ71" i="47" a="1"/>
  <c r="AQ71" i="47" s="1"/>
  <c r="AP71" i="47" a="1"/>
  <c r="AP71" i="47" s="1"/>
  <c r="AO71" i="47" a="1"/>
  <c r="AO71" i="47" s="1"/>
  <c r="AN71" i="47" a="1"/>
  <c r="AN71" i="47" s="1"/>
  <c r="AM71" i="47" a="1"/>
  <c r="AM71" i="47" s="1"/>
  <c r="AL71" i="47" a="1"/>
  <c r="AL71" i="47" s="1"/>
  <c r="AK71" i="47" a="1"/>
  <c r="AK71" i="47" s="1"/>
  <c r="AJ71" i="47" a="1"/>
  <c r="AJ71" i="47" s="1"/>
  <c r="AI71" i="47" a="1"/>
  <c r="AI71" i="47" s="1"/>
  <c r="AH71" i="47" a="1"/>
  <c r="AH71" i="47" s="1"/>
  <c r="AG71" i="47" a="1"/>
  <c r="AG71" i="47" s="1"/>
  <c r="AF71" i="47" a="1"/>
  <c r="AF71" i="47" s="1"/>
  <c r="AE71" i="47" a="1"/>
  <c r="AE71" i="47" s="1"/>
  <c r="AD71" i="47" a="1"/>
  <c r="AD71" i="47" s="1"/>
  <c r="AC71" i="47" a="1"/>
  <c r="AC71" i="47" s="1"/>
  <c r="AA71" i="47" a="1"/>
  <c r="AA71" i="47" s="1"/>
  <c r="BD70" i="47"/>
  <c r="AY70" i="47" a="1"/>
  <c r="AY70" i="47" s="1"/>
  <c r="AX70" i="47" a="1"/>
  <c r="AX70" i="47" s="1"/>
  <c r="AW70" i="47" a="1"/>
  <c r="AW70" i="47" s="1"/>
  <c r="AV70" i="47" a="1"/>
  <c r="AV70" i="47" s="1"/>
  <c r="AU70" i="47" a="1"/>
  <c r="AU70" i="47" s="1"/>
  <c r="AT70" i="47" a="1"/>
  <c r="AT70" i="47" s="1"/>
  <c r="AS70" i="47" a="1"/>
  <c r="AS70" i="47" s="1"/>
  <c r="AR70" i="47" a="1"/>
  <c r="AR70" i="47" s="1"/>
  <c r="AQ70" i="47" a="1"/>
  <c r="AQ70" i="47" s="1"/>
  <c r="AP70" i="47" a="1"/>
  <c r="AP70" i="47" s="1"/>
  <c r="AO70" i="47" a="1"/>
  <c r="AO70" i="47" s="1"/>
  <c r="AN70" i="47" a="1"/>
  <c r="AN70" i="47" s="1"/>
  <c r="AM70" i="47" a="1"/>
  <c r="AM70" i="47" s="1"/>
  <c r="AL70" i="47" a="1"/>
  <c r="AL70" i="47" s="1"/>
  <c r="AK70" i="47" a="1"/>
  <c r="AK70" i="47" s="1"/>
  <c r="AJ70" i="47" a="1"/>
  <c r="AJ70" i="47" s="1"/>
  <c r="AI70" i="47" a="1"/>
  <c r="AI70" i="47" s="1"/>
  <c r="AH70" i="47" a="1"/>
  <c r="AH70" i="47" s="1"/>
  <c r="AG70" i="47" a="1"/>
  <c r="AG70" i="47" s="1"/>
  <c r="AF70" i="47" a="1"/>
  <c r="AF70" i="47" s="1"/>
  <c r="AE70" i="47" a="1"/>
  <c r="AE70" i="47" s="1"/>
  <c r="AD70" i="47" a="1"/>
  <c r="AD70" i="47" s="1"/>
  <c r="AC70" i="47" a="1"/>
  <c r="AC70" i="47" s="1"/>
  <c r="AA70" i="47" a="1"/>
  <c r="AA70" i="47" s="1"/>
  <c r="BD69" i="47"/>
  <c r="AY69" i="47" a="1"/>
  <c r="AY69" i="47" s="1"/>
  <c r="AX69" i="47" a="1"/>
  <c r="AX69" i="47" s="1"/>
  <c r="AW69" i="47" a="1"/>
  <c r="AW69" i="47" s="1"/>
  <c r="AV69" i="47" a="1"/>
  <c r="AV69" i="47" s="1"/>
  <c r="AU69" i="47" a="1"/>
  <c r="AU69" i="47" s="1"/>
  <c r="AT69" i="47" a="1"/>
  <c r="AT69" i="47" s="1"/>
  <c r="AS69" i="47" a="1"/>
  <c r="AS69" i="47" s="1"/>
  <c r="AR69" i="47" a="1"/>
  <c r="AR69" i="47" s="1"/>
  <c r="AQ69" i="47" a="1"/>
  <c r="AQ69" i="47" s="1"/>
  <c r="AP69" i="47" a="1"/>
  <c r="AP69" i="47" s="1"/>
  <c r="AO69" i="47" a="1"/>
  <c r="AO69" i="47" s="1"/>
  <c r="AN69" i="47" a="1"/>
  <c r="AN69" i="47" s="1"/>
  <c r="AM69" i="47" a="1"/>
  <c r="AM69" i="47" s="1"/>
  <c r="AL69" i="47" a="1"/>
  <c r="AL69" i="47" s="1"/>
  <c r="AK69" i="47" a="1"/>
  <c r="AK69" i="47" s="1"/>
  <c r="AJ69" i="47" a="1"/>
  <c r="AJ69" i="47" s="1"/>
  <c r="AI69" i="47" a="1"/>
  <c r="AI69" i="47" s="1"/>
  <c r="AH69" i="47" a="1"/>
  <c r="AH69" i="47" s="1"/>
  <c r="AG69" i="47" a="1"/>
  <c r="AG69" i="47" s="1"/>
  <c r="AF69" i="47" a="1"/>
  <c r="AF69" i="47" s="1"/>
  <c r="AE69" i="47" a="1"/>
  <c r="AE69" i="47" s="1"/>
  <c r="AD69" i="47" a="1"/>
  <c r="AD69" i="47" s="1"/>
  <c r="AC69" i="47" a="1"/>
  <c r="AC69" i="47" s="1"/>
  <c r="AA69" i="47" a="1"/>
  <c r="AA69" i="47" s="1"/>
  <c r="BD68" i="47"/>
  <c r="AY68" i="47" a="1"/>
  <c r="AY68" i="47" s="1"/>
  <c r="AX68" i="47" a="1"/>
  <c r="AX68" i="47" s="1"/>
  <c r="AW68" i="47" a="1"/>
  <c r="AW68" i="47" s="1"/>
  <c r="AV68" i="47" a="1"/>
  <c r="AV68" i="47" s="1"/>
  <c r="AU68" i="47" a="1"/>
  <c r="AU68" i="47" s="1"/>
  <c r="AT68" i="47" a="1"/>
  <c r="AT68" i="47" s="1"/>
  <c r="AS68" i="47" a="1"/>
  <c r="AS68" i="47" s="1"/>
  <c r="AR68" i="47" a="1"/>
  <c r="AR68" i="47" s="1"/>
  <c r="AQ68" i="47" a="1"/>
  <c r="AQ68" i="47" s="1"/>
  <c r="AP68" i="47" a="1"/>
  <c r="AP68" i="47" s="1"/>
  <c r="AO68" i="47" a="1"/>
  <c r="AO68" i="47" s="1"/>
  <c r="AN68" i="47" a="1"/>
  <c r="AN68" i="47" s="1"/>
  <c r="AM68" i="47" a="1"/>
  <c r="AM68" i="47" s="1"/>
  <c r="AL68" i="47" a="1"/>
  <c r="AL68" i="47" s="1"/>
  <c r="AK68" i="47" a="1"/>
  <c r="AK68" i="47" s="1"/>
  <c r="AJ68" i="47" a="1"/>
  <c r="AJ68" i="47" s="1"/>
  <c r="AI68" i="47" a="1"/>
  <c r="AI68" i="47" s="1"/>
  <c r="AH68" i="47" a="1"/>
  <c r="AH68" i="47" s="1"/>
  <c r="AG68" i="47" a="1"/>
  <c r="AG68" i="47" s="1"/>
  <c r="AF68" i="47" a="1"/>
  <c r="AF68" i="47" s="1"/>
  <c r="AE68" i="47" a="1"/>
  <c r="AE68" i="47" s="1"/>
  <c r="AD68" i="47" a="1"/>
  <c r="AD68" i="47" s="1"/>
  <c r="AC68" i="47" a="1"/>
  <c r="AC68" i="47" s="1"/>
  <c r="AA68" i="47" a="1"/>
  <c r="AA68" i="47" s="1"/>
  <c r="BD67" i="47"/>
  <c r="AY67" i="47" a="1"/>
  <c r="AY67" i="47" s="1"/>
  <c r="AX67" i="47" a="1"/>
  <c r="AX67" i="47" s="1"/>
  <c r="AW67" i="47" a="1"/>
  <c r="AW67" i="47" s="1"/>
  <c r="AV67" i="47" a="1"/>
  <c r="AV67" i="47" s="1"/>
  <c r="AU67" i="47" a="1"/>
  <c r="AU67" i="47" s="1"/>
  <c r="AT67" i="47" a="1"/>
  <c r="AT67" i="47" s="1"/>
  <c r="AS67" i="47" a="1"/>
  <c r="AS67" i="47" s="1"/>
  <c r="AR67" i="47" a="1"/>
  <c r="AR67" i="47" s="1"/>
  <c r="AQ67" i="47" a="1"/>
  <c r="AQ67" i="47" s="1"/>
  <c r="AP67" i="47" a="1"/>
  <c r="AP67" i="47" s="1"/>
  <c r="AO67" i="47" a="1"/>
  <c r="AO67" i="47" s="1"/>
  <c r="AN67" i="47" a="1"/>
  <c r="AN67" i="47" s="1"/>
  <c r="AM67" i="47" a="1"/>
  <c r="AM67" i="47" s="1"/>
  <c r="AL67" i="47" a="1"/>
  <c r="AL67" i="47" s="1"/>
  <c r="AK67" i="47" a="1"/>
  <c r="AK67" i="47" s="1"/>
  <c r="AJ67" i="47" a="1"/>
  <c r="AJ67" i="47" s="1"/>
  <c r="AI67" i="47" a="1"/>
  <c r="AI67" i="47" s="1"/>
  <c r="AH67" i="47" a="1"/>
  <c r="AH67" i="47" s="1"/>
  <c r="AG67" i="47" a="1"/>
  <c r="AG67" i="47" s="1"/>
  <c r="AF67" i="47" a="1"/>
  <c r="AF67" i="47" s="1"/>
  <c r="AE67" i="47" a="1"/>
  <c r="AE67" i="47" s="1"/>
  <c r="AD67" i="47" a="1"/>
  <c r="AD67" i="47" s="1"/>
  <c r="AC67" i="47" a="1"/>
  <c r="AC67" i="47" s="1"/>
  <c r="AA67" i="47" a="1"/>
  <c r="AA67" i="47" s="1"/>
  <c r="BD66" i="47"/>
  <c r="AY66" i="47" a="1"/>
  <c r="AY66" i="47" s="1"/>
  <c r="AX66" i="47" a="1"/>
  <c r="AX66" i="47" s="1"/>
  <c r="AW66" i="47" a="1"/>
  <c r="AW66" i="47" s="1"/>
  <c r="AV66" i="47" a="1"/>
  <c r="AV66" i="47" s="1"/>
  <c r="AU66" i="47" a="1"/>
  <c r="AU66" i="47" s="1"/>
  <c r="AT66" i="47" a="1"/>
  <c r="AT66" i="47" s="1"/>
  <c r="AS66" i="47" a="1"/>
  <c r="AS66" i="47" s="1"/>
  <c r="AR66" i="47" a="1"/>
  <c r="AR66" i="47" s="1"/>
  <c r="AQ66" i="47" a="1"/>
  <c r="AQ66" i="47" s="1"/>
  <c r="AP66" i="47" a="1"/>
  <c r="AP66" i="47" s="1"/>
  <c r="AO66" i="47" a="1"/>
  <c r="AO66" i="47" s="1"/>
  <c r="AN66" i="47" a="1"/>
  <c r="AN66" i="47" s="1"/>
  <c r="AM66" i="47" a="1"/>
  <c r="AM66" i="47" s="1"/>
  <c r="AL66" i="47" a="1"/>
  <c r="AL66" i="47" s="1"/>
  <c r="AK66" i="47" a="1"/>
  <c r="AK66" i="47" s="1"/>
  <c r="AJ66" i="47" a="1"/>
  <c r="AJ66" i="47" s="1"/>
  <c r="AI66" i="47" a="1"/>
  <c r="AI66" i="47" s="1"/>
  <c r="AH66" i="47" a="1"/>
  <c r="AH66" i="47" s="1"/>
  <c r="AG66" i="47" a="1"/>
  <c r="AG66" i="47" s="1"/>
  <c r="AF66" i="47" a="1"/>
  <c r="AF66" i="47" s="1"/>
  <c r="AE66" i="47" a="1"/>
  <c r="AE66" i="47" s="1"/>
  <c r="AD66" i="47" a="1"/>
  <c r="AD66" i="47" s="1"/>
  <c r="AC66" i="47" a="1"/>
  <c r="AC66" i="47" s="1"/>
  <c r="AA66" i="47" a="1"/>
  <c r="AA66" i="47" s="1"/>
  <c r="BD65" i="47"/>
  <c r="AY65" i="47" a="1"/>
  <c r="AY65" i="47" s="1"/>
  <c r="AX65" i="47" a="1"/>
  <c r="AX65" i="47" s="1"/>
  <c r="AW65" i="47" a="1"/>
  <c r="AW65" i="47" s="1"/>
  <c r="AV65" i="47" a="1"/>
  <c r="AV65" i="47" s="1"/>
  <c r="AU65" i="47" a="1"/>
  <c r="AU65" i="47" s="1"/>
  <c r="AT65" i="47" a="1"/>
  <c r="AT65" i="47" s="1"/>
  <c r="AS65" i="47" a="1"/>
  <c r="AS65" i="47" s="1"/>
  <c r="AR65" i="47" a="1"/>
  <c r="AR65" i="47" s="1"/>
  <c r="AQ65" i="47" a="1"/>
  <c r="AQ65" i="47" s="1"/>
  <c r="AP65" i="47" a="1"/>
  <c r="AP65" i="47" s="1"/>
  <c r="AO65" i="47" a="1"/>
  <c r="AO65" i="47" s="1"/>
  <c r="AN65" i="47" a="1"/>
  <c r="AN65" i="47" s="1"/>
  <c r="AM65" i="47" a="1"/>
  <c r="AM65" i="47" s="1"/>
  <c r="AL65" i="47" a="1"/>
  <c r="AL65" i="47" s="1"/>
  <c r="AK65" i="47" a="1"/>
  <c r="AK65" i="47" s="1"/>
  <c r="AJ65" i="47" a="1"/>
  <c r="AJ65" i="47" s="1"/>
  <c r="AI65" i="47" a="1"/>
  <c r="AI65" i="47" s="1"/>
  <c r="AH65" i="47" a="1"/>
  <c r="AH65" i="47" s="1"/>
  <c r="AG65" i="47" a="1"/>
  <c r="AG65" i="47" s="1"/>
  <c r="AF65" i="47" a="1"/>
  <c r="AF65" i="47" s="1"/>
  <c r="AE65" i="47" a="1"/>
  <c r="AE65" i="47" s="1"/>
  <c r="AD65" i="47" a="1"/>
  <c r="AD65" i="47" s="1"/>
  <c r="AC65" i="47" a="1"/>
  <c r="AC65" i="47" s="1"/>
  <c r="AA65" i="47" a="1"/>
  <c r="AA65" i="47" s="1"/>
  <c r="BD64" i="47"/>
  <c r="AY64" i="47" a="1"/>
  <c r="AY64" i="47" s="1"/>
  <c r="AX64" i="47" a="1"/>
  <c r="AX64" i="47" s="1"/>
  <c r="AW64" i="47" a="1"/>
  <c r="AW64" i="47" s="1"/>
  <c r="AV64" i="47" a="1"/>
  <c r="AV64" i="47" s="1"/>
  <c r="AU64" i="47" a="1"/>
  <c r="AU64" i="47" s="1"/>
  <c r="AT64" i="47" a="1"/>
  <c r="AT64" i="47" s="1"/>
  <c r="AS64" i="47" a="1"/>
  <c r="AS64" i="47" s="1"/>
  <c r="AR64" i="47" a="1"/>
  <c r="AR64" i="47" s="1"/>
  <c r="AQ64" i="47" a="1"/>
  <c r="AQ64" i="47" s="1"/>
  <c r="AP64" i="47" a="1"/>
  <c r="AP64" i="47" s="1"/>
  <c r="AO64" i="47" a="1"/>
  <c r="AO64" i="47" s="1"/>
  <c r="AN64" i="47" a="1"/>
  <c r="AN64" i="47" s="1"/>
  <c r="AM64" i="47" a="1"/>
  <c r="AM64" i="47" s="1"/>
  <c r="AL64" i="47" a="1"/>
  <c r="AL64" i="47" s="1"/>
  <c r="AK64" i="47" a="1"/>
  <c r="AK64" i="47" s="1"/>
  <c r="AJ64" i="47" a="1"/>
  <c r="AJ64" i="47" s="1"/>
  <c r="AI64" i="47" a="1"/>
  <c r="AI64" i="47" s="1"/>
  <c r="AH64" i="47" a="1"/>
  <c r="AH64" i="47" s="1"/>
  <c r="AG64" i="47" a="1"/>
  <c r="AG64" i="47" s="1"/>
  <c r="AF64" i="47" a="1"/>
  <c r="AF64" i="47" s="1"/>
  <c r="AE64" i="47" a="1"/>
  <c r="AE64" i="47" s="1"/>
  <c r="AD64" i="47" a="1"/>
  <c r="AD64" i="47" s="1"/>
  <c r="AC64" i="47" a="1"/>
  <c r="AC64" i="47" s="1"/>
  <c r="AA64" i="47" a="1"/>
  <c r="AA64" i="47" s="1"/>
  <c r="BD63" i="47"/>
  <c r="AY63" i="47" a="1"/>
  <c r="AY63" i="47" s="1"/>
  <c r="AX63" i="47" a="1"/>
  <c r="AX63" i="47" s="1"/>
  <c r="AW63" i="47" a="1"/>
  <c r="AW63" i="47" s="1"/>
  <c r="AV63" i="47" a="1"/>
  <c r="AV63" i="47" s="1"/>
  <c r="AU63" i="47" a="1"/>
  <c r="AU63" i="47" s="1"/>
  <c r="AT63" i="47" a="1"/>
  <c r="AT63" i="47" s="1"/>
  <c r="AS63" i="47" a="1"/>
  <c r="AS63" i="47" s="1"/>
  <c r="AR63" i="47" a="1"/>
  <c r="AR63" i="47" s="1"/>
  <c r="AQ63" i="47" a="1"/>
  <c r="AQ63" i="47" s="1"/>
  <c r="AP63" i="47" a="1"/>
  <c r="AP63" i="47" s="1"/>
  <c r="AO63" i="47" a="1"/>
  <c r="AO63" i="47" s="1"/>
  <c r="AN63" i="47" a="1"/>
  <c r="AN63" i="47" s="1"/>
  <c r="AM63" i="47" a="1"/>
  <c r="AM63" i="47" s="1"/>
  <c r="AL63" i="47" a="1"/>
  <c r="AL63" i="47" s="1"/>
  <c r="AK63" i="47" a="1"/>
  <c r="AK63" i="47" s="1"/>
  <c r="AJ63" i="47" a="1"/>
  <c r="AJ63" i="47" s="1"/>
  <c r="AI63" i="47" a="1"/>
  <c r="AI63" i="47" s="1"/>
  <c r="AH63" i="47" a="1"/>
  <c r="AH63" i="47" s="1"/>
  <c r="AG63" i="47" a="1"/>
  <c r="AG63" i="47" s="1"/>
  <c r="AF63" i="47" a="1"/>
  <c r="AF63" i="47" s="1"/>
  <c r="AE63" i="47" a="1"/>
  <c r="AE63" i="47" s="1"/>
  <c r="AD63" i="47" a="1"/>
  <c r="AD63" i="47" s="1"/>
  <c r="AC63" i="47" a="1"/>
  <c r="AC63" i="47" s="1"/>
  <c r="AA63" i="47" a="1"/>
  <c r="AA63" i="47" s="1"/>
  <c r="BD62" i="47"/>
  <c r="AY62" i="47" a="1"/>
  <c r="AY62" i="47" s="1"/>
  <c r="AX62" i="47" a="1"/>
  <c r="AX62" i="47" s="1"/>
  <c r="AW62" i="47" a="1"/>
  <c r="AW62" i="47" s="1"/>
  <c r="AV62" i="47" a="1"/>
  <c r="AV62" i="47" s="1"/>
  <c r="AU62" i="47" a="1"/>
  <c r="AU62" i="47" s="1"/>
  <c r="AT62" i="47" a="1"/>
  <c r="AT62" i="47" s="1"/>
  <c r="AS62" i="47" a="1"/>
  <c r="AS62" i="47" s="1"/>
  <c r="AR62" i="47" a="1"/>
  <c r="AR62" i="47" s="1"/>
  <c r="AQ62" i="47" a="1"/>
  <c r="AQ62" i="47" s="1"/>
  <c r="AP62" i="47" a="1"/>
  <c r="AP62" i="47" s="1"/>
  <c r="AO62" i="47" a="1"/>
  <c r="AO62" i="47" s="1"/>
  <c r="AN62" i="47" a="1"/>
  <c r="AN62" i="47" s="1"/>
  <c r="AM62" i="47" a="1"/>
  <c r="AM62" i="47" s="1"/>
  <c r="AL62" i="47" a="1"/>
  <c r="AL62" i="47" s="1"/>
  <c r="AK62" i="47" a="1"/>
  <c r="AK62" i="47" s="1"/>
  <c r="AJ62" i="47" a="1"/>
  <c r="AJ62" i="47" s="1"/>
  <c r="AI62" i="47" a="1"/>
  <c r="AI62" i="47" s="1"/>
  <c r="AH62" i="47" a="1"/>
  <c r="AH62" i="47" s="1"/>
  <c r="AG62" i="47" a="1"/>
  <c r="AG62" i="47" s="1"/>
  <c r="AF62" i="47" a="1"/>
  <c r="AF62" i="47" s="1"/>
  <c r="AE62" i="47" a="1"/>
  <c r="AE62" i="47" s="1"/>
  <c r="AD62" i="47" a="1"/>
  <c r="AD62" i="47" s="1"/>
  <c r="AC62" i="47" a="1"/>
  <c r="AC62" i="47" s="1"/>
  <c r="AA62" i="47" a="1"/>
  <c r="AA62" i="47" s="1"/>
  <c r="BD53" i="47"/>
  <c r="AY53" i="47" a="1"/>
  <c r="AY53" i="47" s="1"/>
  <c r="AX53" i="47" a="1"/>
  <c r="AX53" i="47" s="1"/>
  <c r="AW53" i="47" a="1"/>
  <c r="AW53" i="47" s="1"/>
  <c r="AV53" i="47" a="1"/>
  <c r="AV53" i="47" s="1"/>
  <c r="AU53" i="47" a="1"/>
  <c r="AU53" i="47" s="1"/>
  <c r="AT53" i="47" a="1"/>
  <c r="AT53" i="47" s="1"/>
  <c r="AS53" i="47" a="1"/>
  <c r="AS53" i="47" s="1"/>
  <c r="AR53" i="47" a="1"/>
  <c r="AR53" i="47" s="1"/>
  <c r="AQ53" i="47" a="1"/>
  <c r="AQ53" i="47" s="1"/>
  <c r="AP53" i="47" a="1"/>
  <c r="AP53" i="47" s="1"/>
  <c r="AO53" i="47" a="1"/>
  <c r="AO53" i="47" s="1"/>
  <c r="AN53" i="47" a="1"/>
  <c r="AN53" i="47" s="1"/>
  <c r="AM53" i="47" a="1"/>
  <c r="AM53" i="47" s="1"/>
  <c r="AL53" i="47" a="1"/>
  <c r="AL53" i="47" s="1"/>
  <c r="AK53" i="47" a="1"/>
  <c r="AK53" i="47" s="1"/>
  <c r="AJ53" i="47" a="1"/>
  <c r="AJ53" i="47" s="1"/>
  <c r="AI53" i="47" a="1"/>
  <c r="AI53" i="47" s="1"/>
  <c r="AH53" i="47" a="1"/>
  <c r="AH53" i="47" s="1"/>
  <c r="AG53" i="47" a="1"/>
  <c r="AG53" i="47" s="1"/>
  <c r="AF53" i="47" a="1"/>
  <c r="AF53" i="47" s="1"/>
  <c r="AE53" i="47" a="1"/>
  <c r="AE53" i="47" s="1"/>
  <c r="AD53" i="47" a="1"/>
  <c r="AD53" i="47" s="1"/>
  <c r="AC53" i="47" a="1"/>
  <c r="AC53" i="47" s="1"/>
  <c r="AA53" i="47" a="1"/>
  <c r="AA53" i="47" s="1"/>
  <c r="BD52" i="47"/>
  <c r="AY52" i="47" a="1"/>
  <c r="AY52" i="47" s="1"/>
  <c r="AX52" i="47" a="1"/>
  <c r="AX52" i="47" s="1"/>
  <c r="AW52" i="47" a="1"/>
  <c r="AW52" i="47" s="1"/>
  <c r="AV52" i="47" a="1"/>
  <c r="AV52" i="47" s="1"/>
  <c r="AU52" i="47" a="1"/>
  <c r="AU52" i="47" s="1"/>
  <c r="AT52" i="47" a="1"/>
  <c r="AT52" i="47" s="1"/>
  <c r="AS52" i="47" a="1"/>
  <c r="AS52" i="47" s="1"/>
  <c r="AR52" i="47" a="1"/>
  <c r="AR52" i="47" s="1"/>
  <c r="AQ52" i="47" a="1"/>
  <c r="AQ52" i="47" s="1"/>
  <c r="AP52" i="47" a="1"/>
  <c r="AP52" i="47" s="1"/>
  <c r="AO52" i="47" a="1"/>
  <c r="AO52" i="47" s="1"/>
  <c r="AN52" i="47" a="1"/>
  <c r="AN52" i="47" s="1"/>
  <c r="AM52" i="47" a="1"/>
  <c r="AM52" i="47" s="1"/>
  <c r="AL52" i="47" a="1"/>
  <c r="AL52" i="47" s="1"/>
  <c r="AK52" i="47" a="1"/>
  <c r="AK52" i="47" s="1"/>
  <c r="AJ52" i="47" a="1"/>
  <c r="AJ52" i="47" s="1"/>
  <c r="AI52" i="47" a="1"/>
  <c r="AI52" i="47" s="1"/>
  <c r="AH52" i="47" a="1"/>
  <c r="AH52" i="47" s="1"/>
  <c r="AG52" i="47" a="1"/>
  <c r="AG52" i="47" s="1"/>
  <c r="AF52" i="47" a="1"/>
  <c r="AF52" i="47" s="1"/>
  <c r="AE52" i="47" a="1"/>
  <c r="AE52" i="47" s="1"/>
  <c r="AD52" i="47" a="1"/>
  <c r="AD52" i="47" s="1"/>
  <c r="AC52" i="47" a="1"/>
  <c r="AC52" i="47" s="1"/>
  <c r="AA52" i="47" a="1"/>
  <c r="AA52" i="47" s="1"/>
  <c r="BD51" i="47"/>
  <c r="AY51" i="47" a="1"/>
  <c r="AY51" i="47" s="1"/>
  <c r="AX51" i="47" a="1"/>
  <c r="AX51" i="47" s="1"/>
  <c r="AW51" i="47" a="1"/>
  <c r="AW51" i="47" s="1"/>
  <c r="AV51" i="47" a="1"/>
  <c r="AV51" i="47" s="1"/>
  <c r="AU51" i="47" a="1"/>
  <c r="AU51" i="47" s="1"/>
  <c r="AT51" i="47" a="1"/>
  <c r="AT51" i="47" s="1"/>
  <c r="AS51" i="47" a="1"/>
  <c r="AS51" i="47" s="1"/>
  <c r="AR51" i="47" a="1"/>
  <c r="AR51" i="47" s="1"/>
  <c r="AQ51" i="47" a="1"/>
  <c r="AQ51" i="47" s="1"/>
  <c r="AP51" i="47" a="1"/>
  <c r="AP51" i="47" s="1"/>
  <c r="AO51" i="47" a="1"/>
  <c r="AO51" i="47" s="1"/>
  <c r="AN51" i="47" a="1"/>
  <c r="AN51" i="47" s="1"/>
  <c r="AM51" i="47" a="1"/>
  <c r="AM51" i="47" s="1"/>
  <c r="AL51" i="47" a="1"/>
  <c r="AL51" i="47" s="1"/>
  <c r="AK51" i="47" a="1"/>
  <c r="AK51" i="47" s="1"/>
  <c r="AJ51" i="47" a="1"/>
  <c r="AJ51" i="47" s="1"/>
  <c r="AI51" i="47" a="1"/>
  <c r="AI51" i="47" s="1"/>
  <c r="AH51" i="47" a="1"/>
  <c r="AH51" i="47" s="1"/>
  <c r="AG51" i="47" a="1"/>
  <c r="AG51" i="47" s="1"/>
  <c r="AF51" i="47" a="1"/>
  <c r="AF51" i="47" s="1"/>
  <c r="AE51" i="47" a="1"/>
  <c r="AE51" i="47" s="1"/>
  <c r="AD51" i="47" a="1"/>
  <c r="AD51" i="47" s="1"/>
  <c r="AC51" i="47" a="1"/>
  <c r="AC51" i="47" s="1"/>
  <c r="AA51" i="47" a="1"/>
  <c r="AA51" i="47" s="1"/>
  <c r="BD50" i="47"/>
  <c r="AY50" i="47" a="1"/>
  <c r="AY50" i="47" s="1"/>
  <c r="AX50" i="47" a="1"/>
  <c r="AX50" i="47" s="1"/>
  <c r="AW50" i="47" a="1"/>
  <c r="AW50" i="47" s="1"/>
  <c r="AV50" i="47" a="1"/>
  <c r="AV50" i="47" s="1"/>
  <c r="AU50" i="47" a="1"/>
  <c r="AU50" i="47" s="1"/>
  <c r="AT50" i="47" a="1"/>
  <c r="AT50" i="47" s="1"/>
  <c r="AS50" i="47" a="1"/>
  <c r="AS50" i="47" s="1"/>
  <c r="AR50" i="47" a="1"/>
  <c r="AR50" i="47" s="1"/>
  <c r="AQ50" i="47" a="1"/>
  <c r="AQ50" i="47" s="1"/>
  <c r="AP50" i="47" a="1"/>
  <c r="AP50" i="47" s="1"/>
  <c r="AO50" i="47" a="1"/>
  <c r="AO50" i="47" s="1"/>
  <c r="AN50" i="47" a="1"/>
  <c r="AN50" i="47" s="1"/>
  <c r="AM50" i="47" a="1"/>
  <c r="AM50" i="47" s="1"/>
  <c r="AL50" i="47" a="1"/>
  <c r="AL50" i="47" s="1"/>
  <c r="AK50" i="47" a="1"/>
  <c r="AK50" i="47" s="1"/>
  <c r="AJ50" i="47" a="1"/>
  <c r="AJ50" i="47" s="1"/>
  <c r="AI50" i="47" a="1"/>
  <c r="AI50" i="47" s="1"/>
  <c r="AH50" i="47" a="1"/>
  <c r="AH50" i="47" s="1"/>
  <c r="AG50" i="47" a="1"/>
  <c r="AG50" i="47" s="1"/>
  <c r="AF50" i="47" a="1"/>
  <c r="AF50" i="47" s="1"/>
  <c r="AE50" i="47" a="1"/>
  <c r="AE50" i="47" s="1"/>
  <c r="AD50" i="47" a="1"/>
  <c r="AD50" i="47" s="1"/>
  <c r="AC50" i="47" a="1"/>
  <c r="AC50" i="47" s="1"/>
  <c r="AA50" i="47" a="1"/>
  <c r="AA50" i="47" s="1"/>
  <c r="BD49" i="47"/>
  <c r="AY49" i="47" a="1"/>
  <c r="AY49" i="47" s="1"/>
  <c r="AX49" i="47" a="1"/>
  <c r="AX49" i="47" s="1"/>
  <c r="AW49" i="47" a="1"/>
  <c r="AW49" i="47" s="1"/>
  <c r="AV49" i="47" a="1"/>
  <c r="AV49" i="47" s="1"/>
  <c r="AU49" i="47" a="1"/>
  <c r="AU49" i="47" s="1"/>
  <c r="AT49" i="47" a="1"/>
  <c r="AT49" i="47" s="1"/>
  <c r="AS49" i="47" a="1"/>
  <c r="AS49" i="47" s="1"/>
  <c r="AR49" i="47" a="1"/>
  <c r="AR49" i="47" s="1"/>
  <c r="AQ49" i="47" a="1"/>
  <c r="AQ49" i="47" s="1"/>
  <c r="AP49" i="47" a="1"/>
  <c r="AP49" i="47" s="1"/>
  <c r="AO49" i="47" a="1"/>
  <c r="AO49" i="47" s="1"/>
  <c r="AN49" i="47" a="1"/>
  <c r="AN49" i="47" s="1"/>
  <c r="AM49" i="47" a="1"/>
  <c r="AM49" i="47" s="1"/>
  <c r="AL49" i="47" a="1"/>
  <c r="AL49" i="47" s="1"/>
  <c r="AK49" i="47" a="1"/>
  <c r="AK49" i="47" s="1"/>
  <c r="AJ49" i="47" a="1"/>
  <c r="AJ49" i="47" s="1"/>
  <c r="AI49" i="47" a="1"/>
  <c r="AI49" i="47" s="1"/>
  <c r="AH49" i="47" a="1"/>
  <c r="AH49" i="47" s="1"/>
  <c r="AG49" i="47" a="1"/>
  <c r="AG49" i="47" s="1"/>
  <c r="AF49" i="47" a="1"/>
  <c r="AF49" i="47" s="1"/>
  <c r="AE49" i="47" a="1"/>
  <c r="AE49" i="47" s="1"/>
  <c r="AD49" i="47" a="1"/>
  <c r="AD49" i="47" s="1"/>
  <c r="AC49" i="47" a="1"/>
  <c r="AC49" i="47" s="1"/>
  <c r="AA49" i="47" a="1"/>
  <c r="AA49" i="47" s="1"/>
  <c r="BD48" i="47"/>
  <c r="AY48" i="47" a="1"/>
  <c r="AY48" i="47" s="1"/>
  <c r="AX48" i="47" a="1"/>
  <c r="AX48" i="47" s="1"/>
  <c r="AW48" i="47" a="1"/>
  <c r="AW48" i="47" s="1"/>
  <c r="AV48" i="47" a="1"/>
  <c r="AV48" i="47" s="1"/>
  <c r="AU48" i="47" a="1"/>
  <c r="AU48" i="47" s="1"/>
  <c r="AT48" i="47" a="1"/>
  <c r="AT48" i="47" s="1"/>
  <c r="AS48" i="47" a="1"/>
  <c r="AS48" i="47" s="1"/>
  <c r="AR48" i="47" a="1"/>
  <c r="AR48" i="47" s="1"/>
  <c r="AQ48" i="47" a="1"/>
  <c r="AQ48" i="47" s="1"/>
  <c r="AP48" i="47" a="1"/>
  <c r="AP48" i="47" s="1"/>
  <c r="AO48" i="47" a="1"/>
  <c r="AO48" i="47" s="1"/>
  <c r="AN48" i="47" a="1"/>
  <c r="AN48" i="47" s="1"/>
  <c r="AM48" i="47" a="1"/>
  <c r="AM48" i="47" s="1"/>
  <c r="AL48" i="47" a="1"/>
  <c r="AL48" i="47" s="1"/>
  <c r="AK48" i="47" a="1"/>
  <c r="AK48" i="47" s="1"/>
  <c r="AJ48" i="47" a="1"/>
  <c r="AJ48" i="47" s="1"/>
  <c r="AI48" i="47" a="1"/>
  <c r="AI48" i="47" s="1"/>
  <c r="AH48" i="47" a="1"/>
  <c r="AH48" i="47" s="1"/>
  <c r="AG48" i="47" a="1"/>
  <c r="AG48" i="47" s="1"/>
  <c r="AF48" i="47" a="1"/>
  <c r="AF48" i="47" s="1"/>
  <c r="AE48" i="47" a="1"/>
  <c r="AE48" i="47" s="1"/>
  <c r="AD48" i="47" a="1"/>
  <c r="AD48" i="47" s="1"/>
  <c r="AC48" i="47" a="1"/>
  <c r="AC48" i="47" s="1"/>
  <c r="AA48" i="47" a="1"/>
  <c r="AA48" i="47" s="1"/>
  <c r="BD47" i="47"/>
  <c r="AY47" i="47" a="1"/>
  <c r="AY47" i="47" s="1"/>
  <c r="AX47" i="47" a="1"/>
  <c r="AX47" i="47" s="1"/>
  <c r="AW47" i="47" a="1"/>
  <c r="AW47" i="47" s="1"/>
  <c r="AV47" i="47" a="1"/>
  <c r="AV47" i="47" s="1"/>
  <c r="AU47" i="47" a="1"/>
  <c r="AU47" i="47" s="1"/>
  <c r="AT47" i="47" a="1"/>
  <c r="AT47" i="47" s="1"/>
  <c r="AS47" i="47" a="1"/>
  <c r="AS47" i="47" s="1"/>
  <c r="AR47" i="47" a="1"/>
  <c r="AR47" i="47" s="1"/>
  <c r="AQ47" i="47" a="1"/>
  <c r="AQ47" i="47" s="1"/>
  <c r="AP47" i="47" a="1"/>
  <c r="AP47" i="47" s="1"/>
  <c r="AO47" i="47" a="1"/>
  <c r="AO47" i="47" s="1"/>
  <c r="AN47" i="47" a="1"/>
  <c r="AN47" i="47" s="1"/>
  <c r="AM47" i="47" a="1"/>
  <c r="AM47" i="47" s="1"/>
  <c r="AL47" i="47" a="1"/>
  <c r="AL47" i="47" s="1"/>
  <c r="AK47" i="47" a="1"/>
  <c r="AK47" i="47" s="1"/>
  <c r="AJ47" i="47" a="1"/>
  <c r="AJ47" i="47" s="1"/>
  <c r="AI47" i="47" a="1"/>
  <c r="AI47" i="47" s="1"/>
  <c r="AH47" i="47" a="1"/>
  <c r="AH47" i="47" s="1"/>
  <c r="AG47" i="47" a="1"/>
  <c r="AG47" i="47" s="1"/>
  <c r="AF47" i="47" a="1"/>
  <c r="AF47" i="47" s="1"/>
  <c r="AE47" i="47" a="1"/>
  <c r="AE47" i="47" s="1"/>
  <c r="AD47" i="47" a="1"/>
  <c r="AD47" i="47" s="1"/>
  <c r="AC47" i="47" a="1"/>
  <c r="AC47" i="47" s="1"/>
  <c r="AA47" i="47" a="1"/>
  <c r="AA47" i="47" s="1"/>
  <c r="BD46" i="47"/>
  <c r="AY46" i="47" a="1"/>
  <c r="AY46" i="47" s="1"/>
  <c r="AX46" i="47" a="1"/>
  <c r="AX46" i="47" s="1"/>
  <c r="AW46" i="47" a="1"/>
  <c r="AW46" i="47" s="1"/>
  <c r="AV46" i="47" a="1"/>
  <c r="AV46" i="47" s="1"/>
  <c r="AU46" i="47" a="1"/>
  <c r="AU46" i="47" s="1"/>
  <c r="AT46" i="47" a="1"/>
  <c r="AT46" i="47" s="1"/>
  <c r="AS46" i="47" a="1"/>
  <c r="AS46" i="47" s="1"/>
  <c r="AR46" i="47" a="1"/>
  <c r="AR46" i="47" s="1"/>
  <c r="AQ46" i="47" a="1"/>
  <c r="AQ46" i="47" s="1"/>
  <c r="AP46" i="47" a="1"/>
  <c r="AP46" i="47" s="1"/>
  <c r="AO46" i="47" a="1"/>
  <c r="AO46" i="47" s="1"/>
  <c r="AN46" i="47" a="1"/>
  <c r="AN46" i="47" s="1"/>
  <c r="AM46" i="47" a="1"/>
  <c r="AM46" i="47" s="1"/>
  <c r="AL46" i="47" a="1"/>
  <c r="AL46" i="47" s="1"/>
  <c r="AK46" i="47" a="1"/>
  <c r="AK46" i="47" s="1"/>
  <c r="AJ46" i="47" a="1"/>
  <c r="AJ46" i="47" s="1"/>
  <c r="AI46" i="47" a="1"/>
  <c r="AI46" i="47" s="1"/>
  <c r="AH46" i="47" a="1"/>
  <c r="AH46" i="47" s="1"/>
  <c r="AG46" i="47" a="1"/>
  <c r="AG46" i="47" s="1"/>
  <c r="AF46" i="47" a="1"/>
  <c r="AF46" i="47" s="1"/>
  <c r="AE46" i="47" a="1"/>
  <c r="AE46" i="47" s="1"/>
  <c r="AD46" i="47" a="1"/>
  <c r="AD46" i="47" s="1"/>
  <c r="AC46" i="47" a="1"/>
  <c r="AC46" i="47" s="1"/>
  <c r="AA46" i="47" a="1"/>
  <c r="AA46" i="47" s="1"/>
  <c r="BD45" i="47"/>
  <c r="AY45" i="47" a="1"/>
  <c r="AY45" i="47" s="1"/>
  <c r="AX45" i="47" a="1"/>
  <c r="AX45" i="47" s="1"/>
  <c r="AW45" i="47" a="1"/>
  <c r="AW45" i="47" s="1"/>
  <c r="AV45" i="47" a="1"/>
  <c r="AV45" i="47" s="1"/>
  <c r="AU45" i="47" a="1"/>
  <c r="AU45" i="47" s="1"/>
  <c r="AT45" i="47" a="1"/>
  <c r="AT45" i="47" s="1"/>
  <c r="AS45" i="47" a="1"/>
  <c r="AS45" i="47" s="1"/>
  <c r="AR45" i="47" a="1"/>
  <c r="AR45" i="47" s="1"/>
  <c r="AQ45" i="47" a="1"/>
  <c r="AQ45" i="47" s="1"/>
  <c r="AP45" i="47" a="1"/>
  <c r="AP45" i="47" s="1"/>
  <c r="AO45" i="47" a="1"/>
  <c r="AO45" i="47" s="1"/>
  <c r="AN45" i="47" a="1"/>
  <c r="AN45" i="47" s="1"/>
  <c r="AM45" i="47" a="1"/>
  <c r="AM45" i="47" s="1"/>
  <c r="AL45" i="47" a="1"/>
  <c r="AL45" i="47" s="1"/>
  <c r="AK45" i="47" a="1"/>
  <c r="AK45" i="47" s="1"/>
  <c r="AJ45" i="47" a="1"/>
  <c r="AJ45" i="47" s="1"/>
  <c r="AI45" i="47" a="1"/>
  <c r="AI45" i="47" s="1"/>
  <c r="AH45" i="47" a="1"/>
  <c r="AH45" i="47" s="1"/>
  <c r="AG45" i="47" a="1"/>
  <c r="AG45" i="47" s="1"/>
  <c r="AF45" i="47" a="1"/>
  <c r="AF45" i="47" s="1"/>
  <c r="AE45" i="47" a="1"/>
  <c r="AE45" i="47" s="1"/>
  <c r="AD45" i="47" a="1"/>
  <c r="AD45" i="47" s="1"/>
  <c r="AC45" i="47" a="1"/>
  <c r="AC45" i="47" s="1"/>
  <c r="AA45" i="47" a="1"/>
  <c r="AA45" i="47" s="1"/>
  <c r="BD44" i="47"/>
  <c r="AY44" i="47" a="1"/>
  <c r="AY44" i="47" s="1"/>
  <c r="AX44" i="47" a="1"/>
  <c r="AX44" i="47" s="1"/>
  <c r="AW44" i="47" a="1"/>
  <c r="AW44" i="47" s="1"/>
  <c r="AV44" i="47" a="1"/>
  <c r="AV44" i="47" s="1"/>
  <c r="AU44" i="47" a="1"/>
  <c r="AU44" i="47" s="1"/>
  <c r="AT44" i="47" a="1"/>
  <c r="AT44" i="47" s="1"/>
  <c r="AS44" i="47" a="1"/>
  <c r="AS44" i="47" s="1"/>
  <c r="AR44" i="47" a="1"/>
  <c r="AR44" i="47" s="1"/>
  <c r="AQ44" i="47" a="1"/>
  <c r="AQ44" i="47" s="1"/>
  <c r="AP44" i="47" a="1"/>
  <c r="AP44" i="47" s="1"/>
  <c r="AO44" i="47" a="1"/>
  <c r="AO44" i="47" s="1"/>
  <c r="AN44" i="47" a="1"/>
  <c r="AN44" i="47" s="1"/>
  <c r="AM44" i="47" a="1"/>
  <c r="AM44" i="47" s="1"/>
  <c r="AL44" i="47" a="1"/>
  <c r="AL44" i="47" s="1"/>
  <c r="AK44" i="47" a="1"/>
  <c r="AK44" i="47" s="1"/>
  <c r="AJ44" i="47" a="1"/>
  <c r="AJ44" i="47" s="1"/>
  <c r="AI44" i="47" a="1"/>
  <c r="AI44" i="47" s="1"/>
  <c r="AH44" i="47" a="1"/>
  <c r="AH44" i="47" s="1"/>
  <c r="AG44" i="47" a="1"/>
  <c r="AG44" i="47" s="1"/>
  <c r="AF44" i="47" a="1"/>
  <c r="AF44" i="47" s="1"/>
  <c r="AE44" i="47" a="1"/>
  <c r="AE44" i="47" s="1"/>
  <c r="AD44" i="47" a="1"/>
  <c r="AD44" i="47" s="1"/>
  <c r="AC44" i="47" a="1"/>
  <c r="AC44" i="47" s="1"/>
  <c r="AA44" i="47" a="1"/>
  <c r="AA44" i="47" s="1"/>
  <c r="BD43" i="47"/>
  <c r="AY43" i="47" a="1"/>
  <c r="AY43" i="47" s="1"/>
  <c r="AX43" i="47" a="1"/>
  <c r="AX43" i="47" s="1"/>
  <c r="AW43" i="47" a="1"/>
  <c r="AW43" i="47" s="1"/>
  <c r="AV43" i="47" a="1"/>
  <c r="AV43" i="47" s="1"/>
  <c r="AU43" i="47" a="1"/>
  <c r="AU43" i="47" s="1"/>
  <c r="AT43" i="47" a="1"/>
  <c r="AT43" i="47" s="1"/>
  <c r="AS43" i="47" a="1"/>
  <c r="AS43" i="47" s="1"/>
  <c r="AR43" i="47" a="1"/>
  <c r="AR43" i="47" s="1"/>
  <c r="AQ43" i="47" a="1"/>
  <c r="AQ43" i="47" s="1"/>
  <c r="AP43" i="47" a="1"/>
  <c r="AP43" i="47" s="1"/>
  <c r="AO43" i="47" a="1"/>
  <c r="AO43" i="47" s="1"/>
  <c r="AN43" i="47" a="1"/>
  <c r="AN43" i="47" s="1"/>
  <c r="AM43" i="47" a="1"/>
  <c r="AM43" i="47" s="1"/>
  <c r="AL43" i="47" a="1"/>
  <c r="AL43" i="47" s="1"/>
  <c r="AK43" i="47" a="1"/>
  <c r="AK43" i="47" s="1"/>
  <c r="AJ43" i="47" a="1"/>
  <c r="AJ43" i="47" s="1"/>
  <c r="AI43" i="47" a="1"/>
  <c r="AI43" i="47" s="1"/>
  <c r="AH43" i="47" a="1"/>
  <c r="AH43" i="47" s="1"/>
  <c r="AG43" i="47" a="1"/>
  <c r="AG43" i="47" s="1"/>
  <c r="AF43" i="47" a="1"/>
  <c r="AF43" i="47" s="1"/>
  <c r="AE43" i="47" a="1"/>
  <c r="AE43" i="47" s="1"/>
  <c r="AD43" i="47" a="1"/>
  <c r="AD43" i="47" s="1"/>
  <c r="AC43" i="47" a="1"/>
  <c r="AC43" i="47" s="1"/>
  <c r="AA43" i="47" a="1"/>
  <c r="AA43" i="47" s="1"/>
  <c r="BD42" i="47"/>
  <c r="AY42" i="47" a="1"/>
  <c r="AY42" i="47" s="1"/>
  <c r="AX42" i="47" a="1"/>
  <c r="AX42" i="47" s="1"/>
  <c r="AW42" i="47" a="1"/>
  <c r="AW42" i="47" s="1"/>
  <c r="AV42" i="47" a="1"/>
  <c r="AV42" i="47" s="1"/>
  <c r="AU42" i="47" a="1"/>
  <c r="AU42" i="47" s="1"/>
  <c r="AT42" i="47" a="1"/>
  <c r="AT42" i="47" s="1"/>
  <c r="AS42" i="47" a="1"/>
  <c r="AS42" i="47" s="1"/>
  <c r="AR42" i="47" a="1"/>
  <c r="AR42" i="47" s="1"/>
  <c r="AQ42" i="47" a="1"/>
  <c r="AQ42" i="47" s="1"/>
  <c r="AP42" i="47" a="1"/>
  <c r="AP42" i="47" s="1"/>
  <c r="AO42" i="47" a="1"/>
  <c r="AO42" i="47" s="1"/>
  <c r="AN42" i="47" a="1"/>
  <c r="AN42" i="47" s="1"/>
  <c r="AM42" i="47" a="1"/>
  <c r="AM42" i="47" s="1"/>
  <c r="AL42" i="47" a="1"/>
  <c r="AL42" i="47" s="1"/>
  <c r="AK42" i="47" a="1"/>
  <c r="AK42" i="47" s="1"/>
  <c r="AJ42" i="47" a="1"/>
  <c r="AJ42" i="47" s="1"/>
  <c r="AI42" i="47" a="1"/>
  <c r="AI42" i="47" s="1"/>
  <c r="AH42" i="47" a="1"/>
  <c r="AH42" i="47" s="1"/>
  <c r="AG42" i="47" a="1"/>
  <c r="AG42" i="47" s="1"/>
  <c r="AF42" i="47" a="1"/>
  <c r="AF42" i="47" s="1"/>
  <c r="AE42" i="47" a="1"/>
  <c r="AE42" i="47" s="1"/>
  <c r="AD42" i="47" a="1"/>
  <c r="AD42" i="47" s="1"/>
  <c r="AC42" i="47" a="1"/>
  <c r="AC42" i="47" s="1"/>
  <c r="AA42" i="47" a="1"/>
  <c r="AA42" i="47" s="1"/>
  <c r="BD41" i="47"/>
  <c r="AY41" i="47" a="1"/>
  <c r="AY41" i="47" s="1"/>
  <c r="AX41" i="47" a="1"/>
  <c r="AX41" i="47" s="1"/>
  <c r="AW41" i="47" a="1"/>
  <c r="AW41" i="47" s="1"/>
  <c r="AV41" i="47" a="1"/>
  <c r="AV41" i="47" s="1"/>
  <c r="AU41" i="47" a="1"/>
  <c r="AU41" i="47" s="1"/>
  <c r="AT41" i="47" a="1"/>
  <c r="AT41" i="47" s="1"/>
  <c r="AS41" i="47" a="1"/>
  <c r="AS41" i="47" s="1"/>
  <c r="AR41" i="47" a="1"/>
  <c r="AR41" i="47" s="1"/>
  <c r="AQ41" i="47" a="1"/>
  <c r="AQ41" i="47" s="1"/>
  <c r="AP41" i="47" a="1"/>
  <c r="AP41" i="47" s="1"/>
  <c r="AO41" i="47" a="1"/>
  <c r="AO41" i="47" s="1"/>
  <c r="AN41" i="47" a="1"/>
  <c r="AN41" i="47" s="1"/>
  <c r="AM41" i="47" a="1"/>
  <c r="AM41" i="47" s="1"/>
  <c r="AL41" i="47" a="1"/>
  <c r="AL41" i="47" s="1"/>
  <c r="AK41" i="47" a="1"/>
  <c r="AK41" i="47" s="1"/>
  <c r="AJ41" i="47" a="1"/>
  <c r="AJ41" i="47" s="1"/>
  <c r="AI41" i="47" a="1"/>
  <c r="AI41" i="47" s="1"/>
  <c r="AH41" i="47" a="1"/>
  <c r="AH41" i="47" s="1"/>
  <c r="AG41" i="47" a="1"/>
  <c r="AG41" i="47" s="1"/>
  <c r="AF41" i="47" a="1"/>
  <c r="AF41" i="47" s="1"/>
  <c r="AE41" i="47" a="1"/>
  <c r="AE41" i="47" s="1"/>
  <c r="AD41" i="47" a="1"/>
  <c r="AD41" i="47" s="1"/>
  <c r="AC41" i="47" a="1"/>
  <c r="AC41" i="47" s="1"/>
  <c r="AA41" i="47" a="1"/>
  <c r="AA41" i="47" s="1"/>
  <c r="BD40" i="47"/>
  <c r="AY40" i="47" a="1"/>
  <c r="AY40" i="47" s="1"/>
  <c r="AX40" i="47" a="1"/>
  <c r="AX40" i="47" s="1"/>
  <c r="AW40" i="47" a="1"/>
  <c r="AW40" i="47" s="1"/>
  <c r="AV40" i="47" a="1"/>
  <c r="AV40" i="47" s="1"/>
  <c r="AU40" i="47" a="1"/>
  <c r="AU40" i="47" s="1"/>
  <c r="AT40" i="47" a="1"/>
  <c r="AT40" i="47" s="1"/>
  <c r="AS40" i="47" a="1"/>
  <c r="AS40" i="47" s="1"/>
  <c r="AR40" i="47" a="1"/>
  <c r="AR40" i="47" s="1"/>
  <c r="AQ40" i="47" a="1"/>
  <c r="AQ40" i="47" s="1"/>
  <c r="AP40" i="47" a="1"/>
  <c r="AP40" i="47" s="1"/>
  <c r="AO40" i="47" a="1"/>
  <c r="AO40" i="47" s="1"/>
  <c r="AN40" i="47" a="1"/>
  <c r="AN40" i="47" s="1"/>
  <c r="AM40" i="47" a="1"/>
  <c r="AM40" i="47" s="1"/>
  <c r="AL40" i="47" a="1"/>
  <c r="AL40" i="47" s="1"/>
  <c r="AK40" i="47" a="1"/>
  <c r="AK40" i="47" s="1"/>
  <c r="AJ40" i="47" a="1"/>
  <c r="AJ40" i="47" s="1"/>
  <c r="AI40" i="47" a="1"/>
  <c r="AI40" i="47" s="1"/>
  <c r="AH40" i="47" a="1"/>
  <c r="AH40" i="47" s="1"/>
  <c r="AG40" i="47" a="1"/>
  <c r="AG40" i="47" s="1"/>
  <c r="AF40" i="47" a="1"/>
  <c r="AF40" i="47" s="1"/>
  <c r="AE40" i="47" a="1"/>
  <c r="AE40" i="47" s="1"/>
  <c r="AD40" i="47" a="1"/>
  <c r="AD40" i="47" s="1"/>
  <c r="AC40" i="47" a="1"/>
  <c r="AC40" i="47" s="1"/>
  <c r="AA40" i="47" a="1"/>
  <c r="AA40" i="47" s="1"/>
  <c r="BD39" i="47"/>
  <c r="AY39" i="47" a="1"/>
  <c r="AY39" i="47" s="1"/>
  <c r="AX39" i="47" a="1"/>
  <c r="AX39" i="47" s="1"/>
  <c r="AW39" i="47" a="1"/>
  <c r="AW39" i="47" s="1"/>
  <c r="AV39" i="47" a="1"/>
  <c r="AV39" i="47" s="1"/>
  <c r="AU39" i="47" a="1"/>
  <c r="AU39" i="47" s="1"/>
  <c r="AT39" i="47" a="1"/>
  <c r="AT39" i="47" s="1"/>
  <c r="AS39" i="47" a="1"/>
  <c r="AS39" i="47" s="1"/>
  <c r="AR39" i="47" a="1"/>
  <c r="AR39" i="47" s="1"/>
  <c r="AQ39" i="47" a="1"/>
  <c r="AQ39" i="47" s="1"/>
  <c r="AP39" i="47" a="1"/>
  <c r="AP39" i="47" s="1"/>
  <c r="AO39" i="47" a="1"/>
  <c r="AO39" i="47" s="1"/>
  <c r="AN39" i="47" a="1"/>
  <c r="AN39" i="47" s="1"/>
  <c r="AM39" i="47" a="1"/>
  <c r="AM39" i="47" s="1"/>
  <c r="AL39" i="47" a="1"/>
  <c r="AL39" i="47" s="1"/>
  <c r="AK39" i="47" a="1"/>
  <c r="AK39" i="47" s="1"/>
  <c r="AJ39" i="47" a="1"/>
  <c r="AJ39" i="47" s="1"/>
  <c r="AI39" i="47" a="1"/>
  <c r="AI39" i="47" s="1"/>
  <c r="AH39" i="47" a="1"/>
  <c r="AH39" i="47" s="1"/>
  <c r="AG39" i="47" a="1"/>
  <c r="AG39" i="47" s="1"/>
  <c r="AF39" i="47" a="1"/>
  <c r="AF39" i="47" s="1"/>
  <c r="AE39" i="47" a="1"/>
  <c r="AE39" i="47" s="1"/>
  <c r="AD39" i="47" a="1"/>
  <c r="AD39" i="47" s="1"/>
  <c r="AC39" i="47" a="1"/>
  <c r="AC39" i="47" s="1"/>
  <c r="AA39" i="47" a="1"/>
  <c r="AA39" i="47" s="1"/>
  <c r="BD38" i="47"/>
  <c r="AY38" i="47" a="1"/>
  <c r="AY38" i="47" s="1"/>
  <c r="AX38" i="47" a="1"/>
  <c r="AX38" i="47" s="1"/>
  <c r="AW38" i="47" a="1"/>
  <c r="AW38" i="47" s="1"/>
  <c r="AV38" i="47" a="1"/>
  <c r="AV38" i="47" s="1"/>
  <c r="AU38" i="47" a="1"/>
  <c r="AU38" i="47" s="1"/>
  <c r="AT38" i="47" a="1"/>
  <c r="AT38" i="47" s="1"/>
  <c r="AS38" i="47" a="1"/>
  <c r="AS38" i="47" s="1"/>
  <c r="AR38" i="47" a="1"/>
  <c r="AR38" i="47" s="1"/>
  <c r="AQ38" i="47" a="1"/>
  <c r="AQ38" i="47" s="1"/>
  <c r="AP38" i="47" a="1"/>
  <c r="AP38" i="47" s="1"/>
  <c r="AO38" i="47" a="1"/>
  <c r="AO38" i="47" s="1"/>
  <c r="AN38" i="47" a="1"/>
  <c r="AN38" i="47" s="1"/>
  <c r="AM38" i="47" a="1"/>
  <c r="AM38" i="47" s="1"/>
  <c r="AL38" i="47" a="1"/>
  <c r="AL38" i="47" s="1"/>
  <c r="AK38" i="47" a="1"/>
  <c r="AK38" i="47" s="1"/>
  <c r="AJ38" i="47" a="1"/>
  <c r="AJ38" i="47" s="1"/>
  <c r="AI38" i="47" a="1"/>
  <c r="AI38" i="47" s="1"/>
  <c r="AH38" i="47" a="1"/>
  <c r="AH38" i="47" s="1"/>
  <c r="AG38" i="47" a="1"/>
  <c r="AG38" i="47" s="1"/>
  <c r="AF38" i="47" a="1"/>
  <c r="AF38" i="47" s="1"/>
  <c r="AE38" i="47" a="1"/>
  <c r="AE38" i="47" s="1"/>
  <c r="AD38" i="47" a="1"/>
  <c r="AD38" i="47" s="1"/>
  <c r="AC38" i="47" a="1"/>
  <c r="AC38" i="47" s="1"/>
  <c r="AA38" i="47" a="1"/>
  <c r="AA38" i="47" s="1"/>
  <c r="BD37" i="47"/>
  <c r="AY37" i="47" a="1"/>
  <c r="AY37" i="47" s="1"/>
  <c r="AX37" i="47" a="1"/>
  <c r="AX37" i="47" s="1"/>
  <c r="AW37" i="47" a="1"/>
  <c r="AW37" i="47" s="1"/>
  <c r="AV37" i="47" a="1"/>
  <c r="AV37" i="47" s="1"/>
  <c r="AU37" i="47" a="1"/>
  <c r="AU37" i="47" s="1"/>
  <c r="AT37" i="47" a="1"/>
  <c r="AT37" i="47" s="1"/>
  <c r="AS37" i="47" a="1"/>
  <c r="AS37" i="47" s="1"/>
  <c r="AR37" i="47" a="1"/>
  <c r="AR37" i="47" s="1"/>
  <c r="AQ37" i="47" a="1"/>
  <c r="AQ37" i="47" s="1"/>
  <c r="AP37" i="47" a="1"/>
  <c r="AP37" i="47" s="1"/>
  <c r="AO37" i="47" a="1"/>
  <c r="AO37" i="47" s="1"/>
  <c r="AN37" i="47" a="1"/>
  <c r="AN37" i="47" s="1"/>
  <c r="AM37" i="47" a="1"/>
  <c r="AM37" i="47" s="1"/>
  <c r="AL37" i="47" a="1"/>
  <c r="AL37" i="47" s="1"/>
  <c r="AK37" i="47" a="1"/>
  <c r="AK37" i="47" s="1"/>
  <c r="AJ37" i="47" a="1"/>
  <c r="AJ37" i="47" s="1"/>
  <c r="AI37" i="47" a="1"/>
  <c r="AI37" i="47" s="1"/>
  <c r="AH37" i="47" a="1"/>
  <c r="AH37" i="47" s="1"/>
  <c r="AG37" i="47" a="1"/>
  <c r="AG37" i="47" s="1"/>
  <c r="AF37" i="47" a="1"/>
  <c r="AF37" i="47" s="1"/>
  <c r="AE37" i="47" a="1"/>
  <c r="AE37" i="47" s="1"/>
  <c r="AD37" i="47" a="1"/>
  <c r="AD37" i="47" s="1"/>
  <c r="AC37" i="47" a="1"/>
  <c r="AC37" i="47" s="1"/>
  <c r="AA37" i="47" a="1"/>
  <c r="AA37" i="47" s="1"/>
  <c r="BD36" i="47"/>
  <c r="AY36" i="47" a="1"/>
  <c r="AY36" i="47" s="1"/>
  <c r="AX36" i="47" a="1"/>
  <c r="AX36" i="47" s="1"/>
  <c r="AW36" i="47" a="1"/>
  <c r="AW36" i="47" s="1"/>
  <c r="AV36" i="47" a="1"/>
  <c r="AV36" i="47" s="1"/>
  <c r="AU36" i="47" a="1"/>
  <c r="AU36" i="47" s="1"/>
  <c r="AT36" i="47" a="1"/>
  <c r="AT36" i="47" s="1"/>
  <c r="AS36" i="47" a="1"/>
  <c r="AS36" i="47" s="1"/>
  <c r="AR36" i="47" a="1"/>
  <c r="AR36" i="47" s="1"/>
  <c r="AQ36" i="47" a="1"/>
  <c r="AQ36" i="47" s="1"/>
  <c r="AP36" i="47" a="1"/>
  <c r="AP36" i="47" s="1"/>
  <c r="AO36" i="47" a="1"/>
  <c r="AO36" i="47" s="1"/>
  <c r="AN36" i="47" a="1"/>
  <c r="AN36" i="47" s="1"/>
  <c r="AM36" i="47" a="1"/>
  <c r="AM36" i="47" s="1"/>
  <c r="AL36" i="47" a="1"/>
  <c r="AL36" i="47" s="1"/>
  <c r="AK36" i="47" a="1"/>
  <c r="AK36" i="47" s="1"/>
  <c r="AJ36" i="47" a="1"/>
  <c r="AJ36" i="47" s="1"/>
  <c r="AI36" i="47" a="1"/>
  <c r="AI36" i="47" s="1"/>
  <c r="AH36" i="47" a="1"/>
  <c r="AH36" i="47" s="1"/>
  <c r="AG36" i="47" a="1"/>
  <c r="AG36" i="47" s="1"/>
  <c r="AF36" i="47" a="1"/>
  <c r="AF36" i="47" s="1"/>
  <c r="AE36" i="47" a="1"/>
  <c r="AE36" i="47" s="1"/>
  <c r="AD36" i="47" a="1"/>
  <c r="AD36" i="47" s="1"/>
  <c r="AC36" i="47" a="1"/>
  <c r="AC36" i="47" s="1"/>
  <c r="AA36" i="47" a="1"/>
  <c r="AA36" i="47" s="1"/>
  <c r="BD35" i="47"/>
  <c r="AY35" i="47" a="1"/>
  <c r="AY35" i="47" s="1"/>
  <c r="AX35" i="47" a="1"/>
  <c r="AX35" i="47" s="1"/>
  <c r="AW35" i="47" a="1"/>
  <c r="AW35" i="47" s="1"/>
  <c r="AV35" i="47" a="1"/>
  <c r="AV35" i="47" s="1"/>
  <c r="AU35" i="47" a="1"/>
  <c r="AU35" i="47" s="1"/>
  <c r="AT35" i="47" a="1"/>
  <c r="AT35" i="47" s="1"/>
  <c r="AS35" i="47" a="1"/>
  <c r="AS35" i="47" s="1"/>
  <c r="AR35" i="47" a="1"/>
  <c r="AR35" i="47" s="1"/>
  <c r="AQ35" i="47" a="1"/>
  <c r="AQ35" i="47" s="1"/>
  <c r="AP35" i="47" a="1"/>
  <c r="AP35" i="47" s="1"/>
  <c r="AO35" i="47" a="1"/>
  <c r="AO35" i="47" s="1"/>
  <c r="AN35" i="47" a="1"/>
  <c r="AN35" i="47" s="1"/>
  <c r="AM35" i="47" a="1"/>
  <c r="AM35" i="47" s="1"/>
  <c r="AL35" i="47" a="1"/>
  <c r="AL35" i="47" s="1"/>
  <c r="AK35" i="47" a="1"/>
  <c r="AK35" i="47" s="1"/>
  <c r="AJ35" i="47" a="1"/>
  <c r="AJ35" i="47" s="1"/>
  <c r="AI35" i="47" a="1"/>
  <c r="AI35" i="47" s="1"/>
  <c r="AH35" i="47" a="1"/>
  <c r="AH35" i="47" s="1"/>
  <c r="AG35" i="47" a="1"/>
  <c r="AG35" i="47" s="1"/>
  <c r="AF35" i="47" a="1"/>
  <c r="AF35" i="47" s="1"/>
  <c r="AE35" i="47" a="1"/>
  <c r="AE35" i="47" s="1"/>
  <c r="AD35" i="47" a="1"/>
  <c r="AD35" i="47" s="1"/>
  <c r="AC35" i="47" a="1"/>
  <c r="AC35" i="47" s="1"/>
  <c r="AA35" i="47" a="1"/>
  <c r="AA35" i="47" s="1"/>
  <c r="BD34" i="47"/>
  <c r="AY34" i="47" a="1"/>
  <c r="AY34" i="47" s="1"/>
  <c r="AX34" i="47" a="1"/>
  <c r="AX34" i="47" s="1"/>
  <c r="AW34" i="47" a="1"/>
  <c r="AW34" i="47" s="1"/>
  <c r="AV34" i="47" a="1"/>
  <c r="AV34" i="47" s="1"/>
  <c r="AU34" i="47" a="1"/>
  <c r="AU34" i="47" s="1"/>
  <c r="AT34" i="47" a="1"/>
  <c r="AT34" i="47" s="1"/>
  <c r="AS34" i="47" a="1"/>
  <c r="AS34" i="47" s="1"/>
  <c r="AR34" i="47" a="1"/>
  <c r="AR34" i="47" s="1"/>
  <c r="AQ34" i="47" a="1"/>
  <c r="AQ34" i="47" s="1"/>
  <c r="AP34" i="47" a="1"/>
  <c r="AP34" i="47" s="1"/>
  <c r="AO34" i="47" a="1"/>
  <c r="AO34" i="47" s="1"/>
  <c r="AN34" i="47" a="1"/>
  <c r="AN34" i="47" s="1"/>
  <c r="AM34" i="47" a="1"/>
  <c r="AM34" i="47" s="1"/>
  <c r="AL34" i="47" a="1"/>
  <c r="AL34" i="47" s="1"/>
  <c r="AK34" i="47" a="1"/>
  <c r="AK34" i="47" s="1"/>
  <c r="AJ34" i="47" a="1"/>
  <c r="AJ34" i="47" s="1"/>
  <c r="AI34" i="47" a="1"/>
  <c r="AI34" i="47" s="1"/>
  <c r="AH34" i="47" a="1"/>
  <c r="AH34" i="47" s="1"/>
  <c r="AG34" i="47" a="1"/>
  <c r="AG34" i="47" s="1"/>
  <c r="AF34" i="47" a="1"/>
  <c r="AF34" i="47" s="1"/>
  <c r="AE34" i="47" a="1"/>
  <c r="AE34" i="47" s="1"/>
  <c r="AD34" i="47" a="1"/>
  <c r="AD34" i="47" s="1"/>
  <c r="AC34" i="47" a="1"/>
  <c r="AC34" i="47" s="1"/>
  <c r="AA34" i="47" a="1"/>
  <c r="AA34" i="47" s="1"/>
  <c r="BD26" i="47"/>
  <c r="AY26" i="47" a="1"/>
  <c r="AY26" i="47" s="1"/>
  <c r="AX26" i="47" a="1"/>
  <c r="AX26" i="47" s="1"/>
  <c r="AW26" i="47" a="1"/>
  <c r="AW26" i="47" s="1"/>
  <c r="AV26" i="47" a="1"/>
  <c r="AV26" i="47" s="1"/>
  <c r="AU26" i="47" a="1"/>
  <c r="AU26" i="47" s="1"/>
  <c r="AT26" i="47" a="1"/>
  <c r="AT26" i="47" s="1"/>
  <c r="AS26" i="47" a="1"/>
  <c r="AS26" i="47" s="1"/>
  <c r="AR26" i="47" a="1"/>
  <c r="AR26" i="47" s="1"/>
  <c r="AQ26" i="47" a="1"/>
  <c r="AQ26" i="47" s="1"/>
  <c r="AP26" i="47" a="1"/>
  <c r="AP26" i="47" s="1"/>
  <c r="AO26" i="47" a="1"/>
  <c r="AO26" i="47" s="1"/>
  <c r="AN26" i="47" a="1"/>
  <c r="AN26" i="47" s="1"/>
  <c r="AM26" i="47" a="1"/>
  <c r="AM26" i="47" s="1"/>
  <c r="AL26" i="47" a="1"/>
  <c r="AL26" i="47" s="1"/>
  <c r="AK26" i="47" a="1"/>
  <c r="AK26" i="47" s="1"/>
  <c r="AJ26" i="47" a="1"/>
  <c r="AJ26" i="47" s="1"/>
  <c r="AI26" i="47" a="1"/>
  <c r="AI26" i="47" s="1"/>
  <c r="AH26" i="47" a="1"/>
  <c r="AH26" i="47" s="1"/>
  <c r="AG26" i="47" a="1"/>
  <c r="AG26" i="47" s="1"/>
  <c r="AF26" i="47" a="1"/>
  <c r="AF26" i="47" s="1"/>
  <c r="AE26" i="47" a="1"/>
  <c r="AE26" i="47" s="1"/>
  <c r="AD26" i="47" a="1"/>
  <c r="AD26" i="47" s="1"/>
  <c r="AC26" i="47" a="1"/>
  <c r="AC26" i="47" s="1"/>
  <c r="AA26" i="47" a="1"/>
  <c r="AA26" i="47" s="1"/>
  <c r="BD25" i="47"/>
  <c r="AY25" i="47" a="1"/>
  <c r="AY25" i="47" s="1"/>
  <c r="AX25" i="47" a="1"/>
  <c r="AX25" i="47" s="1"/>
  <c r="AW25" i="47" a="1"/>
  <c r="AW25" i="47" s="1"/>
  <c r="AV25" i="47" a="1"/>
  <c r="AV25" i="47" s="1"/>
  <c r="AU25" i="47" a="1"/>
  <c r="AU25" i="47" s="1"/>
  <c r="AT25" i="47" a="1"/>
  <c r="AT25" i="47" s="1"/>
  <c r="AS25" i="47" a="1"/>
  <c r="AS25" i="47" s="1"/>
  <c r="AR25" i="47" a="1"/>
  <c r="AR25" i="47" s="1"/>
  <c r="AQ25" i="47" a="1"/>
  <c r="AQ25" i="47" s="1"/>
  <c r="AP25" i="47" a="1"/>
  <c r="AP25" i="47" s="1"/>
  <c r="AO25" i="47" a="1"/>
  <c r="AO25" i="47" s="1"/>
  <c r="AN25" i="47" a="1"/>
  <c r="AN25" i="47" s="1"/>
  <c r="AM25" i="47" a="1"/>
  <c r="AM25" i="47" s="1"/>
  <c r="AL25" i="47" a="1"/>
  <c r="AL25" i="47" s="1"/>
  <c r="AK25" i="47" a="1"/>
  <c r="AK25" i="47" s="1"/>
  <c r="AJ25" i="47" a="1"/>
  <c r="AJ25" i="47" s="1"/>
  <c r="AI25" i="47" a="1"/>
  <c r="AI25" i="47" s="1"/>
  <c r="AH25" i="47" a="1"/>
  <c r="AH25" i="47" s="1"/>
  <c r="AG25" i="47" a="1"/>
  <c r="AG25" i="47" s="1"/>
  <c r="AF25" i="47" a="1"/>
  <c r="AF25" i="47" s="1"/>
  <c r="AE25" i="47" a="1"/>
  <c r="AE25" i="47" s="1"/>
  <c r="AD25" i="47" a="1"/>
  <c r="AD25" i="47" s="1"/>
  <c r="AC25" i="47" a="1"/>
  <c r="AC25" i="47" s="1"/>
  <c r="AA25" i="47" a="1"/>
  <c r="AA25" i="47" s="1"/>
  <c r="BD24" i="47"/>
  <c r="AY24" i="47" a="1"/>
  <c r="AY24" i="47" s="1"/>
  <c r="AX24" i="47" a="1"/>
  <c r="AX24" i="47" s="1"/>
  <c r="AW24" i="47" a="1"/>
  <c r="AW24" i="47" s="1"/>
  <c r="AV24" i="47" a="1"/>
  <c r="AV24" i="47" s="1"/>
  <c r="AU24" i="47" a="1"/>
  <c r="AU24" i="47" s="1"/>
  <c r="AT24" i="47" a="1"/>
  <c r="AT24" i="47" s="1"/>
  <c r="AS24" i="47" a="1"/>
  <c r="AS24" i="47" s="1"/>
  <c r="AR24" i="47" a="1"/>
  <c r="AR24" i="47" s="1"/>
  <c r="AQ24" i="47" a="1"/>
  <c r="AQ24" i="47" s="1"/>
  <c r="AP24" i="47" a="1"/>
  <c r="AP24" i="47" s="1"/>
  <c r="AO24" i="47" a="1"/>
  <c r="AO24" i="47" s="1"/>
  <c r="AN24" i="47" a="1"/>
  <c r="AN24" i="47" s="1"/>
  <c r="AM24" i="47" a="1"/>
  <c r="AM24" i="47" s="1"/>
  <c r="AL24" i="47" a="1"/>
  <c r="AL24" i="47" s="1"/>
  <c r="AK24" i="47" a="1"/>
  <c r="AK24" i="47" s="1"/>
  <c r="AJ24" i="47" a="1"/>
  <c r="AJ24" i="47" s="1"/>
  <c r="AI24" i="47" a="1"/>
  <c r="AI24" i="47" s="1"/>
  <c r="AH24" i="47" a="1"/>
  <c r="AH24" i="47" s="1"/>
  <c r="AG24" i="47" a="1"/>
  <c r="AG24" i="47" s="1"/>
  <c r="AF24" i="47" a="1"/>
  <c r="AF24" i="47" s="1"/>
  <c r="AE24" i="47" a="1"/>
  <c r="AE24" i="47" s="1"/>
  <c r="AD24" i="47" a="1"/>
  <c r="AD24" i="47" s="1"/>
  <c r="AC24" i="47" a="1"/>
  <c r="AC24" i="47" s="1"/>
  <c r="AA24" i="47" a="1"/>
  <c r="AA24" i="47" s="1"/>
  <c r="BD23" i="47"/>
  <c r="AY23" i="47" a="1"/>
  <c r="AY23" i="47" s="1"/>
  <c r="AX23" i="47" a="1"/>
  <c r="AX23" i="47" s="1"/>
  <c r="AW23" i="47" a="1"/>
  <c r="AW23" i="47" s="1"/>
  <c r="AV23" i="47" a="1"/>
  <c r="AV23" i="47" s="1"/>
  <c r="AU23" i="47" a="1"/>
  <c r="AU23" i="47" s="1"/>
  <c r="AT23" i="47" a="1"/>
  <c r="AT23" i="47" s="1"/>
  <c r="AS23" i="47" a="1"/>
  <c r="AS23" i="47" s="1"/>
  <c r="AR23" i="47" a="1"/>
  <c r="AR23" i="47" s="1"/>
  <c r="AQ23" i="47" a="1"/>
  <c r="AQ23" i="47" s="1"/>
  <c r="AP23" i="47" a="1"/>
  <c r="AP23" i="47" s="1"/>
  <c r="AO23" i="47" a="1"/>
  <c r="AO23" i="47" s="1"/>
  <c r="AN23" i="47" a="1"/>
  <c r="AN23" i="47" s="1"/>
  <c r="AM23" i="47" a="1"/>
  <c r="AM23" i="47" s="1"/>
  <c r="AL23" i="47" a="1"/>
  <c r="AL23" i="47" s="1"/>
  <c r="AK23" i="47" a="1"/>
  <c r="AK23" i="47" s="1"/>
  <c r="AJ23" i="47" a="1"/>
  <c r="AJ23" i="47" s="1"/>
  <c r="AI23" i="47" a="1"/>
  <c r="AI23" i="47" s="1"/>
  <c r="AH23" i="47" a="1"/>
  <c r="AH23" i="47" s="1"/>
  <c r="AG23" i="47" a="1"/>
  <c r="AG23" i="47" s="1"/>
  <c r="AF23" i="47" a="1"/>
  <c r="AF23" i="47" s="1"/>
  <c r="AE23" i="47" a="1"/>
  <c r="AE23" i="47" s="1"/>
  <c r="AD23" i="47" a="1"/>
  <c r="AD23" i="47" s="1"/>
  <c r="AC23" i="47" a="1"/>
  <c r="AC23" i="47" s="1"/>
  <c r="AA23" i="47" a="1"/>
  <c r="AA23" i="47" s="1"/>
  <c r="BD22" i="47"/>
  <c r="AY22" i="47" a="1"/>
  <c r="AY22" i="47" s="1"/>
  <c r="AX22" i="47" a="1"/>
  <c r="AX22" i="47" s="1"/>
  <c r="AW22" i="47" a="1"/>
  <c r="AW22" i="47" s="1"/>
  <c r="AV22" i="47" a="1"/>
  <c r="AV22" i="47" s="1"/>
  <c r="AU22" i="47" a="1"/>
  <c r="AU22" i="47" s="1"/>
  <c r="AT22" i="47" a="1"/>
  <c r="AT22" i="47" s="1"/>
  <c r="AS22" i="47" a="1"/>
  <c r="AS22" i="47" s="1"/>
  <c r="AR22" i="47" a="1"/>
  <c r="AR22" i="47" s="1"/>
  <c r="AQ22" i="47" a="1"/>
  <c r="AQ22" i="47" s="1"/>
  <c r="AP22" i="47" a="1"/>
  <c r="AP22" i="47" s="1"/>
  <c r="AO22" i="47" a="1"/>
  <c r="AO22" i="47" s="1"/>
  <c r="AN22" i="47" a="1"/>
  <c r="AN22" i="47" s="1"/>
  <c r="AM22" i="47" a="1"/>
  <c r="AM22" i="47" s="1"/>
  <c r="AL22" i="47" a="1"/>
  <c r="AL22" i="47" s="1"/>
  <c r="AK22" i="47" a="1"/>
  <c r="AK22" i="47" s="1"/>
  <c r="AJ22" i="47" a="1"/>
  <c r="AJ22" i="47" s="1"/>
  <c r="AI22" i="47" a="1"/>
  <c r="AI22" i="47" s="1"/>
  <c r="AH22" i="47" a="1"/>
  <c r="AH22" i="47" s="1"/>
  <c r="AG22" i="47" a="1"/>
  <c r="AG22" i="47" s="1"/>
  <c r="AF22" i="47" a="1"/>
  <c r="AF22" i="47" s="1"/>
  <c r="AE22" i="47" a="1"/>
  <c r="AE22" i="47" s="1"/>
  <c r="AD22" i="47" a="1"/>
  <c r="AD22" i="47" s="1"/>
  <c r="AC22" i="47" a="1"/>
  <c r="AC22" i="47" s="1"/>
  <c r="AA22" i="47" a="1"/>
  <c r="AA22" i="47" s="1"/>
  <c r="BD21" i="47"/>
  <c r="AY21" i="47" a="1"/>
  <c r="AY21" i="47" s="1"/>
  <c r="AX21" i="47" a="1"/>
  <c r="AX21" i="47" s="1"/>
  <c r="AW21" i="47" a="1"/>
  <c r="AW21" i="47" s="1"/>
  <c r="AV21" i="47" a="1"/>
  <c r="AV21" i="47" s="1"/>
  <c r="AU21" i="47" a="1"/>
  <c r="AU21" i="47" s="1"/>
  <c r="AT21" i="47" a="1"/>
  <c r="AT21" i="47" s="1"/>
  <c r="AS21" i="47" a="1"/>
  <c r="AS21" i="47" s="1"/>
  <c r="AR21" i="47" a="1"/>
  <c r="AR21" i="47" s="1"/>
  <c r="AQ21" i="47" a="1"/>
  <c r="AQ21" i="47" s="1"/>
  <c r="AP21" i="47" a="1"/>
  <c r="AP21" i="47" s="1"/>
  <c r="AO21" i="47" a="1"/>
  <c r="AO21" i="47" s="1"/>
  <c r="AN21" i="47" a="1"/>
  <c r="AN21" i="47" s="1"/>
  <c r="AM21" i="47" a="1"/>
  <c r="AM21" i="47" s="1"/>
  <c r="AL21" i="47" a="1"/>
  <c r="AL21" i="47" s="1"/>
  <c r="AK21" i="47" a="1"/>
  <c r="AK21" i="47" s="1"/>
  <c r="AJ21" i="47" a="1"/>
  <c r="AJ21" i="47" s="1"/>
  <c r="AI21" i="47" a="1"/>
  <c r="AI21" i="47" s="1"/>
  <c r="AH21" i="47" a="1"/>
  <c r="AH21" i="47" s="1"/>
  <c r="AG21" i="47" a="1"/>
  <c r="AG21" i="47" s="1"/>
  <c r="AF21" i="47" a="1"/>
  <c r="AF21" i="47" s="1"/>
  <c r="AE21" i="47" a="1"/>
  <c r="AE21" i="47" s="1"/>
  <c r="AD21" i="47" a="1"/>
  <c r="AD21" i="47" s="1"/>
  <c r="AC21" i="47" a="1"/>
  <c r="AC21" i="47" s="1"/>
  <c r="AA21" i="47" a="1"/>
  <c r="AA21" i="47" s="1"/>
  <c r="BD20" i="47"/>
  <c r="AY20" i="47" a="1"/>
  <c r="AY20" i="47" s="1"/>
  <c r="AX20" i="47" a="1"/>
  <c r="AX20" i="47" s="1"/>
  <c r="AW20" i="47" a="1"/>
  <c r="AW20" i="47" s="1"/>
  <c r="AV20" i="47" a="1"/>
  <c r="AV20" i="47" s="1"/>
  <c r="AU20" i="47" a="1"/>
  <c r="AU20" i="47" s="1"/>
  <c r="AT20" i="47" a="1"/>
  <c r="AT20" i="47" s="1"/>
  <c r="AS20" i="47" a="1"/>
  <c r="AS20" i="47" s="1"/>
  <c r="AR20" i="47" a="1"/>
  <c r="AR20" i="47" s="1"/>
  <c r="AQ20" i="47" a="1"/>
  <c r="AQ20" i="47" s="1"/>
  <c r="AP20" i="47" a="1"/>
  <c r="AP20" i="47" s="1"/>
  <c r="AO20" i="47" a="1"/>
  <c r="AO20" i="47" s="1"/>
  <c r="AN20" i="47" a="1"/>
  <c r="AN20" i="47" s="1"/>
  <c r="AM20" i="47" a="1"/>
  <c r="AM20" i="47" s="1"/>
  <c r="AL20" i="47" a="1"/>
  <c r="AL20" i="47" s="1"/>
  <c r="AK20" i="47" a="1"/>
  <c r="AK20" i="47" s="1"/>
  <c r="AJ20" i="47" a="1"/>
  <c r="AJ20" i="47" s="1"/>
  <c r="AI20" i="47" a="1"/>
  <c r="AI20" i="47" s="1"/>
  <c r="AH20" i="47" a="1"/>
  <c r="AH20" i="47" s="1"/>
  <c r="AG20" i="47" a="1"/>
  <c r="AG20" i="47" s="1"/>
  <c r="AF20" i="47" a="1"/>
  <c r="AF20" i="47" s="1"/>
  <c r="AE20" i="47" a="1"/>
  <c r="AE20" i="47" s="1"/>
  <c r="AD20" i="47" a="1"/>
  <c r="AD20" i="47" s="1"/>
  <c r="AC20" i="47" a="1"/>
  <c r="AC20" i="47" s="1"/>
  <c r="AA20" i="47" a="1"/>
  <c r="AA20" i="47" s="1"/>
  <c r="BD19" i="47"/>
  <c r="AY19" i="47" a="1"/>
  <c r="AY19" i="47" s="1"/>
  <c r="AX19" i="47" a="1"/>
  <c r="AX19" i="47" s="1"/>
  <c r="AW19" i="47" a="1"/>
  <c r="AW19" i="47" s="1"/>
  <c r="AV19" i="47" a="1"/>
  <c r="AV19" i="47" s="1"/>
  <c r="AU19" i="47" a="1"/>
  <c r="AU19" i="47" s="1"/>
  <c r="AT19" i="47" a="1"/>
  <c r="AT19" i="47" s="1"/>
  <c r="AS19" i="47" a="1"/>
  <c r="AS19" i="47" s="1"/>
  <c r="AR19" i="47" a="1"/>
  <c r="AR19" i="47" s="1"/>
  <c r="AQ19" i="47" a="1"/>
  <c r="AQ19" i="47" s="1"/>
  <c r="AP19" i="47" a="1"/>
  <c r="AP19" i="47" s="1"/>
  <c r="AO19" i="47" a="1"/>
  <c r="AO19" i="47" s="1"/>
  <c r="AN19" i="47" a="1"/>
  <c r="AN19" i="47" s="1"/>
  <c r="AM19" i="47" a="1"/>
  <c r="AM19" i="47" s="1"/>
  <c r="AL19" i="47" a="1"/>
  <c r="AL19" i="47" s="1"/>
  <c r="AK19" i="47" a="1"/>
  <c r="AK19" i="47" s="1"/>
  <c r="AJ19" i="47" a="1"/>
  <c r="AJ19" i="47" s="1"/>
  <c r="AI19" i="47" a="1"/>
  <c r="AI19" i="47" s="1"/>
  <c r="AH19" i="47" a="1"/>
  <c r="AH19" i="47" s="1"/>
  <c r="AG19" i="47" a="1"/>
  <c r="AG19" i="47" s="1"/>
  <c r="AF19" i="47" a="1"/>
  <c r="AF19" i="47" s="1"/>
  <c r="AE19" i="47" a="1"/>
  <c r="AE19" i="47" s="1"/>
  <c r="AD19" i="47" a="1"/>
  <c r="AD19" i="47" s="1"/>
  <c r="AC19" i="47" a="1"/>
  <c r="AC19" i="47" s="1"/>
  <c r="AA19" i="47" a="1"/>
  <c r="AA19" i="47" s="1"/>
  <c r="BD18" i="47"/>
  <c r="AY18" i="47" a="1"/>
  <c r="AY18" i="47" s="1"/>
  <c r="AX18" i="47" a="1"/>
  <c r="AX18" i="47" s="1"/>
  <c r="AW18" i="47" a="1"/>
  <c r="AW18" i="47" s="1"/>
  <c r="AV18" i="47" a="1"/>
  <c r="AV18" i="47" s="1"/>
  <c r="AU18" i="47" a="1"/>
  <c r="AU18" i="47" s="1"/>
  <c r="AT18" i="47" a="1"/>
  <c r="AT18" i="47" s="1"/>
  <c r="AS18" i="47" a="1"/>
  <c r="AS18" i="47" s="1"/>
  <c r="AR18" i="47" a="1"/>
  <c r="AR18" i="47" s="1"/>
  <c r="AQ18" i="47" a="1"/>
  <c r="AQ18" i="47" s="1"/>
  <c r="AP18" i="47" a="1"/>
  <c r="AP18" i="47" s="1"/>
  <c r="AO18" i="47" a="1"/>
  <c r="AO18" i="47" s="1"/>
  <c r="AN18" i="47" a="1"/>
  <c r="AN18" i="47" s="1"/>
  <c r="AM18" i="47" a="1"/>
  <c r="AM18" i="47" s="1"/>
  <c r="AL18" i="47" a="1"/>
  <c r="AL18" i="47" s="1"/>
  <c r="AK18" i="47" a="1"/>
  <c r="AK18" i="47" s="1"/>
  <c r="AJ18" i="47" a="1"/>
  <c r="AJ18" i="47" s="1"/>
  <c r="AI18" i="47" a="1"/>
  <c r="AI18" i="47" s="1"/>
  <c r="AH18" i="47" a="1"/>
  <c r="AH18" i="47" s="1"/>
  <c r="AG18" i="47" a="1"/>
  <c r="AG18" i="47" s="1"/>
  <c r="AF18" i="47" a="1"/>
  <c r="AF18" i="47" s="1"/>
  <c r="AE18" i="47" a="1"/>
  <c r="AE18" i="47" s="1"/>
  <c r="AD18" i="47" a="1"/>
  <c r="AD18" i="47" s="1"/>
  <c r="AC18" i="47" a="1"/>
  <c r="AC18" i="47" s="1"/>
  <c r="AA18" i="47" a="1"/>
  <c r="AA18" i="47" s="1"/>
  <c r="BD17" i="47"/>
  <c r="AY17" i="47" a="1"/>
  <c r="AY17" i="47" s="1"/>
  <c r="AX17" i="47" a="1"/>
  <c r="AX17" i="47" s="1"/>
  <c r="AW17" i="47" a="1"/>
  <c r="AW17" i="47" s="1"/>
  <c r="AV17" i="47" a="1"/>
  <c r="AV17" i="47" s="1"/>
  <c r="AU17" i="47" a="1"/>
  <c r="AU17" i="47" s="1"/>
  <c r="AT17" i="47" a="1"/>
  <c r="AT17" i="47" s="1"/>
  <c r="AS17" i="47" a="1"/>
  <c r="AS17" i="47" s="1"/>
  <c r="AR17" i="47" a="1"/>
  <c r="AR17" i="47" s="1"/>
  <c r="AQ17" i="47" a="1"/>
  <c r="AQ17" i="47" s="1"/>
  <c r="AP17" i="47" a="1"/>
  <c r="AP17" i="47" s="1"/>
  <c r="AO17" i="47" a="1"/>
  <c r="AO17" i="47" s="1"/>
  <c r="AN17" i="47" a="1"/>
  <c r="AN17" i="47" s="1"/>
  <c r="AM17" i="47" a="1"/>
  <c r="AM17" i="47" s="1"/>
  <c r="AL17" i="47" a="1"/>
  <c r="AL17" i="47" s="1"/>
  <c r="AK17" i="47" a="1"/>
  <c r="AK17" i="47" s="1"/>
  <c r="AJ17" i="47" a="1"/>
  <c r="AJ17" i="47" s="1"/>
  <c r="AI17" i="47" a="1"/>
  <c r="AI17" i="47" s="1"/>
  <c r="AH17" i="47" a="1"/>
  <c r="AH17" i="47" s="1"/>
  <c r="AG17" i="47" a="1"/>
  <c r="AG17" i="47" s="1"/>
  <c r="AF17" i="47" a="1"/>
  <c r="AF17" i="47" s="1"/>
  <c r="AE17" i="47" a="1"/>
  <c r="AE17" i="47" s="1"/>
  <c r="AD17" i="47" a="1"/>
  <c r="AD17" i="47" s="1"/>
  <c r="AC17" i="47" a="1"/>
  <c r="AC17" i="47" s="1"/>
  <c r="AA17" i="47" a="1"/>
  <c r="AA17" i="47" s="1"/>
  <c r="BD16" i="47"/>
  <c r="AY16" i="47" a="1"/>
  <c r="AY16" i="47" s="1"/>
  <c r="AX16" i="47" a="1"/>
  <c r="AX16" i="47" s="1"/>
  <c r="AW16" i="47" a="1"/>
  <c r="AW16" i="47" s="1"/>
  <c r="AV16" i="47" a="1"/>
  <c r="AV16" i="47" s="1"/>
  <c r="AU16" i="47" a="1"/>
  <c r="AU16" i="47" s="1"/>
  <c r="AT16" i="47" a="1"/>
  <c r="AT16" i="47" s="1"/>
  <c r="AS16" i="47" a="1"/>
  <c r="AS16" i="47" s="1"/>
  <c r="AR16" i="47" a="1"/>
  <c r="AR16" i="47" s="1"/>
  <c r="AQ16" i="47" a="1"/>
  <c r="AQ16" i="47" s="1"/>
  <c r="AP16" i="47" a="1"/>
  <c r="AP16" i="47" s="1"/>
  <c r="AO16" i="47" a="1"/>
  <c r="AO16" i="47" s="1"/>
  <c r="AN16" i="47" a="1"/>
  <c r="AN16" i="47" s="1"/>
  <c r="AM16" i="47" a="1"/>
  <c r="AM16" i="47" s="1"/>
  <c r="AL16" i="47" a="1"/>
  <c r="AL16" i="47" s="1"/>
  <c r="AK16" i="47" a="1"/>
  <c r="AK16" i="47" s="1"/>
  <c r="AJ16" i="47" a="1"/>
  <c r="AJ16" i="47" s="1"/>
  <c r="AI16" i="47" a="1"/>
  <c r="AI16" i="47" s="1"/>
  <c r="AH16" i="47" a="1"/>
  <c r="AH16" i="47" s="1"/>
  <c r="AG16" i="47" a="1"/>
  <c r="AG16" i="47" s="1"/>
  <c r="AF16" i="47" a="1"/>
  <c r="AF16" i="47" s="1"/>
  <c r="AE16" i="47" a="1"/>
  <c r="AE16" i="47" s="1"/>
  <c r="AD16" i="47" a="1"/>
  <c r="AD16" i="47" s="1"/>
  <c r="AC16" i="47" a="1"/>
  <c r="AC16" i="47" s="1"/>
  <c r="AA16" i="47" a="1"/>
  <c r="AA16" i="47" s="1"/>
  <c r="BD15" i="47"/>
  <c r="AY15" i="47" a="1"/>
  <c r="AY15" i="47" s="1"/>
  <c r="AX15" i="47" a="1"/>
  <c r="AX15" i="47" s="1"/>
  <c r="AW15" i="47" a="1"/>
  <c r="AW15" i="47" s="1"/>
  <c r="AV15" i="47" a="1"/>
  <c r="AV15" i="47" s="1"/>
  <c r="AU15" i="47" a="1"/>
  <c r="AU15" i="47" s="1"/>
  <c r="AT15" i="47" a="1"/>
  <c r="AT15" i="47" s="1"/>
  <c r="AS15" i="47" a="1"/>
  <c r="AS15" i="47" s="1"/>
  <c r="AR15" i="47" a="1"/>
  <c r="AR15" i="47" s="1"/>
  <c r="AQ15" i="47" a="1"/>
  <c r="AQ15" i="47" s="1"/>
  <c r="AP15" i="47" a="1"/>
  <c r="AP15" i="47" s="1"/>
  <c r="AO15" i="47" a="1"/>
  <c r="AO15" i="47" s="1"/>
  <c r="AN15" i="47" a="1"/>
  <c r="AN15" i="47" s="1"/>
  <c r="AM15" i="47" a="1"/>
  <c r="AM15" i="47" s="1"/>
  <c r="AL15" i="47" a="1"/>
  <c r="AL15" i="47" s="1"/>
  <c r="AK15" i="47" a="1"/>
  <c r="AK15" i="47" s="1"/>
  <c r="AJ15" i="47" a="1"/>
  <c r="AJ15" i="47" s="1"/>
  <c r="AI15" i="47" a="1"/>
  <c r="AI15" i="47" s="1"/>
  <c r="AH15" i="47" a="1"/>
  <c r="AH15" i="47" s="1"/>
  <c r="AG15" i="47" a="1"/>
  <c r="AG15" i="47" s="1"/>
  <c r="AF15" i="47" a="1"/>
  <c r="AF15" i="47" s="1"/>
  <c r="AE15" i="47" a="1"/>
  <c r="AE15" i="47" s="1"/>
  <c r="AD15" i="47" a="1"/>
  <c r="AD15" i="47" s="1"/>
  <c r="AC15" i="47" a="1"/>
  <c r="AC15" i="47" s="1"/>
  <c r="AA15" i="47" a="1"/>
  <c r="AA15" i="47" s="1"/>
  <c r="BD14" i="47"/>
  <c r="AY14" i="47" a="1"/>
  <c r="AY14" i="47" s="1"/>
  <c r="AX14" i="47" a="1"/>
  <c r="AX14" i="47" s="1"/>
  <c r="AW14" i="47" a="1"/>
  <c r="AW14" i="47" s="1"/>
  <c r="AV14" i="47" a="1"/>
  <c r="AV14" i="47" s="1"/>
  <c r="AU14" i="47" a="1"/>
  <c r="AU14" i="47" s="1"/>
  <c r="AT14" i="47" a="1"/>
  <c r="AT14" i="47" s="1"/>
  <c r="AS14" i="47" a="1"/>
  <c r="AS14" i="47" s="1"/>
  <c r="AR14" i="47" a="1"/>
  <c r="AR14" i="47" s="1"/>
  <c r="AQ14" i="47" a="1"/>
  <c r="AQ14" i="47" s="1"/>
  <c r="AP14" i="47" a="1"/>
  <c r="AP14" i="47" s="1"/>
  <c r="AO14" i="47" a="1"/>
  <c r="AO14" i="47" s="1"/>
  <c r="AN14" i="47" a="1"/>
  <c r="AN14" i="47" s="1"/>
  <c r="AM14" i="47" a="1"/>
  <c r="AM14" i="47" s="1"/>
  <c r="AL14" i="47" a="1"/>
  <c r="AL14" i="47" s="1"/>
  <c r="AK14" i="47" a="1"/>
  <c r="AK14" i="47" s="1"/>
  <c r="AJ14" i="47" a="1"/>
  <c r="AJ14" i="47" s="1"/>
  <c r="AI14" i="47" a="1"/>
  <c r="AI14" i="47" s="1"/>
  <c r="AH14" i="47" a="1"/>
  <c r="AH14" i="47" s="1"/>
  <c r="AG14" i="47" a="1"/>
  <c r="AG14" i="47" s="1"/>
  <c r="AF14" i="47" a="1"/>
  <c r="AF14" i="47" s="1"/>
  <c r="AE14" i="47" a="1"/>
  <c r="AE14" i="47" s="1"/>
  <c r="AD14" i="47" a="1"/>
  <c r="AD14" i="47" s="1"/>
  <c r="AC14" i="47" a="1"/>
  <c r="AC14" i="47" s="1"/>
  <c r="AA14" i="47" a="1"/>
  <c r="AA14" i="47" s="1"/>
  <c r="BD13" i="47"/>
  <c r="AY13" i="47" a="1"/>
  <c r="AY13" i="47" s="1"/>
  <c r="AX13" i="47" a="1"/>
  <c r="AX13" i="47" s="1"/>
  <c r="AW13" i="47" a="1"/>
  <c r="AW13" i="47" s="1"/>
  <c r="AV13" i="47" a="1"/>
  <c r="AV13" i="47" s="1"/>
  <c r="AU13" i="47" a="1"/>
  <c r="AU13" i="47" s="1"/>
  <c r="AT13" i="47" a="1"/>
  <c r="AT13" i="47" s="1"/>
  <c r="AS13" i="47" a="1"/>
  <c r="AS13" i="47" s="1"/>
  <c r="AR13" i="47" a="1"/>
  <c r="AR13" i="47" s="1"/>
  <c r="AQ13" i="47" a="1"/>
  <c r="AQ13" i="47" s="1"/>
  <c r="AP13" i="47" a="1"/>
  <c r="AP13" i="47" s="1"/>
  <c r="AO13" i="47" a="1"/>
  <c r="AO13" i="47" s="1"/>
  <c r="AN13" i="47" a="1"/>
  <c r="AN13" i="47" s="1"/>
  <c r="AM13" i="47" a="1"/>
  <c r="AM13" i="47" s="1"/>
  <c r="AL13" i="47" a="1"/>
  <c r="AL13" i="47" s="1"/>
  <c r="AK13" i="47" a="1"/>
  <c r="AK13" i="47" s="1"/>
  <c r="AJ13" i="47" a="1"/>
  <c r="AJ13" i="47" s="1"/>
  <c r="AI13" i="47" a="1"/>
  <c r="AI13" i="47" s="1"/>
  <c r="AH13" i="47" a="1"/>
  <c r="AH13" i="47" s="1"/>
  <c r="AG13" i="47" a="1"/>
  <c r="AG13" i="47" s="1"/>
  <c r="AF13" i="47" a="1"/>
  <c r="AF13" i="47" s="1"/>
  <c r="AE13" i="47" a="1"/>
  <c r="AE13" i="47" s="1"/>
  <c r="AD13" i="47" a="1"/>
  <c r="AD13" i="47" s="1"/>
  <c r="AC13" i="47" a="1"/>
  <c r="AC13" i="47" s="1"/>
  <c r="AA13" i="47" a="1"/>
  <c r="AA13" i="47" s="1"/>
  <c r="BD12" i="47"/>
  <c r="AY12" i="47" a="1"/>
  <c r="AY12" i="47" s="1"/>
  <c r="AX12" i="47" a="1"/>
  <c r="AX12" i="47" s="1"/>
  <c r="AW12" i="47" a="1"/>
  <c r="AW12" i="47" s="1"/>
  <c r="AV12" i="47" a="1"/>
  <c r="AV12" i="47" s="1"/>
  <c r="AU12" i="47" a="1"/>
  <c r="AU12" i="47" s="1"/>
  <c r="AT12" i="47" a="1"/>
  <c r="AT12" i="47" s="1"/>
  <c r="AS12" i="47" a="1"/>
  <c r="AS12" i="47" s="1"/>
  <c r="AR12" i="47" a="1"/>
  <c r="AR12" i="47" s="1"/>
  <c r="AQ12" i="47" a="1"/>
  <c r="AQ12" i="47" s="1"/>
  <c r="AP12" i="47" a="1"/>
  <c r="AP12" i="47" s="1"/>
  <c r="AO12" i="47" a="1"/>
  <c r="AO12" i="47" s="1"/>
  <c r="AN12" i="47" a="1"/>
  <c r="AN12" i="47" s="1"/>
  <c r="AM12" i="47" a="1"/>
  <c r="AM12" i="47" s="1"/>
  <c r="AL12" i="47" a="1"/>
  <c r="AL12" i="47" s="1"/>
  <c r="AK12" i="47" a="1"/>
  <c r="AK12" i="47" s="1"/>
  <c r="AJ12" i="47" a="1"/>
  <c r="AJ12" i="47" s="1"/>
  <c r="AI12" i="47" a="1"/>
  <c r="AI12" i="47" s="1"/>
  <c r="AH12" i="47" a="1"/>
  <c r="AH12" i="47" s="1"/>
  <c r="AG12" i="47" a="1"/>
  <c r="AG12" i="47" s="1"/>
  <c r="AF12" i="47" a="1"/>
  <c r="AF12" i="47" s="1"/>
  <c r="AE12" i="47" a="1"/>
  <c r="AE12" i="47" s="1"/>
  <c r="AD12" i="47" a="1"/>
  <c r="AD12" i="47" s="1"/>
  <c r="AC12" i="47" a="1"/>
  <c r="AC12" i="47" s="1"/>
  <c r="AA12" i="47" a="1"/>
  <c r="AA12" i="47" s="1"/>
  <c r="BD11" i="47"/>
  <c r="AY11" i="47" a="1"/>
  <c r="AY11" i="47" s="1"/>
  <c r="AX11" i="47" a="1"/>
  <c r="AX11" i="47" s="1"/>
  <c r="AW11" i="47" a="1"/>
  <c r="AW11" i="47" s="1"/>
  <c r="AV11" i="47" a="1"/>
  <c r="AV11" i="47" s="1"/>
  <c r="AU11" i="47" a="1"/>
  <c r="AU11" i="47" s="1"/>
  <c r="AT11" i="47" a="1"/>
  <c r="AT11" i="47" s="1"/>
  <c r="AS11" i="47" a="1"/>
  <c r="AS11" i="47" s="1"/>
  <c r="AR11" i="47" a="1"/>
  <c r="AR11" i="47" s="1"/>
  <c r="AQ11" i="47" a="1"/>
  <c r="AQ11" i="47" s="1"/>
  <c r="AP11" i="47" a="1"/>
  <c r="AP11" i="47" s="1"/>
  <c r="AO11" i="47" a="1"/>
  <c r="AO11" i="47" s="1"/>
  <c r="AN11" i="47" a="1"/>
  <c r="AN11" i="47" s="1"/>
  <c r="AM11" i="47" a="1"/>
  <c r="AM11" i="47" s="1"/>
  <c r="AL11" i="47" a="1"/>
  <c r="AL11" i="47" s="1"/>
  <c r="AK11" i="47" a="1"/>
  <c r="AK11" i="47" s="1"/>
  <c r="AJ11" i="47" a="1"/>
  <c r="AJ11" i="47" s="1"/>
  <c r="AI11" i="47" a="1"/>
  <c r="AI11" i="47" s="1"/>
  <c r="AH11" i="47" a="1"/>
  <c r="AH11" i="47" s="1"/>
  <c r="AG11" i="47" a="1"/>
  <c r="AG11" i="47" s="1"/>
  <c r="AF11" i="47" a="1"/>
  <c r="AF11" i="47" s="1"/>
  <c r="AE11" i="47" a="1"/>
  <c r="AE11" i="47" s="1"/>
  <c r="AD11" i="47" a="1"/>
  <c r="AD11" i="47" s="1"/>
  <c r="AC11" i="47" a="1"/>
  <c r="AC11" i="47" s="1"/>
  <c r="AA11" i="47" a="1"/>
  <c r="AA11" i="47" s="1"/>
  <c r="BD10" i="47"/>
  <c r="AY10" i="47" a="1"/>
  <c r="AY10" i="47" s="1"/>
  <c r="AX10" i="47" a="1"/>
  <c r="AX10" i="47" s="1"/>
  <c r="AW10" i="47" a="1"/>
  <c r="AW10" i="47" s="1"/>
  <c r="AV10" i="47" a="1"/>
  <c r="AV10" i="47" s="1"/>
  <c r="AU10" i="47" a="1"/>
  <c r="AU10" i="47" s="1"/>
  <c r="AT10" i="47" a="1"/>
  <c r="AT10" i="47" s="1"/>
  <c r="AS10" i="47" a="1"/>
  <c r="AS10" i="47" s="1"/>
  <c r="AR10" i="47" a="1"/>
  <c r="AR10" i="47" s="1"/>
  <c r="AQ10" i="47" a="1"/>
  <c r="AQ10" i="47" s="1"/>
  <c r="AP10" i="47" a="1"/>
  <c r="AP10" i="47" s="1"/>
  <c r="AO10" i="47" a="1"/>
  <c r="AO10" i="47" s="1"/>
  <c r="AN10" i="47" a="1"/>
  <c r="AN10" i="47" s="1"/>
  <c r="AM10" i="47" a="1"/>
  <c r="AM10" i="47" s="1"/>
  <c r="AL10" i="47" a="1"/>
  <c r="AL10" i="47" s="1"/>
  <c r="AK10" i="47" a="1"/>
  <c r="AK10" i="47" s="1"/>
  <c r="AJ10" i="47" a="1"/>
  <c r="AJ10" i="47" s="1"/>
  <c r="AI10" i="47" a="1"/>
  <c r="AI10" i="47" s="1"/>
  <c r="AH10" i="47" a="1"/>
  <c r="AH10" i="47" s="1"/>
  <c r="AG10" i="47" a="1"/>
  <c r="AG10" i="47" s="1"/>
  <c r="AF10" i="47" a="1"/>
  <c r="AF10" i="47" s="1"/>
  <c r="AE10" i="47" a="1"/>
  <c r="AE10" i="47" s="1"/>
  <c r="AD10" i="47" a="1"/>
  <c r="AD10" i="47" s="1"/>
  <c r="AC10" i="47" a="1"/>
  <c r="AC10" i="47" s="1"/>
  <c r="AA10" i="47" a="1"/>
  <c r="AA10" i="47" s="1"/>
  <c r="BD9" i="47"/>
  <c r="AY9" i="47" a="1"/>
  <c r="AY9" i="47" s="1"/>
  <c r="AX9" i="47" a="1"/>
  <c r="AX9" i="47" s="1"/>
  <c r="AW9" i="47" a="1"/>
  <c r="AW9" i="47" s="1"/>
  <c r="AV9" i="47" a="1"/>
  <c r="AV9" i="47" s="1"/>
  <c r="AU9" i="47" a="1"/>
  <c r="AU9" i="47" s="1"/>
  <c r="AT9" i="47" a="1"/>
  <c r="AT9" i="47" s="1"/>
  <c r="AS9" i="47" a="1"/>
  <c r="AS9" i="47" s="1"/>
  <c r="AR9" i="47" a="1"/>
  <c r="AR9" i="47" s="1"/>
  <c r="AQ9" i="47" a="1"/>
  <c r="AQ9" i="47" s="1"/>
  <c r="AP9" i="47" a="1"/>
  <c r="AP9" i="47" s="1"/>
  <c r="AO9" i="47" a="1"/>
  <c r="AO9" i="47" s="1"/>
  <c r="AN9" i="47" a="1"/>
  <c r="AN9" i="47" s="1"/>
  <c r="AM9" i="47" a="1"/>
  <c r="AM9" i="47" s="1"/>
  <c r="AL9" i="47" a="1"/>
  <c r="AL9" i="47" s="1"/>
  <c r="AK9" i="47" a="1"/>
  <c r="AK9" i="47" s="1"/>
  <c r="AJ9" i="47" a="1"/>
  <c r="AJ9" i="47" s="1"/>
  <c r="AI9" i="47" a="1"/>
  <c r="AI9" i="47" s="1"/>
  <c r="AH9" i="47" a="1"/>
  <c r="AH9" i="47" s="1"/>
  <c r="AG9" i="47" a="1"/>
  <c r="AG9" i="47" s="1"/>
  <c r="AF9" i="47" a="1"/>
  <c r="AF9" i="47" s="1"/>
  <c r="AE9" i="47" a="1"/>
  <c r="AE9" i="47" s="1"/>
  <c r="AD9" i="47" a="1"/>
  <c r="AD9" i="47" s="1"/>
  <c r="AC9" i="47" a="1"/>
  <c r="AC9" i="47" s="1"/>
  <c r="AA9" i="47" a="1"/>
  <c r="AA9" i="47" s="1"/>
  <c r="BD8" i="47"/>
  <c r="AY8" i="47" a="1"/>
  <c r="AY8" i="47" s="1"/>
  <c r="AX8" i="47" a="1"/>
  <c r="AX8" i="47" s="1"/>
  <c r="AW8" i="47" a="1"/>
  <c r="AW8" i="47" s="1"/>
  <c r="AV8" i="47" a="1"/>
  <c r="AV8" i="47" s="1"/>
  <c r="AU8" i="47" a="1"/>
  <c r="AU8" i="47" s="1"/>
  <c r="AT8" i="47" a="1"/>
  <c r="AT8" i="47" s="1"/>
  <c r="AS8" i="47" a="1"/>
  <c r="AS8" i="47" s="1"/>
  <c r="AR8" i="47" a="1"/>
  <c r="AR8" i="47" s="1"/>
  <c r="AQ8" i="47" a="1"/>
  <c r="AQ8" i="47" s="1"/>
  <c r="AP8" i="47" a="1"/>
  <c r="AP8" i="47" s="1"/>
  <c r="AO8" i="47" a="1"/>
  <c r="AO8" i="47" s="1"/>
  <c r="AN8" i="47" a="1"/>
  <c r="AN8" i="47" s="1"/>
  <c r="AM8" i="47" a="1"/>
  <c r="AM8" i="47" s="1"/>
  <c r="AL8" i="47" a="1"/>
  <c r="AL8" i="47" s="1"/>
  <c r="AK8" i="47" a="1"/>
  <c r="AK8" i="47" s="1"/>
  <c r="AJ8" i="47" a="1"/>
  <c r="AJ8" i="47" s="1"/>
  <c r="AI8" i="47" a="1"/>
  <c r="AI8" i="47" s="1"/>
  <c r="AH8" i="47" a="1"/>
  <c r="AH8" i="47" s="1"/>
  <c r="AG8" i="47" a="1"/>
  <c r="AG8" i="47" s="1"/>
  <c r="AF8" i="47" a="1"/>
  <c r="AF8" i="47" s="1"/>
  <c r="AE8" i="47" a="1"/>
  <c r="AE8" i="47" s="1"/>
  <c r="AD8" i="47" a="1"/>
  <c r="AD8" i="47" s="1"/>
  <c r="AC8" i="47" a="1"/>
  <c r="AC8" i="47" s="1"/>
  <c r="AA8" i="47" a="1"/>
  <c r="AA8" i="47" s="1"/>
  <c r="BD7" i="47"/>
  <c r="AY7" i="47" a="1"/>
  <c r="AY7" i="47" s="1"/>
  <c r="AX7" i="47" a="1"/>
  <c r="AX7" i="47" s="1"/>
  <c r="AW7" i="47" a="1"/>
  <c r="AW7" i="47" s="1"/>
  <c r="AV7" i="47" a="1"/>
  <c r="AV7" i="47" s="1"/>
  <c r="AU7" i="47" a="1"/>
  <c r="AU7" i="47" s="1"/>
  <c r="AT7" i="47" a="1"/>
  <c r="AT7" i="47" s="1"/>
  <c r="AS7" i="47" a="1"/>
  <c r="AS7" i="47" s="1"/>
  <c r="AR7" i="47" a="1"/>
  <c r="AR7" i="47" s="1"/>
  <c r="AQ7" i="47" a="1"/>
  <c r="AQ7" i="47" s="1"/>
  <c r="AP7" i="47" a="1"/>
  <c r="AP7" i="47" s="1"/>
  <c r="AO7" i="47" a="1"/>
  <c r="AO7" i="47" s="1"/>
  <c r="AN7" i="47" a="1"/>
  <c r="AN7" i="47" s="1"/>
  <c r="AM7" i="47" a="1"/>
  <c r="AM7" i="47" s="1"/>
  <c r="AL7" i="47" a="1"/>
  <c r="AL7" i="47" s="1"/>
  <c r="AK7" i="47" a="1"/>
  <c r="AK7" i="47" s="1"/>
  <c r="AJ7" i="47" a="1"/>
  <c r="AJ7" i="47" s="1"/>
  <c r="AI7" i="47" a="1"/>
  <c r="AI7" i="47" s="1"/>
  <c r="AH7" i="47" a="1"/>
  <c r="AH7" i="47" s="1"/>
  <c r="AG7" i="47" a="1"/>
  <c r="AG7" i="47" s="1"/>
  <c r="AF7" i="47" a="1"/>
  <c r="AF7" i="47" s="1"/>
  <c r="AE7" i="47" a="1"/>
  <c r="AE7" i="47" s="1"/>
  <c r="AD7" i="47" a="1"/>
  <c r="AD7" i="47" s="1"/>
  <c r="AC7" i="47" a="1"/>
  <c r="AC7" i="47" s="1"/>
  <c r="AA7" i="47" a="1"/>
  <c r="AA7" i="47" s="1"/>
  <c r="F51" i="40"/>
  <c r="F50" i="40"/>
  <c r="F18" i="40"/>
  <c r="F17" i="40"/>
  <c r="T2" i="40"/>
  <c r="S2" i="40"/>
  <c r="F45" i="39"/>
  <c r="F44" i="39"/>
  <c r="F18" i="39"/>
  <c r="F17" i="39"/>
  <c r="T2" i="39"/>
  <c r="S2" i="39"/>
  <c r="C2" i="16" l="1"/>
  <c r="C2" i="19"/>
  <c r="D2" i="41"/>
  <c r="AE106" i="40" l="1"/>
  <c r="AE105" i="40"/>
  <c r="AE104" i="40"/>
  <c r="AE103" i="40"/>
  <c r="AE102" i="40"/>
  <c r="AE101" i="40"/>
  <c r="AE100" i="40"/>
  <c r="AE99" i="40"/>
  <c r="AE98" i="40"/>
  <c r="AE97" i="40"/>
  <c r="AE96" i="40"/>
  <c r="AE95" i="40"/>
  <c r="AE94" i="40"/>
  <c r="AE93" i="40"/>
  <c r="AE92" i="40"/>
  <c r="AE91" i="40"/>
  <c r="AE90" i="40"/>
  <c r="AE89" i="40"/>
  <c r="AE88" i="40"/>
  <c r="AE87" i="40"/>
  <c r="AE100" i="39"/>
  <c r="AE99" i="39"/>
  <c r="AE98" i="39"/>
  <c r="AE97" i="39"/>
  <c r="AE96" i="39"/>
  <c r="AE95" i="39"/>
  <c r="AE94" i="39"/>
  <c r="AE93" i="39"/>
  <c r="AE92" i="39"/>
  <c r="AE91" i="39"/>
  <c r="AE90" i="39"/>
  <c r="AE89" i="39"/>
  <c r="AE88" i="39"/>
  <c r="AE87" i="39"/>
  <c r="AE86" i="39"/>
  <c r="AE85" i="39"/>
  <c r="AE84" i="39"/>
  <c r="AE83" i="39"/>
  <c r="AE82" i="39"/>
  <c r="AE81" i="39"/>
  <c r="AE100" i="38"/>
  <c r="AE99" i="38"/>
  <c r="AE98" i="38"/>
  <c r="AE97" i="38"/>
  <c r="AE96" i="38"/>
  <c r="AE95" i="38"/>
  <c r="AE94" i="38"/>
  <c r="AE93" i="38"/>
  <c r="AE92" i="38"/>
  <c r="AE91" i="38"/>
  <c r="AE90" i="38"/>
  <c r="AE89" i="38"/>
  <c r="AE88" i="38"/>
  <c r="AE87" i="38"/>
  <c r="AE86" i="38"/>
  <c r="AE85" i="38"/>
  <c r="AE84" i="38"/>
  <c r="AE83" i="38"/>
  <c r="AE82" i="38"/>
  <c r="AE81" i="38"/>
  <c r="AE100" i="37"/>
  <c r="AE99" i="37"/>
  <c r="AE98" i="37"/>
  <c r="AE97" i="37"/>
  <c r="AE96" i="37"/>
  <c r="AE95" i="37"/>
  <c r="AE94" i="37"/>
  <c r="AE93" i="37"/>
  <c r="AE92" i="37"/>
  <c r="AE91" i="37"/>
  <c r="AE90" i="37"/>
  <c r="AE89" i="37"/>
  <c r="AE88" i="37"/>
  <c r="AE87" i="37"/>
  <c r="AE86" i="37"/>
  <c r="AE85" i="37"/>
  <c r="AE84" i="37"/>
  <c r="AE83" i="37"/>
  <c r="AE82" i="37"/>
  <c r="AE81" i="37"/>
  <c r="AE100" i="36"/>
  <c r="AE99" i="36"/>
  <c r="AE98" i="36"/>
  <c r="AE97" i="36"/>
  <c r="AE96" i="36"/>
  <c r="AE95" i="36"/>
  <c r="AE94" i="36"/>
  <c r="AE93" i="36"/>
  <c r="AE92" i="36"/>
  <c r="AE91" i="36"/>
  <c r="AE90" i="36"/>
  <c r="AE89" i="36"/>
  <c r="AE88" i="36"/>
  <c r="AE87" i="36"/>
  <c r="AE86" i="36"/>
  <c r="AE85" i="36"/>
  <c r="AE84" i="36"/>
  <c r="AE83" i="36"/>
  <c r="AE82" i="36"/>
  <c r="AE81" i="36"/>
  <c r="AE100" i="35"/>
  <c r="AE99" i="35"/>
  <c r="AE98" i="35"/>
  <c r="AE97" i="35"/>
  <c r="AE96" i="35"/>
  <c r="AE95" i="35"/>
  <c r="AE94" i="35"/>
  <c r="AE93" i="35"/>
  <c r="AE92" i="35"/>
  <c r="AE91" i="35"/>
  <c r="AE90" i="35"/>
  <c r="AE89" i="35"/>
  <c r="AE88" i="35"/>
  <c r="AE87" i="35"/>
  <c r="AE86" i="35"/>
  <c r="AE85" i="35"/>
  <c r="AE84" i="35"/>
  <c r="AE83" i="35"/>
  <c r="AE82" i="35"/>
  <c r="AE81" i="35"/>
  <c r="AE100" i="34"/>
  <c r="AE99" i="34"/>
  <c r="AE98" i="34"/>
  <c r="AE97" i="34"/>
  <c r="AE96" i="34"/>
  <c r="AE95" i="34"/>
  <c r="AE94" i="34"/>
  <c r="AE93" i="34"/>
  <c r="AE92" i="34"/>
  <c r="AE91" i="34"/>
  <c r="AE90" i="34"/>
  <c r="AE89" i="34"/>
  <c r="AE88" i="34"/>
  <c r="AE87" i="34"/>
  <c r="AE86" i="34"/>
  <c r="AE85" i="34"/>
  <c r="AE84" i="34"/>
  <c r="AE83" i="34"/>
  <c r="AE82" i="34"/>
  <c r="AE81" i="34"/>
  <c r="AE100" i="33"/>
  <c r="AE99" i="33"/>
  <c r="AE98" i="33"/>
  <c r="AE97" i="33"/>
  <c r="AE96" i="33"/>
  <c r="AE95" i="33"/>
  <c r="AE94" i="33"/>
  <c r="AE93" i="33"/>
  <c r="AE92" i="33"/>
  <c r="AE91" i="33"/>
  <c r="AE90" i="33"/>
  <c r="AE89" i="33"/>
  <c r="AE88" i="33"/>
  <c r="AE87" i="33"/>
  <c r="AE86" i="33"/>
  <c r="AE85" i="33"/>
  <c r="AE84" i="33"/>
  <c r="AE83" i="33"/>
  <c r="AE82" i="33"/>
  <c r="AE81" i="33"/>
  <c r="AE100" i="32"/>
  <c r="AE99" i="32"/>
  <c r="AE98" i="32"/>
  <c r="AE97" i="32"/>
  <c r="AE96" i="32"/>
  <c r="AE95" i="32"/>
  <c r="AE94" i="32"/>
  <c r="AE93" i="32"/>
  <c r="AE92" i="32"/>
  <c r="AE91" i="32"/>
  <c r="AE90" i="32"/>
  <c r="AE89" i="32"/>
  <c r="AE88" i="32"/>
  <c r="AE87" i="32"/>
  <c r="AE86" i="32"/>
  <c r="AE85" i="32"/>
  <c r="AE84" i="32"/>
  <c r="AE83" i="32"/>
  <c r="AE82" i="32"/>
  <c r="AE81" i="32"/>
  <c r="AE100" i="31"/>
  <c r="AE99" i="31"/>
  <c r="AE98" i="31"/>
  <c r="AE97" i="31"/>
  <c r="AE96" i="31"/>
  <c r="AE95" i="31"/>
  <c r="AE94" i="31"/>
  <c r="AE93" i="31"/>
  <c r="AE92" i="31"/>
  <c r="AE91" i="31"/>
  <c r="AE90" i="31"/>
  <c r="AE89" i="31"/>
  <c r="AE88" i="31"/>
  <c r="AE87" i="31"/>
  <c r="AE86" i="31"/>
  <c r="AE85" i="31"/>
  <c r="AE84" i="31"/>
  <c r="AE83" i="31"/>
  <c r="AE82" i="31"/>
  <c r="AE81" i="31"/>
  <c r="AE100" i="30"/>
  <c r="AE99" i="30"/>
  <c r="AE98" i="30"/>
  <c r="AE97" i="30"/>
  <c r="AE96" i="30"/>
  <c r="AE95" i="30"/>
  <c r="AE94" i="30"/>
  <c r="AE93" i="30"/>
  <c r="AE92" i="30"/>
  <c r="AE91" i="30"/>
  <c r="AE90" i="30"/>
  <c r="AE89" i="30"/>
  <c r="AE88" i="30"/>
  <c r="AE87" i="30"/>
  <c r="AE86" i="30"/>
  <c r="AE85" i="30"/>
  <c r="AE84" i="30"/>
  <c r="AE83" i="30"/>
  <c r="AE82" i="30"/>
  <c r="AE81" i="30"/>
  <c r="AE82" i="22"/>
  <c r="AE83" i="22"/>
  <c r="AE84" i="22"/>
  <c r="AE85" i="22"/>
  <c r="AE86" i="22"/>
  <c r="AE87" i="22"/>
  <c r="AE88" i="22"/>
  <c r="AE89" i="22"/>
  <c r="AE90" i="22"/>
  <c r="AE91" i="22"/>
  <c r="AE92" i="22"/>
  <c r="AE93" i="22"/>
  <c r="AE94" i="22"/>
  <c r="AE95" i="22"/>
  <c r="AE96" i="22"/>
  <c r="AE97" i="22"/>
  <c r="AE98" i="22"/>
  <c r="AE99" i="22"/>
  <c r="AE100" i="22"/>
  <c r="AE81" i="22"/>
  <c r="U62" i="47"/>
  <c r="U63" i="47"/>
  <c r="U64" i="47"/>
  <c r="U65" i="47"/>
  <c r="U66" i="47"/>
  <c r="U67" i="47"/>
  <c r="U68" i="47"/>
  <c r="U69" i="47"/>
  <c r="U70" i="47"/>
  <c r="U71" i="47"/>
  <c r="U72" i="47"/>
  <c r="U73" i="47"/>
  <c r="U74" i="47"/>
  <c r="U75" i="47"/>
  <c r="U76" i="47"/>
  <c r="U77" i="47"/>
  <c r="U78" i="47"/>
  <c r="U79" i="47"/>
  <c r="U80" i="47"/>
  <c r="U81" i="47"/>
  <c r="X88" i="40"/>
  <c r="Y88" i="40"/>
  <c r="Z88" i="40"/>
  <c r="AA88" i="40"/>
  <c r="AB88" i="40"/>
  <c r="X89" i="40"/>
  <c r="Y89" i="40"/>
  <c r="Z89" i="40"/>
  <c r="AA89" i="40"/>
  <c r="AB89" i="40"/>
  <c r="X90" i="40"/>
  <c r="Y90" i="40"/>
  <c r="Z90" i="40"/>
  <c r="AA90" i="40"/>
  <c r="AB90" i="40"/>
  <c r="X91" i="40"/>
  <c r="Y91" i="40"/>
  <c r="Z91" i="40"/>
  <c r="AA91" i="40"/>
  <c r="AB91" i="40"/>
  <c r="X92" i="40"/>
  <c r="Y92" i="40"/>
  <c r="Z92" i="40"/>
  <c r="AA92" i="40"/>
  <c r="AB92" i="40"/>
  <c r="X93" i="40"/>
  <c r="Y93" i="40"/>
  <c r="Z93" i="40"/>
  <c r="AA93" i="40"/>
  <c r="AB93" i="40"/>
  <c r="X94" i="40"/>
  <c r="Y94" i="40"/>
  <c r="Z94" i="40"/>
  <c r="AA94" i="40"/>
  <c r="AB94" i="40"/>
  <c r="X95" i="40"/>
  <c r="Y95" i="40"/>
  <c r="Z95" i="40"/>
  <c r="AA95" i="40"/>
  <c r="AB95" i="40"/>
  <c r="X96" i="40"/>
  <c r="Y96" i="40"/>
  <c r="Z96" i="40"/>
  <c r="AA96" i="40"/>
  <c r="AB96" i="40"/>
  <c r="X97" i="40"/>
  <c r="Y97" i="40"/>
  <c r="Z97" i="40"/>
  <c r="AA97" i="40"/>
  <c r="AB97" i="40"/>
  <c r="X98" i="40"/>
  <c r="Y98" i="40"/>
  <c r="Z98" i="40"/>
  <c r="AA98" i="40"/>
  <c r="AB98" i="40"/>
  <c r="X99" i="40"/>
  <c r="Y99" i="40"/>
  <c r="Z99" i="40"/>
  <c r="AA99" i="40"/>
  <c r="AB99" i="40"/>
  <c r="X100" i="40"/>
  <c r="Y100" i="40"/>
  <c r="Z100" i="40"/>
  <c r="AA100" i="40"/>
  <c r="AB100" i="40"/>
  <c r="X101" i="40"/>
  <c r="Y101" i="40"/>
  <c r="Z101" i="40"/>
  <c r="AA101" i="40"/>
  <c r="AB101" i="40"/>
  <c r="X102" i="40"/>
  <c r="Y102" i="40"/>
  <c r="Z102" i="40"/>
  <c r="AA102" i="40"/>
  <c r="AB102" i="40"/>
  <c r="X103" i="40"/>
  <c r="Y103" i="40"/>
  <c r="Z103" i="40"/>
  <c r="AA103" i="40"/>
  <c r="AB103" i="40"/>
  <c r="X104" i="40"/>
  <c r="Y104" i="40"/>
  <c r="Z104" i="40"/>
  <c r="AA104" i="40"/>
  <c r="AB104" i="40"/>
  <c r="X105" i="40"/>
  <c r="Y105" i="40"/>
  <c r="Z105" i="40"/>
  <c r="AA105" i="40"/>
  <c r="AB105" i="40"/>
  <c r="X106" i="40"/>
  <c r="Y106" i="40"/>
  <c r="Z106" i="40"/>
  <c r="AA106" i="40"/>
  <c r="AB106" i="40"/>
  <c r="AB87" i="40"/>
  <c r="AA87" i="40"/>
  <c r="Z87" i="40"/>
  <c r="Y87" i="40"/>
  <c r="X87" i="40"/>
  <c r="AB65" i="40"/>
  <c r="AB66" i="40"/>
  <c r="AB67" i="40"/>
  <c r="AB68" i="40"/>
  <c r="AB69" i="40"/>
  <c r="AB70" i="40"/>
  <c r="AB71" i="40"/>
  <c r="AB72" i="40"/>
  <c r="AB73" i="40"/>
  <c r="AB74" i="40"/>
  <c r="AB75" i="40"/>
  <c r="AB76" i="40"/>
  <c r="AB77" i="40"/>
  <c r="AB78" i="40"/>
  <c r="AB79" i="40"/>
  <c r="AB80" i="40"/>
  <c r="AB81" i="40"/>
  <c r="AB82" i="40"/>
  <c r="AB83" i="40"/>
  <c r="AB64" i="40"/>
  <c r="AA65" i="40"/>
  <c r="AA66" i="40"/>
  <c r="AA67" i="40"/>
  <c r="AA68" i="40"/>
  <c r="AA69" i="40"/>
  <c r="AA70" i="40"/>
  <c r="AA71" i="40"/>
  <c r="AA72" i="40"/>
  <c r="AA73" i="40"/>
  <c r="AA74" i="40"/>
  <c r="AA75" i="40"/>
  <c r="AA76" i="40"/>
  <c r="AA77" i="40"/>
  <c r="AA78" i="40"/>
  <c r="AA79" i="40"/>
  <c r="AA80" i="40"/>
  <c r="AA81" i="40"/>
  <c r="AA82" i="40"/>
  <c r="AA83" i="40"/>
  <c r="AA64" i="40"/>
  <c r="Z65" i="40"/>
  <c r="Z66" i="40"/>
  <c r="Z67" i="40"/>
  <c r="Z68" i="40"/>
  <c r="Z69" i="40"/>
  <c r="Z70" i="40"/>
  <c r="Z71" i="40"/>
  <c r="Z72" i="40"/>
  <c r="Z73" i="40"/>
  <c r="Z74" i="40"/>
  <c r="Z75" i="40"/>
  <c r="Z76" i="40"/>
  <c r="Z77" i="40"/>
  <c r="Z78" i="40"/>
  <c r="Z79" i="40"/>
  <c r="Z80" i="40"/>
  <c r="Z81" i="40"/>
  <c r="Z82" i="40"/>
  <c r="Z83" i="40"/>
  <c r="Z64" i="40"/>
  <c r="Y65" i="40"/>
  <c r="Y66" i="40"/>
  <c r="Y67" i="40"/>
  <c r="Y68" i="40"/>
  <c r="Y69" i="40"/>
  <c r="Y70" i="40"/>
  <c r="Y71" i="40"/>
  <c r="Y72" i="40"/>
  <c r="Y73" i="40"/>
  <c r="Y74" i="40"/>
  <c r="Y75" i="40"/>
  <c r="Y76" i="40"/>
  <c r="Y77" i="40"/>
  <c r="Y78" i="40"/>
  <c r="Y79" i="40"/>
  <c r="Y80" i="40"/>
  <c r="Y81" i="40"/>
  <c r="Y82" i="40"/>
  <c r="Y83" i="40"/>
  <c r="Y64" i="40"/>
  <c r="X65" i="40"/>
  <c r="X66" i="40"/>
  <c r="X67" i="40"/>
  <c r="X68" i="40"/>
  <c r="X69" i="40"/>
  <c r="X70" i="40"/>
  <c r="X71" i="40"/>
  <c r="X72" i="40"/>
  <c r="X73" i="40"/>
  <c r="X74" i="40"/>
  <c r="X75" i="40"/>
  <c r="X76" i="40"/>
  <c r="X77" i="40"/>
  <c r="X78" i="40"/>
  <c r="X79" i="40"/>
  <c r="X80" i="40"/>
  <c r="X81" i="40"/>
  <c r="X82" i="40"/>
  <c r="X83" i="40"/>
  <c r="X64" i="40"/>
  <c r="BB59" i="29" l="1"/>
  <c r="BB58" i="29"/>
  <c r="E70" i="47"/>
  <c r="E69" i="47"/>
  <c r="C3" i="43"/>
  <c r="C2" i="43"/>
  <c r="CW3" i="47"/>
  <c r="CV3" i="47"/>
  <c r="F45" i="22"/>
  <c r="F44" i="22"/>
  <c r="U89" i="47" l="1"/>
  <c r="W89" i="47"/>
  <c r="V89" i="47"/>
  <c r="X89" i="47"/>
  <c r="AZ89" i="47" s="1" a="1"/>
  <c r="AZ89" i="47" s="1"/>
  <c r="Y89" i="47"/>
  <c r="U90" i="47"/>
  <c r="W90" i="47"/>
  <c r="V90" i="47"/>
  <c r="X90" i="47"/>
  <c r="Y90" i="47"/>
  <c r="U91" i="47"/>
  <c r="W91" i="47"/>
  <c r="V91" i="47"/>
  <c r="X91" i="47"/>
  <c r="AZ91" i="47" s="1" a="1"/>
  <c r="AZ91" i="47" s="1"/>
  <c r="Y91" i="47"/>
  <c r="U92" i="47"/>
  <c r="W92" i="47"/>
  <c r="V92" i="47"/>
  <c r="X92" i="47"/>
  <c r="Y92" i="47"/>
  <c r="U93" i="47"/>
  <c r="W93" i="47"/>
  <c r="V93" i="47"/>
  <c r="X93" i="47"/>
  <c r="AZ93" i="47" s="1" a="1"/>
  <c r="AZ93" i="47" s="1"/>
  <c r="Y93" i="47"/>
  <c r="U94" i="47"/>
  <c r="W94" i="47"/>
  <c r="V94" i="47"/>
  <c r="X94" i="47"/>
  <c r="Y94" i="47"/>
  <c r="U95" i="47"/>
  <c r="W95" i="47"/>
  <c r="V95" i="47"/>
  <c r="X95" i="47"/>
  <c r="AZ95" i="47" s="1" a="1"/>
  <c r="AZ95" i="47" s="1"/>
  <c r="Y95" i="47"/>
  <c r="U96" i="47"/>
  <c r="W96" i="47"/>
  <c r="V96" i="47"/>
  <c r="X96" i="47"/>
  <c r="Y96" i="47"/>
  <c r="U97" i="47"/>
  <c r="W97" i="47"/>
  <c r="V97" i="47"/>
  <c r="X97" i="47"/>
  <c r="Y97" i="47"/>
  <c r="U98" i="47"/>
  <c r="W98" i="47"/>
  <c r="V98" i="47"/>
  <c r="X98" i="47"/>
  <c r="AZ98" i="47" s="1" a="1"/>
  <c r="AZ98" i="47" s="1"/>
  <c r="Y98" i="47"/>
  <c r="U99" i="47"/>
  <c r="W99" i="47"/>
  <c r="V99" i="47"/>
  <c r="X99" i="47"/>
  <c r="AZ99" i="47" s="1" a="1"/>
  <c r="AZ99" i="47" s="1"/>
  <c r="Y99" i="47"/>
  <c r="U100" i="47"/>
  <c r="W100" i="47"/>
  <c r="V100" i="47"/>
  <c r="X100" i="47"/>
  <c r="Y100" i="47"/>
  <c r="U101" i="47"/>
  <c r="W101" i="47"/>
  <c r="V101" i="47"/>
  <c r="X101" i="47"/>
  <c r="Y101" i="47"/>
  <c r="U102" i="47"/>
  <c r="W102" i="47"/>
  <c r="V102" i="47"/>
  <c r="X102" i="47"/>
  <c r="AZ102" i="47" s="1" a="1"/>
  <c r="AZ102" i="47" s="1"/>
  <c r="Y102" i="47"/>
  <c r="U103" i="47"/>
  <c r="W103" i="47"/>
  <c r="V103" i="47"/>
  <c r="X103" i="47"/>
  <c r="AZ103" i="47" s="1" a="1"/>
  <c r="AZ103" i="47" s="1"/>
  <c r="Y103" i="47"/>
  <c r="U104" i="47"/>
  <c r="W104" i="47"/>
  <c r="V104" i="47"/>
  <c r="X104" i="47"/>
  <c r="Y104" i="47"/>
  <c r="U105" i="47"/>
  <c r="W105" i="47"/>
  <c r="V105" i="47"/>
  <c r="X105" i="47"/>
  <c r="Y105" i="47"/>
  <c r="U106" i="47"/>
  <c r="W106" i="47"/>
  <c r="V106" i="47"/>
  <c r="X106" i="47"/>
  <c r="Y106" i="47"/>
  <c r="U107" i="47"/>
  <c r="W107" i="47"/>
  <c r="V107" i="47"/>
  <c r="X107" i="47"/>
  <c r="Y107" i="47"/>
  <c r="Y88" i="47"/>
  <c r="X88" i="47"/>
  <c r="V88" i="47"/>
  <c r="W88" i="47"/>
  <c r="U88" i="47"/>
  <c r="W63" i="47"/>
  <c r="V63" i="47"/>
  <c r="X63" i="47"/>
  <c r="AZ63" i="47" s="1" a="1"/>
  <c r="AZ63" i="47" s="1"/>
  <c r="Y63" i="47"/>
  <c r="W64" i="47"/>
  <c r="V64" i="47"/>
  <c r="X64" i="47"/>
  <c r="Y64" i="47"/>
  <c r="W65" i="47"/>
  <c r="V65" i="47"/>
  <c r="X65" i="47"/>
  <c r="AZ65" i="47" s="1" a="1"/>
  <c r="AZ65" i="47" s="1"/>
  <c r="Y65" i="47"/>
  <c r="W66" i="47"/>
  <c r="V66" i="47"/>
  <c r="X66" i="47"/>
  <c r="Y66" i="47"/>
  <c r="W67" i="47"/>
  <c r="V67" i="47"/>
  <c r="X67" i="47"/>
  <c r="AZ67" i="47" s="1" a="1"/>
  <c r="AZ67" i="47" s="1"/>
  <c r="Y67" i="47"/>
  <c r="W68" i="47"/>
  <c r="V68" i="47"/>
  <c r="X68" i="47"/>
  <c r="Y68" i="47"/>
  <c r="W69" i="47"/>
  <c r="V69" i="47"/>
  <c r="X69" i="47"/>
  <c r="AZ69" i="47" s="1" a="1"/>
  <c r="AZ69" i="47" s="1"/>
  <c r="Y69" i="47"/>
  <c r="W70" i="47"/>
  <c r="V70" i="47"/>
  <c r="X70" i="47"/>
  <c r="Y70" i="47"/>
  <c r="W71" i="47"/>
  <c r="V71" i="47"/>
  <c r="X71" i="47"/>
  <c r="Y71" i="47"/>
  <c r="W72" i="47"/>
  <c r="V72" i="47"/>
  <c r="X72" i="47"/>
  <c r="AZ72" i="47" s="1" a="1"/>
  <c r="AZ72" i="47" s="1"/>
  <c r="Y72" i="47"/>
  <c r="W73" i="47"/>
  <c r="V73" i="47"/>
  <c r="X73" i="47"/>
  <c r="AZ73" i="47" s="1" a="1"/>
  <c r="AZ73" i="47" s="1"/>
  <c r="Y73" i="47"/>
  <c r="W74" i="47"/>
  <c r="V74" i="47"/>
  <c r="X74" i="47"/>
  <c r="Y74" i="47"/>
  <c r="W75" i="47"/>
  <c r="V75" i="47"/>
  <c r="X75" i="47"/>
  <c r="Y75" i="47"/>
  <c r="W76" i="47"/>
  <c r="V76" i="47"/>
  <c r="X76" i="47"/>
  <c r="AZ76" i="47" s="1" a="1"/>
  <c r="AZ76" i="47" s="1"/>
  <c r="Y76" i="47"/>
  <c r="W77" i="47"/>
  <c r="V77" i="47"/>
  <c r="X77" i="47"/>
  <c r="AZ77" i="47" s="1" a="1"/>
  <c r="AZ77" i="47" s="1"/>
  <c r="Y77" i="47"/>
  <c r="W78" i="47"/>
  <c r="V78" i="47"/>
  <c r="X78" i="47"/>
  <c r="Y78" i="47"/>
  <c r="W79" i="47"/>
  <c r="V79" i="47"/>
  <c r="X79" i="47"/>
  <c r="Y79" i="47"/>
  <c r="W80" i="47"/>
  <c r="V80" i="47"/>
  <c r="X80" i="47"/>
  <c r="Y80" i="47"/>
  <c r="W81" i="47"/>
  <c r="V81" i="47"/>
  <c r="X81" i="47"/>
  <c r="Y81" i="47"/>
  <c r="U35" i="47"/>
  <c r="W35" i="47"/>
  <c r="V35" i="47"/>
  <c r="X35" i="47"/>
  <c r="AZ35" i="47" s="1" a="1"/>
  <c r="AZ35" i="47" s="1"/>
  <c r="Y35" i="47"/>
  <c r="U36" i="47"/>
  <c r="W36" i="47"/>
  <c r="V36" i="47"/>
  <c r="X36" i="47"/>
  <c r="Y36" i="47"/>
  <c r="U37" i="47"/>
  <c r="W37" i="47"/>
  <c r="V37" i="47"/>
  <c r="X37" i="47"/>
  <c r="AZ37" i="47" s="1" a="1"/>
  <c r="AZ37" i="47" s="1"/>
  <c r="Y37" i="47"/>
  <c r="U38" i="47"/>
  <c r="W38" i="47"/>
  <c r="V38" i="47"/>
  <c r="X38" i="47"/>
  <c r="Y38" i="47"/>
  <c r="U39" i="47"/>
  <c r="W39" i="47"/>
  <c r="V39" i="47"/>
  <c r="X39" i="47"/>
  <c r="AZ39" i="47" s="1" a="1"/>
  <c r="AZ39" i="47" s="1"/>
  <c r="Y39" i="47"/>
  <c r="U40" i="47"/>
  <c r="W40" i="47"/>
  <c r="V40" i="47"/>
  <c r="X40" i="47"/>
  <c r="Y40" i="47"/>
  <c r="U41" i="47"/>
  <c r="W41" i="47"/>
  <c r="V41" i="47"/>
  <c r="X41" i="47"/>
  <c r="AZ41" i="47" s="1" a="1"/>
  <c r="AZ41" i="47" s="1"/>
  <c r="Y41" i="47"/>
  <c r="U42" i="47"/>
  <c r="W42" i="47"/>
  <c r="V42" i="47"/>
  <c r="X42" i="47"/>
  <c r="Y42" i="47"/>
  <c r="U43" i="47"/>
  <c r="W43" i="47"/>
  <c r="V43" i="47"/>
  <c r="X43" i="47"/>
  <c r="Y43" i="47"/>
  <c r="U44" i="47"/>
  <c r="W44" i="47"/>
  <c r="V44" i="47"/>
  <c r="X44" i="47"/>
  <c r="AZ44" i="47" s="1" a="1"/>
  <c r="AZ44" i="47" s="1"/>
  <c r="Y44" i="47"/>
  <c r="U45" i="47"/>
  <c r="W45" i="47"/>
  <c r="V45" i="47"/>
  <c r="X45" i="47"/>
  <c r="AZ45" i="47" s="1" a="1"/>
  <c r="AZ45" i="47" s="1"/>
  <c r="Y45" i="47"/>
  <c r="U46" i="47"/>
  <c r="W46" i="47"/>
  <c r="V46" i="47"/>
  <c r="X46" i="47"/>
  <c r="Y46" i="47"/>
  <c r="U47" i="47"/>
  <c r="W47" i="47"/>
  <c r="V47" i="47"/>
  <c r="X47" i="47"/>
  <c r="Y47" i="47"/>
  <c r="U48" i="47"/>
  <c r="W48" i="47"/>
  <c r="V48" i="47"/>
  <c r="X48" i="47"/>
  <c r="AZ48" i="47" s="1" a="1"/>
  <c r="AZ48" i="47" s="1"/>
  <c r="Y48" i="47"/>
  <c r="U49" i="47"/>
  <c r="W49" i="47"/>
  <c r="V49" i="47"/>
  <c r="X49" i="47"/>
  <c r="AZ49" i="47" s="1" a="1"/>
  <c r="AZ49" i="47" s="1"/>
  <c r="Y49" i="47"/>
  <c r="U50" i="47"/>
  <c r="W50" i="47"/>
  <c r="V50" i="47"/>
  <c r="X50" i="47"/>
  <c r="Y50" i="47"/>
  <c r="U51" i="47"/>
  <c r="W51" i="47"/>
  <c r="V51" i="47"/>
  <c r="X51" i="47"/>
  <c r="Y51" i="47"/>
  <c r="U52" i="47"/>
  <c r="W52" i="47"/>
  <c r="V52" i="47"/>
  <c r="X52" i="47"/>
  <c r="Y52" i="47"/>
  <c r="U53" i="47"/>
  <c r="W53" i="47"/>
  <c r="V53" i="47"/>
  <c r="X53" i="47"/>
  <c r="Y53" i="47"/>
  <c r="Y62" i="47"/>
  <c r="X62" i="47"/>
  <c r="V62" i="47"/>
  <c r="W62" i="47"/>
  <c r="Y34" i="47"/>
  <c r="X34" i="47"/>
  <c r="V34" i="47"/>
  <c r="W34" i="47"/>
  <c r="U34" i="47"/>
  <c r="U8" i="47"/>
  <c r="W8" i="47"/>
  <c r="V8" i="47"/>
  <c r="X8" i="47"/>
  <c r="AZ8" i="47" s="1" a="1"/>
  <c r="AZ8" i="47" s="1"/>
  <c r="Y8" i="47"/>
  <c r="U9" i="47"/>
  <c r="W9" i="47"/>
  <c r="V9" i="47"/>
  <c r="X9" i="47"/>
  <c r="Y9" i="47"/>
  <c r="U10" i="47"/>
  <c r="W10" i="47"/>
  <c r="V10" i="47"/>
  <c r="X10" i="47"/>
  <c r="AZ10" i="47" s="1" a="1"/>
  <c r="AZ10" i="47" s="1"/>
  <c r="Y10" i="47"/>
  <c r="U11" i="47"/>
  <c r="W11" i="47"/>
  <c r="V11" i="47"/>
  <c r="X11" i="47"/>
  <c r="Y11" i="47"/>
  <c r="U12" i="47"/>
  <c r="W12" i="47"/>
  <c r="V12" i="47"/>
  <c r="X12" i="47"/>
  <c r="AZ12" i="47" s="1" a="1"/>
  <c r="AZ12" i="47" s="1"/>
  <c r="Y12" i="47"/>
  <c r="U13" i="47"/>
  <c r="W13" i="47"/>
  <c r="V13" i="47"/>
  <c r="X13" i="47"/>
  <c r="Y13" i="47"/>
  <c r="U14" i="47"/>
  <c r="W14" i="47"/>
  <c r="V14" i="47"/>
  <c r="X14" i="47"/>
  <c r="AZ14" i="47" s="1" a="1"/>
  <c r="AZ14" i="47" s="1"/>
  <c r="Y14" i="47"/>
  <c r="U15" i="47"/>
  <c r="W15" i="47"/>
  <c r="V15" i="47"/>
  <c r="X15" i="47"/>
  <c r="Y15" i="47"/>
  <c r="U16" i="47"/>
  <c r="W16" i="47"/>
  <c r="V16" i="47"/>
  <c r="X16" i="47"/>
  <c r="Y16" i="47"/>
  <c r="U17" i="47"/>
  <c r="W17" i="47"/>
  <c r="V17" i="47"/>
  <c r="X17" i="47"/>
  <c r="AZ17" i="47" s="1" a="1"/>
  <c r="AZ17" i="47" s="1"/>
  <c r="Y17" i="47"/>
  <c r="U18" i="47"/>
  <c r="W18" i="47"/>
  <c r="V18" i="47"/>
  <c r="X18" i="47"/>
  <c r="AZ18" i="47" s="1" a="1"/>
  <c r="AZ18" i="47" s="1"/>
  <c r="Y18" i="47"/>
  <c r="U19" i="47"/>
  <c r="W19" i="47"/>
  <c r="V19" i="47"/>
  <c r="X19" i="47"/>
  <c r="Y19" i="47"/>
  <c r="U20" i="47"/>
  <c r="W20" i="47"/>
  <c r="V20" i="47"/>
  <c r="X20" i="47"/>
  <c r="Y20" i="47"/>
  <c r="U21" i="47"/>
  <c r="W21" i="47"/>
  <c r="V21" i="47"/>
  <c r="X21" i="47"/>
  <c r="AZ21" i="47" s="1" a="1"/>
  <c r="AZ21" i="47" s="1"/>
  <c r="Y21" i="47"/>
  <c r="U22" i="47"/>
  <c r="W22" i="47"/>
  <c r="V22" i="47"/>
  <c r="X22" i="47"/>
  <c r="AZ22" i="47" s="1" a="1"/>
  <c r="AZ22" i="47" s="1"/>
  <c r="Y22" i="47"/>
  <c r="U23" i="47"/>
  <c r="W23" i="47"/>
  <c r="V23" i="47"/>
  <c r="X23" i="47"/>
  <c r="Y23" i="47"/>
  <c r="U24" i="47"/>
  <c r="W24" i="47"/>
  <c r="V24" i="47"/>
  <c r="X24" i="47"/>
  <c r="Y24" i="47"/>
  <c r="U25" i="47"/>
  <c r="W25" i="47"/>
  <c r="V25" i="47"/>
  <c r="X25" i="47"/>
  <c r="Y25" i="47"/>
  <c r="U26" i="47"/>
  <c r="W26" i="47"/>
  <c r="V26" i="47"/>
  <c r="X26" i="47"/>
  <c r="Y26" i="47"/>
  <c r="Y7" i="47"/>
  <c r="X7" i="47"/>
  <c r="V7" i="47"/>
  <c r="W7" i="47"/>
  <c r="U7" i="47"/>
  <c r="CA64" i="29"/>
  <c r="CA65" i="29" s="1"/>
  <c r="CA66" i="29" s="1"/>
  <c r="CA67" i="29" s="1"/>
  <c r="CA68" i="29" s="1"/>
  <c r="CA69" i="29" s="1"/>
  <c r="CA70" i="29" s="1"/>
  <c r="CA71" i="29" s="1"/>
  <c r="CA72" i="29" s="1"/>
  <c r="CA73" i="29" s="1"/>
  <c r="CA74" i="29" s="1"/>
  <c r="CA75" i="29" s="1"/>
  <c r="CA76" i="29" s="1"/>
  <c r="CA77" i="29" s="1"/>
  <c r="CA78" i="29" s="1"/>
  <c r="CA79" i="29" s="1"/>
  <c r="BZ64" i="29"/>
  <c r="E71" i="47"/>
  <c r="BC107" i="47" l="1" a="1"/>
  <c r="BC107" i="47" s="1"/>
  <c r="BA107" i="47" a="1"/>
  <c r="BA107" i="47" s="1"/>
  <c r="BC103" i="47" a="1"/>
  <c r="BC103" i="47" s="1"/>
  <c r="BA103" i="47" a="1"/>
  <c r="BA103" i="47" s="1"/>
  <c r="BC99" i="47" a="1"/>
  <c r="BC99" i="47" s="1"/>
  <c r="BA99" i="47" a="1"/>
  <c r="BA99" i="47" s="1"/>
  <c r="BC95" i="47" a="1"/>
  <c r="BC95" i="47" s="1"/>
  <c r="BA95" i="47" a="1"/>
  <c r="BA95" i="47" s="1"/>
  <c r="BC91" i="47" a="1"/>
  <c r="BC91" i="47" s="1"/>
  <c r="BA91" i="47" a="1"/>
  <c r="BA91" i="47" s="1"/>
  <c r="BA106" i="47" a="1"/>
  <c r="BA106" i="47" s="1"/>
  <c r="BC106" i="47" a="1"/>
  <c r="BC106" i="47" s="1"/>
  <c r="BC102" i="47" a="1"/>
  <c r="BC102" i="47" s="1"/>
  <c r="BA102" i="47" a="1"/>
  <c r="BA102" i="47" s="1"/>
  <c r="BC98" i="47" a="1"/>
  <c r="BC98" i="47" s="1"/>
  <c r="BA98" i="47" a="1"/>
  <c r="BA98" i="47" s="1"/>
  <c r="BC94" i="47" a="1"/>
  <c r="BC94" i="47" s="1"/>
  <c r="BA94" i="47" a="1"/>
  <c r="BA94" i="47" s="1"/>
  <c r="BA90" i="47" a="1"/>
  <c r="BA90" i="47" s="1"/>
  <c r="BC90" i="47" a="1"/>
  <c r="BC90" i="47" s="1"/>
  <c r="BC105" i="47" a="1"/>
  <c r="BC105" i="47" s="1"/>
  <c r="BA105" i="47" a="1"/>
  <c r="BA105" i="47" s="1"/>
  <c r="BC101" i="47" a="1"/>
  <c r="BC101" i="47" s="1"/>
  <c r="BA101" i="47" a="1"/>
  <c r="BA101" i="47" s="1"/>
  <c r="BC97" i="47" a="1"/>
  <c r="BC97" i="47" s="1"/>
  <c r="BA97" i="47" a="1"/>
  <c r="BA97" i="47" s="1"/>
  <c r="BC93" i="47" a="1"/>
  <c r="BC93" i="47" s="1"/>
  <c r="BA93" i="47" a="1"/>
  <c r="BA93" i="47" s="1"/>
  <c r="BC89" i="47" a="1"/>
  <c r="BC89" i="47" s="1"/>
  <c r="BA89" i="47" a="1"/>
  <c r="BA89" i="47" s="1"/>
  <c r="BC88" i="47" a="1"/>
  <c r="BC88" i="47" s="1"/>
  <c r="BA88" i="47" a="1"/>
  <c r="BA88" i="47" s="1"/>
  <c r="BC104" i="47" a="1"/>
  <c r="BC104" i="47" s="1"/>
  <c r="BA104" i="47" a="1"/>
  <c r="BA104" i="47" s="1"/>
  <c r="BC100" i="47" a="1"/>
  <c r="BC100" i="47" s="1"/>
  <c r="BA100" i="47" a="1"/>
  <c r="BA100" i="47" s="1"/>
  <c r="BC96" i="47" a="1"/>
  <c r="BC96" i="47" s="1"/>
  <c r="BA96" i="47" a="1"/>
  <c r="BA96" i="47" s="1"/>
  <c r="BC92" i="47" a="1"/>
  <c r="BC92" i="47" s="1"/>
  <c r="BA92" i="47" a="1"/>
  <c r="BA92" i="47" s="1"/>
  <c r="BA47" i="47" a="1"/>
  <c r="BA47" i="47" s="1"/>
  <c r="BC47" i="47" a="1"/>
  <c r="BC47" i="47" s="1"/>
  <c r="BC43" i="47" a="1"/>
  <c r="BC43" i="47" s="1"/>
  <c r="BA43" i="47" a="1"/>
  <c r="BA43" i="47" s="1"/>
  <c r="BA53" i="47" a="1"/>
  <c r="BA53" i="47" s="1"/>
  <c r="BC53" i="47" a="1"/>
  <c r="BC53" i="47" s="1"/>
  <c r="BC49" i="47" a="1"/>
  <c r="BC49" i="47" s="1"/>
  <c r="BA49" i="47" a="1"/>
  <c r="BA49" i="47" s="1"/>
  <c r="BA45" i="47" a="1"/>
  <c r="BA45" i="47" s="1"/>
  <c r="BC45" i="47" a="1"/>
  <c r="BC45" i="47" s="1"/>
  <c r="BC41" i="47" a="1"/>
  <c r="BC41" i="47" s="1"/>
  <c r="BA41" i="47" a="1"/>
  <c r="BA41" i="47" s="1"/>
  <c r="BA37" i="47" a="1"/>
  <c r="BA37" i="47" s="1"/>
  <c r="BC37" i="47" a="1"/>
  <c r="BC37" i="47" s="1"/>
  <c r="BC52" i="47" a="1"/>
  <c r="BC52" i="47" s="1"/>
  <c r="BA52" i="47" a="1"/>
  <c r="BA52" i="47" s="1"/>
  <c r="BA48" i="47" a="1"/>
  <c r="BA48" i="47" s="1"/>
  <c r="BC48" i="47" a="1"/>
  <c r="BC48" i="47" s="1"/>
  <c r="BC44" i="47" a="1"/>
  <c r="BC44" i="47" s="1"/>
  <c r="BA44" i="47" a="1"/>
  <c r="BA44" i="47" s="1"/>
  <c r="BA40" i="47" a="1"/>
  <c r="BA40" i="47" s="1"/>
  <c r="BC40" i="47" a="1"/>
  <c r="BC40" i="47" s="1"/>
  <c r="BC36" i="47" a="1"/>
  <c r="BC36" i="47" s="1"/>
  <c r="BA36" i="47" a="1"/>
  <c r="BA36" i="47" s="1"/>
  <c r="BC35" i="47" a="1"/>
  <c r="BC35" i="47" s="1"/>
  <c r="BA35" i="47" a="1"/>
  <c r="BA35" i="47" s="1"/>
  <c r="BA51" i="47" a="1"/>
  <c r="BA51" i="47" s="1"/>
  <c r="BC51" i="47" a="1"/>
  <c r="BC51" i="47" s="1"/>
  <c r="BA39" i="47" a="1"/>
  <c r="BA39" i="47" s="1"/>
  <c r="BC39" i="47" a="1"/>
  <c r="BC39" i="47" s="1"/>
  <c r="BA34" i="47" a="1"/>
  <c r="BA34" i="47" s="1"/>
  <c r="BC34" i="47" a="1"/>
  <c r="BC34" i="47" s="1"/>
  <c r="BA50" i="47" a="1"/>
  <c r="BA50" i="47" s="1"/>
  <c r="BC50" i="47" a="1"/>
  <c r="BC50" i="47" s="1"/>
  <c r="BC46" i="47" a="1"/>
  <c r="BC46" i="47" s="1"/>
  <c r="BA46" i="47" a="1"/>
  <c r="BA46" i="47" s="1"/>
  <c r="BA42" i="47" a="1"/>
  <c r="BA42" i="47" s="1"/>
  <c r="BC42" i="47" a="1"/>
  <c r="BC42" i="47" s="1"/>
  <c r="BC38" i="47" a="1"/>
  <c r="BC38" i="47" s="1"/>
  <c r="BA38" i="47" a="1"/>
  <c r="BA38" i="47" s="1"/>
  <c r="CN73" i="47"/>
  <c r="AZ25" i="47" a="1"/>
  <c r="AZ25" i="47" s="1"/>
  <c r="AZ13" i="47" a="1"/>
  <c r="AZ13" i="47" s="1"/>
  <c r="AZ9" i="47" a="1"/>
  <c r="AZ9" i="47" s="1"/>
  <c r="AZ24" i="47" a="1"/>
  <c r="AZ24" i="47" s="1"/>
  <c r="AZ16" i="47" a="1"/>
  <c r="AZ16" i="47" s="1"/>
  <c r="AZ23" i="47" a="1"/>
  <c r="AZ23" i="47" s="1"/>
  <c r="AZ11" i="47" a="1"/>
  <c r="AZ11" i="47" s="1"/>
  <c r="AZ51" i="47" a="1"/>
  <c r="AZ51" i="47" s="1"/>
  <c r="AZ66" i="47" a="1"/>
  <c r="AZ66" i="47" s="1"/>
  <c r="AZ104" i="47" a="1"/>
  <c r="AZ104" i="47" s="1"/>
  <c r="AZ92" i="47" a="1"/>
  <c r="AZ92" i="47" s="1"/>
  <c r="AZ26" i="47" a="1"/>
  <c r="AZ26" i="47" s="1"/>
  <c r="AZ78" i="47" a="1"/>
  <c r="AZ78" i="47" s="1"/>
  <c r="AZ107" i="47" a="1"/>
  <c r="AZ107" i="47" s="1"/>
  <c r="BB105" i="47" a="1"/>
  <c r="BB105" i="47" s="1"/>
  <c r="AZ88" i="47" a="1"/>
  <c r="AZ88" i="47" s="1"/>
  <c r="BB107" i="47" a="1"/>
  <c r="BB107" i="47" s="1"/>
  <c r="AZ94" i="47" a="1"/>
  <c r="AZ94" i="47" s="1"/>
  <c r="AZ90" i="47" a="1"/>
  <c r="AZ90" i="47" s="1"/>
  <c r="BB104" i="47" a="1"/>
  <c r="BB104" i="47" s="1"/>
  <c r="AZ106" i="47" a="1"/>
  <c r="AZ106" i="47" s="1"/>
  <c r="BB106" i="47" a="1"/>
  <c r="BB106" i="47" s="1"/>
  <c r="AZ105" i="47" a="1"/>
  <c r="AZ105" i="47" s="1"/>
  <c r="BB79" i="47" a="1"/>
  <c r="BB79" i="47" s="1"/>
  <c r="BA79" i="47" a="1"/>
  <c r="BA79" i="47" s="1"/>
  <c r="BC79" i="47" a="1"/>
  <c r="BC79" i="47" s="1"/>
  <c r="AZ81" i="47" a="1"/>
  <c r="AZ81" i="47" s="1"/>
  <c r="BC78" i="47" a="1"/>
  <c r="BC78" i="47" s="1"/>
  <c r="BA78" i="47" a="1"/>
  <c r="BA78" i="47" s="1"/>
  <c r="BB78" i="47" a="1"/>
  <c r="BB78" i="47" s="1"/>
  <c r="AZ80" i="47" a="1"/>
  <c r="AZ80" i="47" s="1"/>
  <c r="AZ68" i="47" a="1"/>
  <c r="AZ68" i="47" s="1"/>
  <c r="AZ64" i="47" a="1"/>
  <c r="AZ64" i="47" s="1"/>
  <c r="BB81" i="47" a="1"/>
  <c r="BB81" i="47" s="1"/>
  <c r="BA81" i="47" a="1"/>
  <c r="BA81" i="47" s="1"/>
  <c r="BC81" i="47" a="1"/>
  <c r="BC81" i="47" s="1"/>
  <c r="BC80" i="47" a="1"/>
  <c r="BC80" i="47" s="1"/>
  <c r="BA80" i="47" a="1"/>
  <c r="BA80" i="47" s="1"/>
  <c r="BB80" i="47" a="1"/>
  <c r="BB80" i="47" s="1"/>
  <c r="AZ79" i="47" a="1"/>
  <c r="AZ79" i="47" s="1"/>
  <c r="AZ71" i="47" a="1"/>
  <c r="AZ71" i="47" s="1"/>
  <c r="BB52" i="47" a="1"/>
  <c r="BB52" i="47" s="1"/>
  <c r="BB51" i="47" a="1"/>
  <c r="BB51" i="47" s="1"/>
  <c r="AZ50" i="47" a="1"/>
  <c r="AZ50" i="47" s="1"/>
  <c r="AZ38" i="47" a="1"/>
  <c r="AZ38" i="47" s="1"/>
  <c r="AZ53" i="47" a="1"/>
  <c r="AZ53" i="47" s="1"/>
  <c r="BB50" i="47" a="1"/>
  <c r="BB50" i="47" s="1"/>
  <c r="BB53" i="47" a="1"/>
  <c r="BB53" i="47" s="1"/>
  <c r="AZ52" i="47" a="1"/>
  <c r="AZ52" i="47" s="1"/>
  <c r="AZ40" i="47" a="1"/>
  <c r="AZ40" i="47" s="1"/>
  <c r="AZ36" i="47" a="1"/>
  <c r="AZ36" i="47" s="1"/>
  <c r="BA26" i="47" a="1"/>
  <c r="BA26" i="47" s="1"/>
  <c r="BB26" i="47" a="1"/>
  <c r="BB26" i="47" s="1"/>
  <c r="BC26" i="47" a="1"/>
  <c r="BC26" i="47" s="1"/>
  <c r="BC25" i="47" a="1"/>
  <c r="BC25" i="47" s="1"/>
  <c r="BB25" i="47" a="1"/>
  <c r="BB25" i="47" s="1"/>
  <c r="BA25" i="47" a="1"/>
  <c r="BA25" i="47" s="1"/>
  <c r="BA24" i="47" a="1"/>
  <c r="BA24" i="47" s="1"/>
  <c r="BC24" i="47" a="1"/>
  <c r="BC24" i="47" s="1"/>
  <c r="BB24" i="47" a="1"/>
  <c r="BB24" i="47" s="1"/>
  <c r="BB23" i="47" a="1"/>
  <c r="BB23" i="47" s="1"/>
  <c r="BC23" i="47" a="1"/>
  <c r="BC23" i="47" s="1"/>
  <c r="BA23" i="47" a="1"/>
  <c r="BA23" i="47" s="1"/>
  <c r="BB67" i="47" a="1"/>
  <c r="BB67" i="47" s="1"/>
  <c r="BA67" i="47" a="1"/>
  <c r="BA67" i="47" s="1"/>
  <c r="BC67" i="47" a="1"/>
  <c r="BC67" i="47" s="1"/>
  <c r="BC63" i="47" a="1"/>
  <c r="BC63" i="47" s="1"/>
  <c r="BA63" i="47" a="1"/>
  <c r="BA63" i="47" s="1"/>
  <c r="BB63" i="47" a="1"/>
  <c r="BB63" i="47" s="1"/>
  <c r="BA69" i="47" a="1"/>
  <c r="BA69" i="47" s="1"/>
  <c r="BC69" i="47" a="1"/>
  <c r="BC69" i="47" s="1"/>
  <c r="BB69" i="47" a="1"/>
  <c r="BB69" i="47" s="1"/>
  <c r="BC65" i="47" a="1"/>
  <c r="BC65" i="47" s="1"/>
  <c r="BA65" i="47" a="1"/>
  <c r="BA65" i="47" s="1"/>
  <c r="BB65" i="47" a="1"/>
  <c r="BB65" i="47" s="1"/>
  <c r="BC66" i="47" a="1"/>
  <c r="BC66" i="47" s="1"/>
  <c r="BA66" i="47" a="1"/>
  <c r="BA66" i="47" s="1"/>
  <c r="BB66" i="47" a="1"/>
  <c r="BB66" i="47" s="1"/>
  <c r="BB68" i="47" a="1"/>
  <c r="BB68" i="47" s="1"/>
  <c r="BC68" i="47" a="1"/>
  <c r="BC68" i="47" s="1"/>
  <c r="BA68" i="47" a="1"/>
  <c r="BA68" i="47" s="1"/>
  <c r="BC64" i="47" a="1"/>
  <c r="BC64" i="47" s="1"/>
  <c r="BA64" i="47" a="1"/>
  <c r="BA64" i="47" s="1"/>
  <c r="BB64" i="47" a="1"/>
  <c r="BB64" i="47" s="1"/>
  <c r="BB91" i="47" a="1"/>
  <c r="BB91" i="47" s="1"/>
  <c r="BB88" i="47" a="1"/>
  <c r="BB88" i="47" s="1"/>
  <c r="BB94" i="47" a="1"/>
  <c r="BB94" i="47" s="1"/>
  <c r="BB90" i="47" a="1"/>
  <c r="BB90" i="47" s="1"/>
  <c r="BB92" i="47" a="1"/>
  <c r="BB92" i="47" s="1"/>
  <c r="BB95" i="47" a="1"/>
  <c r="BB95" i="47" s="1"/>
  <c r="BB93" i="47" a="1"/>
  <c r="BB93" i="47" s="1"/>
  <c r="BB89" i="47" a="1"/>
  <c r="BB89" i="47" s="1"/>
  <c r="BB38" i="47" a="1"/>
  <c r="BB38" i="47" s="1"/>
  <c r="BB41" i="47" a="1"/>
  <c r="BB41" i="47" s="1"/>
  <c r="BB37" i="47" a="1"/>
  <c r="BB37" i="47" s="1"/>
  <c r="BB39" i="47" a="1"/>
  <c r="BB39" i="47" s="1"/>
  <c r="BB35" i="47" a="1"/>
  <c r="BB35" i="47" s="1"/>
  <c r="BB40" i="47" a="1"/>
  <c r="BB40" i="47" s="1"/>
  <c r="BB36" i="47" a="1"/>
  <c r="BB36" i="47" s="1"/>
  <c r="BC14" i="47" a="1"/>
  <c r="BC14" i="47" s="1"/>
  <c r="BB14" i="47" a="1"/>
  <c r="BB14" i="47" s="1"/>
  <c r="BA14" i="47" a="1"/>
  <c r="BA14" i="47" s="1"/>
  <c r="BC10" i="47" a="1"/>
  <c r="BC10" i="47" s="1"/>
  <c r="BB10" i="47" a="1"/>
  <c r="BB10" i="47" s="1"/>
  <c r="BA10" i="47" a="1"/>
  <c r="BA10" i="47" s="1"/>
  <c r="BB13" i="47" a="1"/>
  <c r="BB13" i="47" s="1"/>
  <c r="BC13" i="47" a="1"/>
  <c r="BC13" i="47" s="1"/>
  <c r="BA13" i="47" a="1"/>
  <c r="BA13" i="47" s="1"/>
  <c r="BC9" i="47" a="1"/>
  <c r="BC9" i="47" s="1"/>
  <c r="BA9" i="47" a="1"/>
  <c r="BA9" i="47" s="1"/>
  <c r="BB9" i="47" a="1"/>
  <c r="BB9" i="47" s="1"/>
  <c r="BB11" i="47" a="1"/>
  <c r="BB11" i="47" s="1"/>
  <c r="BC11" i="47" a="1"/>
  <c r="BC11" i="47" s="1"/>
  <c r="BA11" i="47" a="1"/>
  <c r="BA11" i="47" s="1"/>
  <c r="BC12" i="47" a="1"/>
  <c r="BC12" i="47" s="1"/>
  <c r="BA12" i="47" a="1"/>
  <c r="BA12" i="47" s="1"/>
  <c r="BB12" i="47" a="1"/>
  <c r="BB12" i="47" s="1"/>
  <c r="BB8" i="47" a="1"/>
  <c r="BB8" i="47" s="1"/>
  <c r="BA8" i="47" a="1"/>
  <c r="BA8" i="47" s="1"/>
  <c r="BC8" i="47" a="1"/>
  <c r="BC8" i="47" s="1"/>
  <c r="BB42" i="47" a="1"/>
  <c r="BB42" i="47" s="1"/>
  <c r="BB45" i="47" a="1"/>
  <c r="BB45" i="47" s="1"/>
  <c r="BB48" i="47" a="1"/>
  <c r="BB48" i="47" s="1"/>
  <c r="AZ47" i="47" a="1"/>
  <c r="AZ47" i="47" s="1"/>
  <c r="BB44" i="47" a="1"/>
  <c r="BB44" i="47" s="1"/>
  <c r="AZ43" i="47" a="1"/>
  <c r="AZ43" i="47" s="1"/>
  <c r="BB46" i="47" a="1"/>
  <c r="BB46" i="47" s="1"/>
  <c r="BB49" i="47" a="1"/>
  <c r="BB49" i="47" s="1"/>
  <c r="BB47" i="47" a="1"/>
  <c r="BB47" i="47" s="1"/>
  <c r="AZ46" i="47" a="1"/>
  <c r="AZ46" i="47" s="1"/>
  <c r="BB43" i="47" a="1"/>
  <c r="BB43" i="47" s="1"/>
  <c r="AZ42" i="47" a="1"/>
  <c r="AZ42" i="47" s="1"/>
  <c r="BB22" i="47" a="1"/>
  <c r="BB22" i="47" s="1"/>
  <c r="BC22" i="47" a="1"/>
  <c r="BC22" i="47" s="1"/>
  <c r="BA22" i="47" a="1"/>
  <c r="BA22" i="47" s="1"/>
  <c r="BB21" i="47" a="1"/>
  <c r="BB21" i="47" s="1"/>
  <c r="BA21" i="47" a="1"/>
  <c r="BA21" i="47" s="1"/>
  <c r="BC21" i="47" a="1"/>
  <c r="BC21" i="47" s="1"/>
  <c r="AZ20" i="47" a="1"/>
  <c r="AZ20" i="47" s="1"/>
  <c r="BA17" i="47" a="1"/>
  <c r="BA17" i="47" s="1"/>
  <c r="BC17" i="47" a="1"/>
  <c r="BC17" i="47" s="1"/>
  <c r="BB17" i="47" a="1"/>
  <c r="BB17" i="47" s="1"/>
  <c r="BB20" i="47" a="1"/>
  <c r="BB20" i="47" s="1"/>
  <c r="BC20" i="47" a="1"/>
  <c r="BC20" i="47" s="1"/>
  <c r="BA20" i="47" a="1"/>
  <c r="BA20" i="47" s="1"/>
  <c r="AZ19" i="47" a="1"/>
  <c r="AZ19" i="47" s="1"/>
  <c r="BC16" i="47" a="1"/>
  <c r="BC16" i="47" s="1"/>
  <c r="BB16" i="47" a="1"/>
  <c r="BB16" i="47" s="1"/>
  <c r="BA16" i="47" a="1"/>
  <c r="BA16" i="47" s="1"/>
  <c r="AZ15" i="47" a="1"/>
  <c r="AZ15" i="47" s="1"/>
  <c r="BC19" i="47" a="1"/>
  <c r="BC19" i="47" s="1"/>
  <c r="BA19" i="47" a="1"/>
  <c r="BA19" i="47" s="1"/>
  <c r="BB19" i="47" a="1"/>
  <c r="BB19" i="47" s="1"/>
  <c r="BB15" i="47" a="1"/>
  <c r="BB15" i="47" s="1"/>
  <c r="BC15" i="47" a="1"/>
  <c r="BC15" i="47" s="1"/>
  <c r="BA15" i="47" a="1"/>
  <c r="BA15" i="47" s="1"/>
  <c r="BC18" i="47" a="1"/>
  <c r="BC18" i="47" s="1"/>
  <c r="BB18" i="47" a="1"/>
  <c r="BB18" i="47" s="1"/>
  <c r="BA18" i="47" a="1"/>
  <c r="BA18" i="47" s="1"/>
  <c r="BB101" i="47" a="1"/>
  <c r="BB101" i="47" s="1"/>
  <c r="AZ100" i="47" a="1"/>
  <c r="AZ100" i="47" s="1"/>
  <c r="BB97" i="47" a="1"/>
  <c r="BB97" i="47" s="1"/>
  <c r="AZ96" i="47" a="1"/>
  <c r="AZ96" i="47" s="1"/>
  <c r="BB100" i="47" a="1"/>
  <c r="BB100" i="47" s="1"/>
  <c r="BB96" i="47" a="1"/>
  <c r="BB96" i="47" s="1"/>
  <c r="BB103" i="47" a="1"/>
  <c r="BB103" i="47" s="1"/>
  <c r="BB99" i="47" a="1"/>
  <c r="BB99" i="47" s="1"/>
  <c r="BB102" i="47" a="1"/>
  <c r="BB102" i="47" s="1"/>
  <c r="AZ101" i="47" a="1"/>
  <c r="AZ101" i="47" s="1"/>
  <c r="BB98" i="47" a="1"/>
  <c r="BB98" i="47" s="1"/>
  <c r="AZ97" i="47" a="1"/>
  <c r="AZ97" i="47" s="1"/>
  <c r="BC76" i="47" a="1"/>
  <c r="BC76" i="47" s="1"/>
  <c r="BB76" i="47" a="1"/>
  <c r="BB76" i="47" s="1"/>
  <c r="BA76" i="47" a="1"/>
  <c r="BA76" i="47" s="1"/>
  <c r="AZ75" i="47" a="1"/>
  <c r="AZ75" i="47" s="1"/>
  <c r="BC72" i="47" a="1"/>
  <c r="BC72" i="47" s="1"/>
  <c r="BA72" i="47" a="1"/>
  <c r="BA72" i="47" s="1"/>
  <c r="BB72" i="47" a="1"/>
  <c r="BB72" i="47" s="1"/>
  <c r="BA75" i="47" a="1"/>
  <c r="BA75" i="47" s="1"/>
  <c r="BC75" i="47" a="1"/>
  <c r="BC75" i="47" s="1"/>
  <c r="BB75" i="47" a="1"/>
  <c r="BB75" i="47" s="1"/>
  <c r="AZ74" i="47" a="1"/>
  <c r="AZ74" i="47" s="1"/>
  <c r="BA71" i="47" a="1"/>
  <c r="BA71" i="47" s="1"/>
  <c r="BC71" i="47" a="1"/>
  <c r="BC71" i="47" s="1"/>
  <c r="BB71" i="47" a="1"/>
  <c r="BB71" i="47" s="1"/>
  <c r="AZ70" i="47" a="1"/>
  <c r="AZ70" i="47" s="1"/>
  <c r="BC74" i="47" a="1"/>
  <c r="BC74" i="47" s="1"/>
  <c r="BA74" i="47" a="1"/>
  <c r="BA74" i="47" s="1"/>
  <c r="BB74" i="47" a="1"/>
  <c r="BB74" i="47" s="1"/>
  <c r="BC70" i="47" a="1"/>
  <c r="BC70" i="47" s="1"/>
  <c r="BA70" i="47" a="1"/>
  <c r="BA70" i="47" s="1"/>
  <c r="BB70" i="47" a="1"/>
  <c r="BB70" i="47" s="1"/>
  <c r="BA77" i="47" a="1"/>
  <c r="BA77" i="47" s="1"/>
  <c r="BB77" i="47" a="1"/>
  <c r="BB77" i="47" s="1"/>
  <c r="BC77" i="47" a="1"/>
  <c r="BC77" i="47" s="1"/>
  <c r="BA73" i="47" a="1"/>
  <c r="BA73" i="47" s="1"/>
  <c r="BC73" i="47" a="1"/>
  <c r="BC73" i="47" s="1"/>
  <c r="BB73" i="47" a="1"/>
  <c r="BB73" i="47" s="1"/>
  <c r="BB62" i="47" a="1"/>
  <c r="BB62" i="47" s="1"/>
  <c r="BA62" i="47" a="1"/>
  <c r="BA62" i="47" s="1"/>
  <c r="BC62" i="47" a="1"/>
  <c r="BC62" i="47" s="1"/>
  <c r="AZ62" i="47" a="1"/>
  <c r="AZ62" i="47" s="1"/>
  <c r="BA7" i="47" a="1"/>
  <c r="BA7" i="47" s="1"/>
  <c r="BC7" i="47" a="1"/>
  <c r="BC7" i="47" s="1"/>
  <c r="AZ34" i="47" a="1"/>
  <c r="AZ34" i="47" s="1"/>
  <c r="BB34" i="47" a="1"/>
  <c r="BB34" i="47" s="1"/>
  <c r="BB7" i="47" a="1"/>
  <c r="BB7" i="47" s="1"/>
  <c r="AZ7" i="47" a="1"/>
  <c r="AZ7" i="47" s="1"/>
  <c r="BZ68" i="29"/>
  <c r="BZ72" i="29"/>
  <c r="BZ76" i="29"/>
  <c r="BZ66" i="29"/>
  <c r="BZ69" i="29"/>
  <c r="BZ73" i="29"/>
  <c r="BZ77" i="29"/>
  <c r="BZ65" i="29"/>
  <c r="BZ70" i="29"/>
  <c r="BZ74" i="29"/>
  <c r="BZ78" i="29"/>
  <c r="BZ75" i="29"/>
  <c r="BZ71" i="29"/>
  <c r="BZ67" i="29"/>
  <c r="BZ79" i="29"/>
  <c r="BY91" i="47" l="1"/>
  <c r="BX99" i="47"/>
  <c r="BX97" i="47"/>
  <c r="BX102" i="47"/>
  <c r="BY98" i="47"/>
  <c r="BY103" i="47"/>
  <c r="BY96" i="47"/>
  <c r="BY100" i="47"/>
  <c r="BX94" i="47"/>
  <c r="BY93" i="47"/>
  <c r="BX101" i="47"/>
  <c r="BX90" i="47"/>
  <c r="BY90" i="47"/>
  <c r="BY89" i="47"/>
  <c r="BX93" i="47"/>
  <c r="BY105" i="47"/>
  <c r="BY94" i="47"/>
  <c r="BY102" i="47"/>
  <c r="BX95" i="47"/>
  <c r="BY99" i="47"/>
  <c r="BX107" i="47"/>
  <c r="BX96" i="47"/>
  <c r="BX104" i="47"/>
  <c r="BY104" i="47"/>
  <c r="BX89" i="47"/>
  <c r="BY101" i="47"/>
  <c r="BX98" i="47"/>
  <c r="BX91" i="47"/>
  <c r="BY95" i="47"/>
  <c r="BX103" i="47"/>
  <c r="BX92" i="47"/>
  <c r="BX100" i="47"/>
  <c r="BX88" i="47"/>
  <c r="BY97" i="47"/>
  <c r="BX105" i="47"/>
  <c r="BY106" i="47"/>
  <c r="BX106" i="47"/>
  <c r="BY107" i="47"/>
  <c r="BY92" i="47"/>
  <c r="BC82" i="47"/>
  <c r="BA82" i="47"/>
  <c r="BC27" i="47"/>
  <c r="BA108" i="47"/>
  <c r="BC54" i="47"/>
  <c r="BC108" i="47"/>
  <c r="BA54" i="47"/>
  <c r="BA27" i="47"/>
  <c r="BH81" i="47" l="1"/>
  <c r="BH71" i="47"/>
  <c r="BH63" i="47"/>
  <c r="BH73" i="47"/>
  <c r="BH95" i="47"/>
  <c r="BH107" i="47"/>
  <c r="BH91" i="47"/>
  <c r="BH90" i="47"/>
  <c r="BH105" i="47"/>
  <c r="BH93" i="47"/>
  <c r="BH78" i="47"/>
  <c r="BH104" i="47"/>
  <c r="BH102" i="47"/>
  <c r="BH68" i="47"/>
  <c r="BH92" i="47"/>
  <c r="BH96" i="47"/>
  <c r="BH76" i="47"/>
  <c r="BH98" i="47"/>
  <c r="BH101" i="47"/>
  <c r="BH69" i="47"/>
  <c r="BH97" i="47"/>
  <c r="BH106" i="47"/>
  <c r="BH77" i="47"/>
  <c r="BH100" i="47"/>
  <c r="BH67" i="47"/>
  <c r="BH70" i="47"/>
  <c r="BH88" i="47"/>
  <c r="BH99" i="47"/>
  <c r="BH65" i="47"/>
  <c r="BH74" i="47"/>
  <c r="BH72" i="47"/>
  <c r="BH94" i="47"/>
  <c r="BH75" i="47"/>
  <c r="BH64" i="47"/>
  <c r="BH80" i="47"/>
  <c r="BH103" i="47"/>
  <c r="BH66" i="47"/>
  <c r="BH79" i="47"/>
  <c r="BH62" i="47"/>
  <c r="BH89" i="47"/>
  <c r="G6" i="47" l="1"/>
  <c r="G4" i="47"/>
  <c r="G10" i="47" l="1"/>
  <c r="BC64" i="29"/>
  <c r="G12" i="47"/>
  <c r="BC66" i="29"/>
  <c r="G32" i="47"/>
  <c r="G34" i="47"/>
  <c r="G17" i="47"/>
  <c r="G19" i="47"/>
  <c r="G7" i="47"/>
  <c r="G13" i="47" s="1"/>
  <c r="G5" i="47"/>
  <c r="G11" i="47" s="1"/>
  <c r="BH35" i="47" l="1"/>
  <c r="BH24" i="47"/>
  <c r="BH39" i="47"/>
  <c r="BH14" i="47"/>
  <c r="BH47" i="47"/>
  <c r="BH49" i="47"/>
  <c r="BH16" i="47"/>
  <c r="BH38" i="47"/>
  <c r="BH13" i="47"/>
  <c r="BH15" i="47"/>
  <c r="BH22" i="47"/>
  <c r="BH9" i="47"/>
  <c r="BH8" i="47"/>
  <c r="BH42" i="47"/>
  <c r="BH18" i="47"/>
  <c r="BH36" i="47"/>
  <c r="BH52" i="47"/>
  <c r="BH46" i="47"/>
  <c r="BH51" i="47"/>
  <c r="BH17" i="47"/>
  <c r="BH53" i="47"/>
  <c r="BH41" i="47"/>
  <c r="BH21" i="47"/>
  <c r="BH37" i="47"/>
  <c r="BH11" i="47"/>
  <c r="BH20" i="47"/>
  <c r="BH34" i="47"/>
  <c r="BH48" i="47"/>
  <c r="BH10" i="47"/>
  <c r="BH23" i="47"/>
  <c r="BH50" i="47"/>
  <c r="BH45" i="47"/>
  <c r="BH43" i="47"/>
  <c r="BH12" i="47"/>
  <c r="BH19" i="47"/>
  <c r="BH44" i="47"/>
  <c r="BH40" i="47"/>
  <c r="BH26" i="47"/>
  <c r="BH7" i="47"/>
  <c r="G23" i="47"/>
  <c r="BC72" i="29"/>
  <c r="BC69" i="29"/>
  <c r="BC73" i="29"/>
  <c r="BC77" i="29"/>
  <c r="BC68" i="29"/>
  <c r="BC76" i="29"/>
  <c r="BC65" i="29"/>
  <c r="BC74" i="29"/>
  <c r="BC78" i="29"/>
  <c r="BC70" i="29"/>
  <c r="BC79" i="29"/>
  <c r="BC71" i="29"/>
  <c r="BC75" i="29"/>
  <c r="BC67" i="29"/>
  <c r="G47" i="47"/>
  <c r="G35" i="47"/>
  <c r="G40" i="47"/>
  <c r="G45" i="47"/>
  <c r="G38" i="47"/>
  <c r="G33" i="47"/>
  <c r="G18" i="47"/>
  <c r="G24" i="47" s="1"/>
  <c r="G25" i="47"/>
  <c r="G20" i="47"/>
  <c r="G53" i="47" l="1"/>
  <c r="G48" i="47"/>
  <c r="G39" i="47"/>
  <c r="G41" i="47"/>
  <c r="G51" i="47"/>
  <c r="G46" i="47"/>
  <c r="G26" i="47"/>
  <c r="I11" i="1"/>
  <c r="AB100" i="39"/>
  <c r="AA100" i="39"/>
  <c r="Z100" i="39"/>
  <c r="Y100" i="39"/>
  <c r="X100" i="39"/>
  <c r="AB99" i="39"/>
  <c r="AA99" i="39"/>
  <c r="Z99" i="39"/>
  <c r="Y99" i="39"/>
  <c r="X99" i="39"/>
  <c r="AB98" i="39"/>
  <c r="AA98" i="39"/>
  <c r="Z98" i="39"/>
  <c r="Y98" i="39"/>
  <c r="X98" i="39"/>
  <c r="AB97" i="39"/>
  <c r="AA97" i="39"/>
  <c r="Z97" i="39"/>
  <c r="Y97" i="39"/>
  <c r="X97" i="39"/>
  <c r="AB96" i="39"/>
  <c r="AA96" i="39"/>
  <c r="Z96" i="39"/>
  <c r="Y96" i="39"/>
  <c r="X96" i="39"/>
  <c r="AB95" i="39"/>
  <c r="AA95" i="39"/>
  <c r="Z95" i="39"/>
  <c r="Y95" i="39"/>
  <c r="X95" i="39"/>
  <c r="AB94" i="39"/>
  <c r="AA94" i="39"/>
  <c r="Z94" i="39"/>
  <c r="Y94" i="39"/>
  <c r="X94" i="39"/>
  <c r="AB93" i="39"/>
  <c r="AA93" i="39"/>
  <c r="Z93" i="39"/>
  <c r="Y93" i="39"/>
  <c r="X93" i="39"/>
  <c r="AB92" i="39"/>
  <c r="AA92" i="39"/>
  <c r="Z92" i="39"/>
  <c r="Y92" i="39"/>
  <c r="X92" i="39"/>
  <c r="AB91" i="39"/>
  <c r="AA91" i="39"/>
  <c r="Z91" i="39"/>
  <c r="Y91" i="39"/>
  <c r="X91" i="39"/>
  <c r="AB90" i="39"/>
  <c r="AA90" i="39"/>
  <c r="Z90" i="39"/>
  <c r="Y90" i="39"/>
  <c r="X90" i="39"/>
  <c r="AB89" i="39"/>
  <c r="AA89" i="39"/>
  <c r="Z89" i="39"/>
  <c r="Y89" i="39"/>
  <c r="X89" i="39"/>
  <c r="AB88" i="39"/>
  <c r="AA88" i="39"/>
  <c r="Z88" i="39"/>
  <c r="Y88" i="39"/>
  <c r="X88" i="39"/>
  <c r="AB87" i="39"/>
  <c r="AA87" i="39"/>
  <c r="Z87" i="39"/>
  <c r="Y87" i="39"/>
  <c r="X87" i="39"/>
  <c r="AB86" i="39"/>
  <c r="AA86" i="39"/>
  <c r="Z86" i="39"/>
  <c r="Y86" i="39"/>
  <c r="X86" i="39"/>
  <c r="AB85" i="39"/>
  <c r="AA85" i="39"/>
  <c r="Z85" i="39"/>
  <c r="Y85" i="39"/>
  <c r="X85" i="39"/>
  <c r="AB84" i="39"/>
  <c r="AA84" i="39"/>
  <c r="Z84" i="39"/>
  <c r="Y84" i="39"/>
  <c r="X84" i="39"/>
  <c r="AB83" i="39"/>
  <c r="AA83" i="39"/>
  <c r="Z83" i="39"/>
  <c r="Y83" i="39"/>
  <c r="X83" i="39"/>
  <c r="AB82" i="39"/>
  <c r="AA82" i="39"/>
  <c r="Z82" i="39"/>
  <c r="Y82" i="39"/>
  <c r="X82" i="39"/>
  <c r="AB81" i="39"/>
  <c r="AA81" i="39"/>
  <c r="Z81" i="39"/>
  <c r="Y81" i="39"/>
  <c r="X81" i="39"/>
  <c r="AB77" i="39"/>
  <c r="AA77" i="39"/>
  <c r="Z77" i="39"/>
  <c r="Y77" i="39"/>
  <c r="X77" i="39"/>
  <c r="AB76" i="39"/>
  <c r="AA76" i="39"/>
  <c r="Z76" i="39"/>
  <c r="AE76" i="39" s="1"/>
  <c r="Y76" i="39"/>
  <c r="X76" i="39"/>
  <c r="AB75" i="39"/>
  <c r="AA75" i="39"/>
  <c r="Z75" i="39"/>
  <c r="Y75" i="39"/>
  <c r="X75" i="39"/>
  <c r="AB74" i="39"/>
  <c r="AA74" i="39"/>
  <c r="Z74" i="39"/>
  <c r="Y74" i="39"/>
  <c r="X74" i="39"/>
  <c r="AB73" i="39"/>
  <c r="AA73" i="39"/>
  <c r="Z73" i="39"/>
  <c r="Y73" i="39"/>
  <c r="X73" i="39"/>
  <c r="AB72" i="39"/>
  <c r="AA72" i="39"/>
  <c r="Z72" i="39"/>
  <c r="AE72" i="39" s="1"/>
  <c r="Y72" i="39"/>
  <c r="X72" i="39"/>
  <c r="AB71" i="39"/>
  <c r="AA71" i="39"/>
  <c r="Z71" i="39"/>
  <c r="Y71" i="39"/>
  <c r="X71" i="39"/>
  <c r="AB70" i="39"/>
  <c r="AA70" i="39"/>
  <c r="Z70" i="39"/>
  <c r="Y70" i="39"/>
  <c r="X70" i="39"/>
  <c r="AB69" i="39"/>
  <c r="AA69" i="39"/>
  <c r="Z69" i="39"/>
  <c r="Y69" i="39"/>
  <c r="X69" i="39"/>
  <c r="AB68" i="39"/>
  <c r="AA68" i="39"/>
  <c r="Z68" i="39"/>
  <c r="AE68" i="39" s="1"/>
  <c r="Y68" i="39"/>
  <c r="X68" i="39"/>
  <c r="AB67" i="39"/>
  <c r="AA67" i="39"/>
  <c r="Z67" i="39"/>
  <c r="Y67" i="39"/>
  <c r="X67" i="39"/>
  <c r="AB66" i="39"/>
  <c r="AA66" i="39"/>
  <c r="Z66" i="39"/>
  <c r="Y66" i="39"/>
  <c r="X66" i="39"/>
  <c r="AB65" i="39"/>
  <c r="AA65" i="39"/>
  <c r="Z65" i="39"/>
  <c r="Y65" i="39"/>
  <c r="X65" i="39"/>
  <c r="AB64" i="39"/>
  <c r="AA64" i="39"/>
  <c r="Z64" i="39"/>
  <c r="AE64" i="39" s="1"/>
  <c r="Y64" i="39"/>
  <c r="X64" i="39"/>
  <c r="AB63" i="39"/>
  <c r="AA63" i="39"/>
  <c r="Z63" i="39"/>
  <c r="Y63" i="39"/>
  <c r="X63" i="39"/>
  <c r="AB62" i="39"/>
  <c r="AA62" i="39"/>
  <c r="Z62" i="39"/>
  <c r="Y62" i="39"/>
  <c r="X62" i="39"/>
  <c r="AB61" i="39"/>
  <c r="AA61" i="39"/>
  <c r="Z61" i="39"/>
  <c r="Y61" i="39"/>
  <c r="X61" i="39"/>
  <c r="AB60" i="39"/>
  <c r="AA60" i="39"/>
  <c r="Z60" i="39"/>
  <c r="Y60" i="39"/>
  <c r="X60" i="39"/>
  <c r="AB59" i="39"/>
  <c r="AA59" i="39"/>
  <c r="Z59" i="39"/>
  <c r="Y59" i="39"/>
  <c r="X59" i="39"/>
  <c r="AB58" i="39"/>
  <c r="AA58" i="39"/>
  <c r="Z58" i="39"/>
  <c r="Y58" i="39"/>
  <c r="X58" i="39"/>
  <c r="AB100" i="38"/>
  <c r="AA100" i="38"/>
  <c r="Z100" i="38"/>
  <c r="Y100" i="38"/>
  <c r="X100" i="38"/>
  <c r="AB99" i="38"/>
  <c r="AA99" i="38"/>
  <c r="Z99" i="38"/>
  <c r="Y99" i="38"/>
  <c r="X99" i="38"/>
  <c r="AB98" i="38"/>
  <c r="AA98" i="38"/>
  <c r="Z98" i="38"/>
  <c r="Y98" i="38"/>
  <c r="X98" i="38"/>
  <c r="AB97" i="38"/>
  <c r="AA97" i="38"/>
  <c r="Z97" i="38"/>
  <c r="Y97" i="38"/>
  <c r="X97" i="38"/>
  <c r="AB96" i="38"/>
  <c r="AA96" i="38"/>
  <c r="Z96" i="38"/>
  <c r="Y96" i="38"/>
  <c r="X96" i="38"/>
  <c r="AB95" i="38"/>
  <c r="AA95" i="38"/>
  <c r="Z95" i="38"/>
  <c r="Y95" i="38"/>
  <c r="X95" i="38"/>
  <c r="AB94" i="38"/>
  <c r="AA94" i="38"/>
  <c r="Z94" i="38"/>
  <c r="Y94" i="38"/>
  <c r="X94" i="38"/>
  <c r="AB93" i="38"/>
  <c r="AA93" i="38"/>
  <c r="Z93" i="38"/>
  <c r="Y93" i="38"/>
  <c r="X93" i="38"/>
  <c r="AB92" i="38"/>
  <c r="AA92" i="38"/>
  <c r="Z92" i="38"/>
  <c r="Y92" i="38"/>
  <c r="X92" i="38"/>
  <c r="AB91" i="38"/>
  <c r="AA91" i="38"/>
  <c r="Z91" i="38"/>
  <c r="Y91" i="38"/>
  <c r="X91" i="38"/>
  <c r="AB90" i="38"/>
  <c r="AA90" i="38"/>
  <c r="Z90" i="38"/>
  <c r="Y90" i="38"/>
  <c r="X90" i="38"/>
  <c r="AB89" i="38"/>
  <c r="AA89" i="38"/>
  <c r="Z89" i="38"/>
  <c r="Y89" i="38"/>
  <c r="X89" i="38"/>
  <c r="AB88" i="38"/>
  <c r="AA88" i="38"/>
  <c r="Z88" i="38"/>
  <c r="Y88" i="38"/>
  <c r="X88" i="38"/>
  <c r="AB87" i="38"/>
  <c r="AA87" i="38"/>
  <c r="Z87" i="38"/>
  <c r="Y87" i="38"/>
  <c r="X87" i="38"/>
  <c r="AB86" i="38"/>
  <c r="AA86" i="38"/>
  <c r="Z86" i="38"/>
  <c r="Y86" i="38"/>
  <c r="X86" i="38"/>
  <c r="AB85" i="38"/>
  <c r="AA85" i="38"/>
  <c r="Z85" i="38"/>
  <c r="Y85" i="38"/>
  <c r="X85" i="38"/>
  <c r="AB84" i="38"/>
  <c r="AA84" i="38"/>
  <c r="Z84" i="38"/>
  <c r="Y84" i="38"/>
  <c r="X84" i="38"/>
  <c r="AB83" i="38"/>
  <c r="AA83" i="38"/>
  <c r="Z83" i="38"/>
  <c r="Y83" i="38"/>
  <c r="X83" i="38"/>
  <c r="AB82" i="38"/>
  <c r="AA82" i="38"/>
  <c r="Z82" i="38"/>
  <c r="Y82" i="38"/>
  <c r="X82" i="38"/>
  <c r="AB81" i="38"/>
  <c r="AA81" i="38"/>
  <c r="Z81" i="38"/>
  <c r="Y81" i="38"/>
  <c r="X81" i="38"/>
  <c r="AB77" i="38"/>
  <c r="AA77" i="38"/>
  <c r="Z77" i="38"/>
  <c r="Y77" i="38"/>
  <c r="X77" i="38"/>
  <c r="AB76" i="38"/>
  <c r="AA76" i="38"/>
  <c r="Z76" i="38"/>
  <c r="AE76" i="38" s="1"/>
  <c r="Y76" i="38"/>
  <c r="X76" i="38"/>
  <c r="AB75" i="38"/>
  <c r="AA75" i="38"/>
  <c r="Z75" i="38"/>
  <c r="Y75" i="38"/>
  <c r="X75" i="38"/>
  <c r="AB74" i="38"/>
  <c r="AA74" i="38"/>
  <c r="Z74" i="38"/>
  <c r="Y74" i="38"/>
  <c r="X74" i="38"/>
  <c r="AB73" i="38"/>
  <c r="AA73" i="38"/>
  <c r="Z73" i="38"/>
  <c r="Y73" i="38"/>
  <c r="X73" i="38"/>
  <c r="AB72" i="38"/>
  <c r="AA72" i="38"/>
  <c r="Z72" i="38"/>
  <c r="AE72" i="38" s="1"/>
  <c r="Y72" i="38"/>
  <c r="X72" i="38"/>
  <c r="AB71" i="38"/>
  <c r="AA71" i="38"/>
  <c r="Z71" i="38"/>
  <c r="Y71" i="38"/>
  <c r="X71" i="38"/>
  <c r="AB70" i="38"/>
  <c r="AA70" i="38"/>
  <c r="Z70" i="38"/>
  <c r="Y70" i="38"/>
  <c r="X70" i="38"/>
  <c r="AB69" i="38"/>
  <c r="AA69" i="38"/>
  <c r="Z69" i="38"/>
  <c r="Y69" i="38"/>
  <c r="X69" i="38"/>
  <c r="AB68" i="38"/>
  <c r="AA68" i="38"/>
  <c r="Z68" i="38"/>
  <c r="AE68" i="38" s="1"/>
  <c r="Y68" i="38"/>
  <c r="X68" i="38"/>
  <c r="AB67" i="38"/>
  <c r="AA67" i="38"/>
  <c r="Z67" i="38"/>
  <c r="Y67" i="38"/>
  <c r="X67" i="38"/>
  <c r="AB66" i="38"/>
  <c r="AA66" i="38"/>
  <c r="Z66" i="38"/>
  <c r="Y66" i="38"/>
  <c r="X66" i="38"/>
  <c r="AB65" i="38"/>
  <c r="AA65" i="38"/>
  <c r="Z65" i="38"/>
  <c r="Y65" i="38"/>
  <c r="X65" i="38"/>
  <c r="AB64" i="38"/>
  <c r="AA64" i="38"/>
  <c r="Z64" i="38"/>
  <c r="AE64" i="38" s="1"/>
  <c r="Y64" i="38"/>
  <c r="X64" i="38"/>
  <c r="AB63" i="38"/>
  <c r="AA63" i="38"/>
  <c r="Z63" i="38"/>
  <c r="Y63" i="38"/>
  <c r="X63" i="38"/>
  <c r="AB62" i="38"/>
  <c r="AA62" i="38"/>
  <c r="Z62" i="38"/>
  <c r="Y62" i="38"/>
  <c r="X62" i="38"/>
  <c r="AB61" i="38"/>
  <c r="AA61" i="38"/>
  <c r="Z61" i="38"/>
  <c r="Y61" i="38"/>
  <c r="X61" i="38"/>
  <c r="AB60" i="38"/>
  <c r="AA60" i="38"/>
  <c r="Z60" i="38"/>
  <c r="Y60" i="38"/>
  <c r="X60" i="38"/>
  <c r="AB59" i="38"/>
  <c r="AA59" i="38"/>
  <c r="Z59" i="38"/>
  <c r="Y59" i="38"/>
  <c r="X59" i="38"/>
  <c r="AB58" i="38"/>
  <c r="AA58" i="38"/>
  <c r="Z58" i="38"/>
  <c r="Y58" i="38"/>
  <c r="X58" i="38"/>
  <c r="AB100" i="37"/>
  <c r="AA100" i="37"/>
  <c r="Z100" i="37"/>
  <c r="Y100" i="37"/>
  <c r="X100" i="37"/>
  <c r="AB99" i="37"/>
  <c r="AA99" i="37"/>
  <c r="Z99" i="37"/>
  <c r="Y99" i="37"/>
  <c r="X99" i="37"/>
  <c r="AB98" i="37"/>
  <c r="AA98" i="37"/>
  <c r="Z98" i="37"/>
  <c r="Y98" i="37"/>
  <c r="X98" i="37"/>
  <c r="AB97" i="37"/>
  <c r="AA97" i="37"/>
  <c r="Z97" i="37"/>
  <c r="Y97" i="37"/>
  <c r="X97" i="37"/>
  <c r="AB96" i="37"/>
  <c r="AA96" i="37"/>
  <c r="Z96" i="37"/>
  <c r="Y96" i="37"/>
  <c r="X96" i="37"/>
  <c r="AB95" i="37"/>
  <c r="AA95" i="37"/>
  <c r="Z95" i="37"/>
  <c r="Y95" i="37"/>
  <c r="X95" i="37"/>
  <c r="AB94" i="37"/>
  <c r="AA94" i="37"/>
  <c r="Z94" i="37"/>
  <c r="Y94" i="37"/>
  <c r="X94" i="37"/>
  <c r="AB93" i="37"/>
  <c r="AA93" i="37"/>
  <c r="Z93" i="37"/>
  <c r="Y93" i="37"/>
  <c r="X93" i="37"/>
  <c r="AB92" i="37"/>
  <c r="AA92" i="37"/>
  <c r="Z92" i="37"/>
  <c r="Y92" i="37"/>
  <c r="X92" i="37"/>
  <c r="AB91" i="37"/>
  <c r="AA91" i="37"/>
  <c r="Z91" i="37"/>
  <c r="Y91" i="37"/>
  <c r="X91" i="37"/>
  <c r="AB90" i="37"/>
  <c r="AA90" i="37"/>
  <c r="Z90" i="37"/>
  <c r="Y90" i="37"/>
  <c r="X90" i="37"/>
  <c r="AB89" i="37"/>
  <c r="AA89" i="37"/>
  <c r="Z89" i="37"/>
  <c r="Y89" i="37"/>
  <c r="X89" i="37"/>
  <c r="AB88" i="37"/>
  <c r="AA88" i="37"/>
  <c r="Z88" i="37"/>
  <c r="Y88" i="37"/>
  <c r="X88" i="37"/>
  <c r="AB87" i="37"/>
  <c r="AA87" i="37"/>
  <c r="Z87" i="37"/>
  <c r="Y87" i="37"/>
  <c r="X87" i="37"/>
  <c r="AB86" i="37"/>
  <c r="AA86" i="37"/>
  <c r="Z86" i="37"/>
  <c r="Y86" i="37"/>
  <c r="X86" i="37"/>
  <c r="AB85" i="37"/>
  <c r="AA85" i="37"/>
  <c r="Z85" i="37"/>
  <c r="Y85" i="37"/>
  <c r="X85" i="37"/>
  <c r="AB84" i="37"/>
  <c r="AA84" i="37"/>
  <c r="Z84" i="37"/>
  <c r="Y84" i="37"/>
  <c r="X84" i="37"/>
  <c r="AB83" i="37"/>
  <c r="AA83" i="37"/>
  <c r="Z83" i="37"/>
  <c r="Y83" i="37"/>
  <c r="X83" i="37"/>
  <c r="AB82" i="37"/>
  <c r="AA82" i="37"/>
  <c r="Z82" i="37"/>
  <c r="Y82" i="37"/>
  <c r="X82" i="37"/>
  <c r="AB81" i="37"/>
  <c r="AA81" i="37"/>
  <c r="Z81" i="37"/>
  <c r="Y81" i="37"/>
  <c r="X81" i="37"/>
  <c r="AB77" i="37"/>
  <c r="AA77" i="37"/>
  <c r="Z77" i="37"/>
  <c r="Y77" i="37"/>
  <c r="X77" i="37"/>
  <c r="AB76" i="37"/>
  <c r="AA76" i="37"/>
  <c r="Z76" i="37"/>
  <c r="AE76" i="37" s="1"/>
  <c r="Y76" i="37"/>
  <c r="X76" i="37"/>
  <c r="AB75" i="37"/>
  <c r="AA75" i="37"/>
  <c r="Z75" i="37"/>
  <c r="Y75" i="37"/>
  <c r="X75" i="37"/>
  <c r="AB74" i="37"/>
  <c r="AA74" i="37"/>
  <c r="Z74" i="37"/>
  <c r="Y74" i="37"/>
  <c r="X74" i="37"/>
  <c r="AB73" i="37"/>
  <c r="AA73" i="37"/>
  <c r="Z73" i="37"/>
  <c r="Y73" i="37"/>
  <c r="X73" i="37"/>
  <c r="AB72" i="37"/>
  <c r="AA72" i="37"/>
  <c r="Z72" i="37"/>
  <c r="AE72" i="37" s="1"/>
  <c r="Y72" i="37"/>
  <c r="X72" i="37"/>
  <c r="AB71" i="37"/>
  <c r="AA71" i="37"/>
  <c r="Z71" i="37"/>
  <c r="Y71" i="37"/>
  <c r="X71" i="37"/>
  <c r="AB70" i="37"/>
  <c r="AA70" i="37"/>
  <c r="Z70" i="37"/>
  <c r="Y70" i="37"/>
  <c r="X70" i="37"/>
  <c r="AB69" i="37"/>
  <c r="AA69" i="37"/>
  <c r="Z69" i="37"/>
  <c r="Y69" i="37"/>
  <c r="X69" i="37"/>
  <c r="AB68" i="37"/>
  <c r="AA68" i="37"/>
  <c r="Z68" i="37"/>
  <c r="AE68" i="37" s="1"/>
  <c r="Y68" i="37"/>
  <c r="X68" i="37"/>
  <c r="AB67" i="37"/>
  <c r="AA67" i="37"/>
  <c r="Z67" i="37"/>
  <c r="Y67" i="37"/>
  <c r="X67" i="37"/>
  <c r="AB66" i="37"/>
  <c r="AA66" i="37"/>
  <c r="Z66" i="37"/>
  <c r="Y66" i="37"/>
  <c r="X66" i="37"/>
  <c r="AB65" i="37"/>
  <c r="AA65" i="37"/>
  <c r="Z65" i="37"/>
  <c r="Y65" i="37"/>
  <c r="X65" i="37"/>
  <c r="AB64" i="37"/>
  <c r="AA64" i="37"/>
  <c r="Z64" i="37"/>
  <c r="AE64" i="37" s="1"/>
  <c r="Y64" i="37"/>
  <c r="X64" i="37"/>
  <c r="AB63" i="37"/>
  <c r="AA63" i="37"/>
  <c r="Z63" i="37"/>
  <c r="Y63" i="37"/>
  <c r="X63" i="37"/>
  <c r="AB62" i="37"/>
  <c r="AA62" i="37"/>
  <c r="Z62" i="37"/>
  <c r="Y62" i="37"/>
  <c r="X62" i="37"/>
  <c r="AB61" i="37"/>
  <c r="AA61" i="37"/>
  <c r="Z61" i="37"/>
  <c r="Y61" i="37"/>
  <c r="X61" i="37"/>
  <c r="AB60" i="37"/>
  <c r="AA60" i="37"/>
  <c r="Z60" i="37"/>
  <c r="Y60" i="37"/>
  <c r="X60" i="37"/>
  <c r="AB59" i="37"/>
  <c r="AA59" i="37"/>
  <c r="Z59" i="37"/>
  <c r="Y59" i="37"/>
  <c r="X59" i="37"/>
  <c r="AB58" i="37"/>
  <c r="AA58" i="37"/>
  <c r="Z58" i="37"/>
  <c r="Y58" i="37"/>
  <c r="X58" i="37"/>
  <c r="AB100" i="36"/>
  <c r="AA100" i="36"/>
  <c r="Z100" i="36"/>
  <c r="Y100" i="36"/>
  <c r="X100" i="36"/>
  <c r="AB99" i="36"/>
  <c r="AA99" i="36"/>
  <c r="Z99" i="36"/>
  <c r="Y99" i="36"/>
  <c r="X99" i="36"/>
  <c r="AB98" i="36"/>
  <c r="AA98" i="36"/>
  <c r="Z98" i="36"/>
  <c r="Y98" i="36"/>
  <c r="X98" i="36"/>
  <c r="AB97" i="36"/>
  <c r="AA97" i="36"/>
  <c r="Z97" i="36"/>
  <c r="Y97" i="36"/>
  <c r="X97" i="36"/>
  <c r="AB96" i="36"/>
  <c r="AA96" i="36"/>
  <c r="Z96" i="36"/>
  <c r="Y96" i="36"/>
  <c r="X96" i="36"/>
  <c r="AB95" i="36"/>
  <c r="AA95" i="36"/>
  <c r="Z95" i="36"/>
  <c r="Y95" i="36"/>
  <c r="X95" i="36"/>
  <c r="AB94" i="36"/>
  <c r="AA94" i="36"/>
  <c r="Z94" i="36"/>
  <c r="Y94" i="36"/>
  <c r="X94" i="36"/>
  <c r="AB93" i="36"/>
  <c r="AA93" i="36"/>
  <c r="Z93" i="36"/>
  <c r="Y93" i="36"/>
  <c r="X93" i="36"/>
  <c r="AB92" i="36"/>
  <c r="AA92" i="36"/>
  <c r="Z92" i="36"/>
  <c r="Y92" i="36"/>
  <c r="X92" i="36"/>
  <c r="AB91" i="36"/>
  <c r="AA91" i="36"/>
  <c r="Z91" i="36"/>
  <c r="Y91" i="36"/>
  <c r="X91" i="36"/>
  <c r="AB90" i="36"/>
  <c r="AA90" i="36"/>
  <c r="Z90" i="36"/>
  <c r="Y90" i="36"/>
  <c r="X90" i="36"/>
  <c r="AB89" i="36"/>
  <c r="AA89" i="36"/>
  <c r="Z89" i="36"/>
  <c r="Y89" i="36"/>
  <c r="X89" i="36"/>
  <c r="AB88" i="36"/>
  <c r="AA88" i="36"/>
  <c r="Z88" i="36"/>
  <c r="Y88" i="36"/>
  <c r="X88" i="36"/>
  <c r="AB87" i="36"/>
  <c r="AA87" i="36"/>
  <c r="Z87" i="36"/>
  <c r="Y87" i="36"/>
  <c r="X87" i="36"/>
  <c r="AB86" i="36"/>
  <c r="AA86" i="36"/>
  <c r="Z86" i="36"/>
  <c r="Y86" i="36"/>
  <c r="X86" i="36"/>
  <c r="AB85" i="36"/>
  <c r="AA85" i="36"/>
  <c r="Z85" i="36"/>
  <c r="Y85" i="36"/>
  <c r="X85" i="36"/>
  <c r="AB84" i="36"/>
  <c r="AA84" i="36"/>
  <c r="Z84" i="36"/>
  <c r="Y84" i="36"/>
  <c r="X84" i="36"/>
  <c r="AB83" i="36"/>
  <c r="AA83" i="36"/>
  <c r="Z83" i="36"/>
  <c r="Y83" i="36"/>
  <c r="X83" i="36"/>
  <c r="AB82" i="36"/>
  <c r="AA82" i="36"/>
  <c r="Z82" i="36"/>
  <c r="Y82" i="36"/>
  <c r="X82" i="36"/>
  <c r="AB81" i="36"/>
  <c r="AA81" i="36"/>
  <c r="Z81" i="36"/>
  <c r="Y81" i="36"/>
  <c r="X81" i="36"/>
  <c r="AB77" i="36"/>
  <c r="AA77" i="36"/>
  <c r="Z77" i="36"/>
  <c r="Y77" i="36"/>
  <c r="X77" i="36"/>
  <c r="AB76" i="36"/>
  <c r="AA76" i="36"/>
  <c r="Z76" i="36"/>
  <c r="AE76" i="36" s="1"/>
  <c r="Y76" i="36"/>
  <c r="X76" i="36"/>
  <c r="AB75" i="36"/>
  <c r="AA75" i="36"/>
  <c r="Z75" i="36"/>
  <c r="Y75" i="36"/>
  <c r="X75" i="36"/>
  <c r="AB74" i="36"/>
  <c r="AA74" i="36"/>
  <c r="Z74" i="36"/>
  <c r="Y74" i="36"/>
  <c r="X74" i="36"/>
  <c r="AB73" i="36"/>
  <c r="AA73" i="36"/>
  <c r="Z73" i="36"/>
  <c r="Y73" i="36"/>
  <c r="X73" i="36"/>
  <c r="AB72" i="36"/>
  <c r="AA72" i="36"/>
  <c r="Z72" i="36"/>
  <c r="AE72" i="36" s="1"/>
  <c r="Y72" i="36"/>
  <c r="X72" i="36"/>
  <c r="AB71" i="36"/>
  <c r="AA71" i="36"/>
  <c r="Z71" i="36"/>
  <c r="Y71" i="36"/>
  <c r="X71" i="36"/>
  <c r="AB70" i="36"/>
  <c r="AA70" i="36"/>
  <c r="Z70" i="36"/>
  <c r="Y70" i="36"/>
  <c r="X70" i="36"/>
  <c r="AB69" i="36"/>
  <c r="AA69" i="36"/>
  <c r="Z69" i="36"/>
  <c r="Y69" i="36"/>
  <c r="X69" i="36"/>
  <c r="AB68" i="36"/>
  <c r="AA68" i="36"/>
  <c r="Z68" i="36"/>
  <c r="AE68" i="36" s="1"/>
  <c r="Y68" i="36"/>
  <c r="X68" i="36"/>
  <c r="AB67" i="36"/>
  <c r="AA67" i="36"/>
  <c r="Z67" i="36"/>
  <c r="Y67" i="36"/>
  <c r="X67" i="36"/>
  <c r="AB66" i="36"/>
  <c r="AA66" i="36"/>
  <c r="Z66" i="36"/>
  <c r="Y66" i="36"/>
  <c r="X66" i="36"/>
  <c r="AB65" i="36"/>
  <c r="AA65" i="36"/>
  <c r="Z65" i="36"/>
  <c r="Y65" i="36"/>
  <c r="X65" i="36"/>
  <c r="AB64" i="36"/>
  <c r="AA64" i="36"/>
  <c r="Z64" i="36"/>
  <c r="AE64" i="36" s="1"/>
  <c r="Y64" i="36"/>
  <c r="X64" i="36"/>
  <c r="AB63" i="36"/>
  <c r="AA63" i="36"/>
  <c r="Z63" i="36"/>
  <c r="Y63" i="36"/>
  <c r="X63" i="36"/>
  <c r="AB62" i="36"/>
  <c r="AA62" i="36"/>
  <c r="Z62" i="36"/>
  <c r="Y62" i="36"/>
  <c r="X62" i="36"/>
  <c r="AB61" i="36"/>
  <c r="AA61" i="36"/>
  <c r="Z61" i="36"/>
  <c r="Y61" i="36"/>
  <c r="X61" i="36"/>
  <c r="AB60" i="36"/>
  <c r="AA60" i="36"/>
  <c r="Z60" i="36"/>
  <c r="Y60" i="36"/>
  <c r="X60" i="36"/>
  <c r="AB59" i="36"/>
  <c r="AA59" i="36"/>
  <c r="Z59" i="36"/>
  <c r="Y59" i="36"/>
  <c r="X59" i="36"/>
  <c r="AB58" i="36"/>
  <c r="AA58" i="36"/>
  <c r="Z58" i="36"/>
  <c r="Y58" i="36"/>
  <c r="X58" i="36"/>
  <c r="AB100" i="35"/>
  <c r="AA100" i="35"/>
  <c r="Z100" i="35"/>
  <c r="Y100" i="35"/>
  <c r="X100" i="35"/>
  <c r="AB99" i="35"/>
  <c r="AA99" i="35"/>
  <c r="Z99" i="35"/>
  <c r="Y99" i="35"/>
  <c r="X99" i="35"/>
  <c r="AB98" i="35"/>
  <c r="AA98" i="35"/>
  <c r="Z98" i="35"/>
  <c r="Y98" i="35"/>
  <c r="X98" i="35"/>
  <c r="AB97" i="35"/>
  <c r="AA97" i="35"/>
  <c r="Z97" i="35"/>
  <c r="Y97" i="35"/>
  <c r="X97" i="35"/>
  <c r="AB96" i="35"/>
  <c r="AA96" i="35"/>
  <c r="Z96" i="35"/>
  <c r="Y96" i="35"/>
  <c r="X96" i="35"/>
  <c r="AB95" i="35"/>
  <c r="AA95" i="35"/>
  <c r="Z95" i="35"/>
  <c r="Y95" i="35"/>
  <c r="X95" i="35"/>
  <c r="AB94" i="35"/>
  <c r="AA94" i="35"/>
  <c r="Z94" i="35"/>
  <c r="Y94" i="35"/>
  <c r="X94" i="35"/>
  <c r="AB93" i="35"/>
  <c r="AA93" i="35"/>
  <c r="Z93" i="35"/>
  <c r="Y93" i="35"/>
  <c r="X93" i="35"/>
  <c r="AB92" i="35"/>
  <c r="AA92" i="35"/>
  <c r="Z92" i="35"/>
  <c r="Y92" i="35"/>
  <c r="X92" i="35"/>
  <c r="AB91" i="35"/>
  <c r="AA91" i="35"/>
  <c r="Z91" i="35"/>
  <c r="Y91" i="35"/>
  <c r="X91" i="35"/>
  <c r="AB90" i="35"/>
  <c r="AA90" i="35"/>
  <c r="Z90" i="35"/>
  <c r="Y90" i="35"/>
  <c r="X90" i="35"/>
  <c r="AB89" i="35"/>
  <c r="AA89" i="35"/>
  <c r="Z89" i="35"/>
  <c r="Y89" i="35"/>
  <c r="X89" i="35"/>
  <c r="AB88" i="35"/>
  <c r="AA88" i="35"/>
  <c r="Z88" i="35"/>
  <c r="Y88" i="35"/>
  <c r="X88" i="35"/>
  <c r="AB87" i="35"/>
  <c r="AA87" i="35"/>
  <c r="Z87" i="35"/>
  <c r="Y87" i="35"/>
  <c r="X87" i="35"/>
  <c r="AB86" i="35"/>
  <c r="AA86" i="35"/>
  <c r="Z86" i="35"/>
  <c r="Y86" i="35"/>
  <c r="X86" i="35"/>
  <c r="AB85" i="35"/>
  <c r="AA85" i="35"/>
  <c r="Z85" i="35"/>
  <c r="Y85" i="35"/>
  <c r="X85" i="35"/>
  <c r="AB84" i="35"/>
  <c r="AA84" i="35"/>
  <c r="Z84" i="35"/>
  <c r="Y84" i="35"/>
  <c r="X84" i="35"/>
  <c r="AB83" i="35"/>
  <c r="AA83" i="35"/>
  <c r="Z83" i="35"/>
  <c r="Y83" i="35"/>
  <c r="X83" i="35"/>
  <c r="AB82" i="35"/>
  <c r="AA82" i="35"/>
  <c r="Z82" i="35"/>
  <c r="Y82" i="35"/>
  <c r="X82" i="35"/>
  <c r="AB81" i="35"/>
  <c r="AA81" i="35"/>
  <c r="Z81" i="35"/>
  <c r="Y81" i="35"/>
  <c r="X81" i="35"/>
  <c r="AB77" i="35"/>
  <c r="AA77" i="35"/>
  <c r="Z77" i="35"/>
  <c r="Y77" i="35"/>
  <c r="X77" i="35"/>
  <c r="AB76" i="35"/>
  <c r="AA76" i="35"/>
  <c r="Z76" i="35"/>
  <c r="AE76" i="35" s="1"/>
  <c r="Y76" i="35"/>
  <c r="X76" i="35"/>
  <c r="AB75" i="35"/>
  <c r="AA75" i="35"/>
  <c r="Z75" i="35"/>
  <c r="Y75" i="35"/>
  <c r="X75" i="35"/>
  <c r="AB74" i="35"/>
  <c r="AA74" i="35"/>
  <c r="Z74" i="35"/>
  <c r="Y74" i="35"/>
  <c r="X74" i="35"/>
  <c r="AB73" i="35"/>
  <c r="AA73" i="35"/>
  <c r="Z73" i="35"/>
  <c r="Y73" i="35"/>
  <c r="X73" i="35"/>
  <c r="AB72" i="35"/>
  <c r="AA72" i="35"/>
  <c r="Z72" i="35"/>
  <c r="AE72" i="35" s="1"/>
  <c r="Y72" i="35"/>
  <c r="X72" i="35"/>
  <c r="AB71" i="35"/>
  <c r="AA71" i="35"/>
  <c r="Z71" i="35"/>
  <c r="Y71" i="35"/>
  <c r="X71" i="35"/>
  <c r="AB70" i="35"/>
  <c r="AA70" i="35"/>
  <c r="Z70" i="35"/>
  <c r="Y70" i="35"/>
  <c r="X70" i="35"/>
  <c r="AB69" i="35"/>
  <c r="AA69" i="35"/>
  <c r="Z69" i="35"/>
  <c r="Y69" i="35"/>
  <c r="X69" i="35"/>
  <c r="AB68" i="35"/>
  <c r="AA68" i="35"/>
  <c r="Z68" i="35"/>
  <c r="AE68" i="35" s="1"/>
  <c r="Y68" i="35"/>
  <c r="X68" i="35"/>
  <c r="AB67" i="35"/>
  <c r="AA67" i="35"/>
  <c r="Z67" i="35"/>
  <c r="Y67" i="35"/>
  <c r="X67" i="35"/>
  <c r="AB66" i="35"/>
  <c r="AA66" i="35"/>
  <c r="Z66" i="35"/>
  <c r="Y66" i="35"/>
  <c r="X66" i="35"/>
  <c r="AB65" i="35"/>
  <c r="AA65" i="35"/>
  <c r="Z65" i="35"/>
  <c r="Y65" i="35"/>
  <c r="X65" i="35"/>
  <c r="AB64" i="35"/>
  <c r="AA64" i="35"/>
  <c r="Z64" i="35"/>
  <c r="AE64" i="35" s="1"/>
  <c r="Y64" i="35"/>
  <c r="X64" i="35"/>
  <c r="AB63" i="35"/>
  <c r="AA63" i="35"/>
  <c r="Z63" i="35"/>
  <c r="Y63" i="35"/>
  <c r="X63" i="35"/>
  <c r="AB62" i="35"/>
  <c r="AA62" i="35"/>
  <c r="Z62" i="35"/>
  <c r="Y62" i="35"/>
  <c r="X62" i="35"/>
  <c r="AB61" i="35"/>
  <c r="AA61" i="35"/>
  <c r="Z61" i="35"/>
  <c r="Y61" i="35"/>
  <c r="X61" i="35"/>
  <c r="AB60" i="35"/>
  <c r="AA60" i="35"/>
  <c r="Z60" i="35"/>
  <c r="Y60" i="35"/>
  <c r="X60" i="35"/>
  <c r="AB59" i="35"/>
  <c r="AA59" i="35"/>
  <c r="Z59" i="35"/>
  <c r="Y59" i="35"/>
  <c r="X59" i="35"/>
  <c r="AB58" i="35"/>
  <c r="AA58" i="35"/>
  <c r="Z58" i="35"/>
  <c r="Y58" i="35"/>
  <c r="X58" i="35"/>
  <c r="AB100" i="34"/>
  <c r="AA100" i="34"/>
  <c r="Z100" i="34"/>
  <c r="Y100" i="34"/>
  <c r="X100" i="34"/>
  <c r="AB99" i="34"/>
  <c r="AA99" i="34"/>
  <c r="Z99" i="34"/>
  <c r="Y99" i="34"/>
  <c r="X99" i="34"/>
  <c r="AB98" i="34"/>
  <c r="AA98" i="34"/>
  <c r="Z98" i="34"/>
  <c r="Y98" i="34"/>
  <c r="X98" i="34"/>
  <c r="AB97" i="34"/>
  <c r="AA97" i="34"/>
  <c r="Z97" i="34"/>
  <c r="Y97" i="34"/>
  <c r="X97" i="34"/>
  <c r="AB96" i="34"/>
  <c r="AA96" i="34"/>
  <c r="Z96" i="34"/>
  <c r="Y96" i="34"/>
  <c r="X96" i="34"/>
  <c r="AB95" i="34"/>
  <c r="AA95" i="34"/>
  <c r="Z95" i="34"/>
  <c r="Y95" i="34"/>
  <c r="X95" i="34"/>
  <c r="AB94" i="34"/>
  <c r="AA94" i="34"/>
  <c r="Z94" i="34"/>
  <c r="Y94" i="34"/>
  <c r="X94" i="34"/>
  <c r="AB93" i="34"/>
  <c r="AA93" i="34"/>
  <c r="Z93" i="34"/>
  <c r="Y93" i="34"/>
  <c r="X93" i="34"/>
  <c r="AB92" i="34"/>
  <c r="AA92" i="34"/>
  <c r="Z92" i="34"/>
  <c r="Y92" i="34"/>
  <c r="X92" i="34"/>
  <c r="AB91" i="34"/>
  <c r="AA91" i="34"/>
  <c r="Z91" i="34"/>
  <c r="Y91" i="34"/>
  <c r="X91" i="34"/>
  <c r="AB90" i="34"/>
  <c r="AA90" i="34"/>
  <c r="Z90" i="34"/>
  <c r="Y90" i="34"/>
  <c r="X90" i="34"/>
  <c r="AB89" i="34"/>
  <c r="AA89" i="34"/>
  <c r="Z89" i="34"/>
  <c r="Y89" i="34"/>
  <c r="X89" i="34"/>
  <c r="AB88" i="34"/>
  <c r="AA88" i="34"/>
  <c r="Z88" i="34"/>
  <c r="Y88" i="34"/>
  <c r="X88" i="34"/>
  <c r="AB87" i="34"/>
  <c r="AA87" i="34"/>
  <c r="Z87" i="34"/>
  <c r="Y87" i="34"/>
  <c r="X87" i="34"/>
  <c r="AB86" i="34"/>
  <c r="AA86" i="34"/>
  <c r="Z86" i="34"/>
  <c r="Y86" i="34"/>
  <c r="X86" i="34"/>
  <c r="AB85" i="34"/>
  <c r="AA85" i="34"/>
  <c r="Z85" i="34"/>
  <c r="Y85" i="34"/>
  <c r="X85" i="34"/>
  <c r="AB84" i="34"/>
  <c r="AA84" i="34"/>
  <c r="Z84" i="34"/>
  <c r="Y84" i="34"/>
  <c r="X84" i="34"/>
  <c r="AB83" i="34"/>
  <c r="AA83" i="34"/>
  <c r="Z83" i="34"/>
  <c r="Y83" i="34"/>
  <c r="X83" i="34"/>
  <c r="AB82" i="34"/>
  <c r="AA82" i="34"/>
  <c r="Z82" i="34"/>
  <c r="Y82" i="34"/>
  <c r="X82" i="34"/>
  <c r="AB81" i="34"/>
  <c r="AA81" i="34"/>
  <c r="Z81" i="34"/>
  <c r="Y81" i="34"/>
  <c r="X81" i="34"/>
  <c r="AB77" i="34"/>
  <c r="AA77" i="34"/>
  <c r="Z77" i="34"/>
  <c r="Y77" i="34"/>
  <c r="X77" i="34"/>
  <c r="AB76" i="34"/>
  <c r="AA76" i="34"/>
  <c r="Z76" i="34"/>
  <c r="AE76" i="34" s="1"/>
  <c r="Y76" i="34"/>
  <c r="X76" i="34"/>
  <c r="AB75" i="34"/>
  <c r="AA75" i="34"/>
  <c r="Z75" i="34"/>
  <c r="Y75" i="34"/>
  <c r="X75" i="34"/>
  <c r="AB74" i="34"/>
  <c r="AA74" i="34"/>
  <c r="Z74" i="34"/>
  <c r="Y74" i="34"/>
  <c r="X74" i="34"/>
  <c r="AB73" i="34"/>
  <c r="AA73" i="34"/>
  <c r="Z73" i="34"/>
  <c r="Y73" i="34"/>
  <c r="X73" i="34"/>
  <c r="AB72" i="34"/>
  <c r="AA72" i="34"/>
  <c r="Z72" i="34"/>
  <c r="AE72" i="34" s="1"/>
  <c r="Y72" i="34"/>
  <c r="X72" i="34"/>
  <c r="AB71" i="34"/>
  <c r="AA71" i="34"/>
  <c r="Z71" i="34"/>
  <c r="Y71" i="34"/>
  <c r="X71" i="34"/>
  <c r="AB70" i="34"/>
  <c r="AA70" i="34"/>
  <c r="Z70" i="34"/>
  <c r="Y70" i="34"/>
  <c r="X70" i="34"/>
  <c r="AB69" i="34"/>
  <c r="AA69" i="34"/>
  <c r="Z69" i="34"/>
  <c r="Y69" i="34"/>
  <c r="X69" i="34"/>
  <c r="AB68" i="34"/>
  <c r="AA68" i="34"/>
  <c r="Z68" i="34"/>
  <c r="AE68" i="34" s="1"/>
  <c r="Y68" i="34"/>
  <c r="X68" i="34"/>
  <c r="AB67" i="34"/>
  <c r="AA67" i="34"/>
  <c r="Z67" i="34"/>
  <c r="Y67" i="34"/>
  <c r="X67" i="34"/>
  <c r="AB66" i="34"/>
  <c r="AA66" i="34"/>
  <c r="Z66" i="34"/>
  <c r="Y66" i="34"/>
  <c r="X66" i="34"/>
  <c r="AB65" i="34"/>
  <c r="AA65" i="34"/>
  <c r="Z65" i="34"/>
  <c r="Y65" i="34"/>
  <c r="X65" i="34"/>
  <c r="AB64" i="34"/>
  <c r="AA64" i="34"/>
  <c r="Z64" i="34"/>
  <c r="AE64" i="34" s="1"/>
  <c r="Y64" i="34"/>
  <c r="X64" i="34"/>
  <c r="AB63" i="34"/>
  <c r="AA63" i="34"/>
  <c r="Z63" i="34"/>
  <c r="Y63" i="34"/>
  <c r="X63" i="34"/>
  <c r="AB62" i="34"/>
  <c r="AA62" i="34"/>
  <c r="Z62" i="34"/>
  <c r="Y62" i="34"/>
  <c r="X62" i="34"/>
  <c r="AB61" i="34"/>
  <c r="AA61" i="34"/>
  <c r="Z61" i="34"/>
  <c r="Y61" i="34"/>
  <c r="X61" i="34"/>
  <c r="AB60" i="34"/>
  <c r="AA60" i="34"/>
  <c r="Z60" i="34"/>
  <c r="Y60" i="34"/>
  <c r="X60" i="34"/>
  <c r="AB59" i="34"/>
  <c r="AA59" i="34"/>
  <c r="Z59" i="34"/>
  <c r="Y59" i="34"/>
  <c r="X59" i="34"/>
  <c r="AB58" i="34"/>
  <c r="AA58" i="34"/>
  <c r="Z58" i="34"/>
  <c r="Y58" i="34"/>
  <c r="X58" i="34"/>
  <c r="AB100" i="33"/>
  <c r="AA100" i="33"/>
  <c r="Z100" i="33"/>
  <c r="Y100" i="33"/>
  <c r="X100" i="33"/>
  <c r="AB99" i="33"/>
  <c r="AA99" i="33"/>
  <c r="Z99" i="33"/>
  <c r="Y99" i="33"/>
  <c r="X99" i="33"/>
  <c r="AB98" i="33"/>
  <c r="AA98" i="33"/>
  <c r="Z98" i="33"/>
  <c r="Y98" i="33"/>
  <c r="X98" i="33"/>
  <c r="AB97" i="33"/>
  <c r="AA97" i="33"/>
  <c r="Z97" i="33"/>
  <c r="Y97" i="33"/>
  <c r="X97" i="33"/>
  <c r="AB96" i="33"/>
  <c r="AA96" i="33"/>
  <c r="Z96" i="33"/>
  <c r="Y96" i="33"/>
  <c r="X96" i="33"/>
  <c r="AB95" i="33"/>
  <c r="AA95" i="33"/>
  <c r="Z95" i="33"/>
  <c r="Y95" i="33"/>
  <c r="X95" i="33"/>
  <c r="AB94" i="33"/>
  <c r="AA94" i="33"/>
  <c r="Z94" i="33"/>
  <c r="Y94" i="33"/>
  <c r="X94" i="33"/>
  <c r="AB93" i="33"/>
  <c r="AA93" i="33"/>
  <c r="Z93" i="33"/>
  <c r="Y93" i="33"/>
  <c r="X93" i="33"/>
  <c r="AB92" i="33"/>
  <c r="AA92" i="33"/>
  <c r="Z92" i="33"/>
  <c r="Y92" i="33"/>
  <c r="X92" i="33"/>
  <c r="AB91" i="33"/>
  <c r="AA91" i="33"/>
  <c r="Z91" i="33"/>
  <c r="Y91" i="33"/>
  <c r="X91" i="33"/>
  <c r="AB90" i="33"/>
  <c r="AA90" i="33"/>
  <c r="Z90" i="33"/>
  <c r="Y90" i="33"/>
  <c r="X90" i="33"/>
  <c r="AB89" i="33"/>
  <c r="AA89" i="33"/>
  <c r="Z89" i="33"/>
  <c r="Y89" i="33"/>
  <c r="X89" i="33"/>
  <c r="AB88" i="33"/>
  <c r="AA88" i="33"/>
  <c r="Z88" i="33"/>
  <c r="Y88" i="33"/>
  <c r="X88" i="33"/>
  <c r="AB87" i="33"/>
  <c r="AA87" i="33"/>
  <c r="Z87" i="33"/>
  <c r="Y87" i="33"/>
  <c r="X87" i="33"/>
  <c r="AB86" i="33"/>
  <c r="AA86" i="33"/>
  <c r="Z86" i="33"/>
  <c r="Y86" i="33"/>
  <c r="X86" i="33"/>
  <c r="AB85" i="33"/>
  <c r="AA85" i="33"/>
  <c r="Z85" i="33"/>
  <c r="Y85" i="33"/>
  <c r="X85" i="33"/>
  <c r="AB84" i="33"/>
  <c r="AA84" i="33"/>
  <c r="Z84" i="33"/>
  <c r="Y84" i="33"/>
  <c r="X84" i="33"/>
  <c r="AB83" i="33"/>
  <c r="AA83" i="33"/>
  <c r="Z83" i="33"/>
  <c r="Y83" i="33"/>
  <c r="X83" i="33"/>
  <c r="AB82" i="33"/>
  <c r="AA82" i="33"/>
  <c r="Z82" i="33"/>
  <c r="Y82" i="33"/>
  <c r="X82" i="33"/>
  <c r="AB81" i="33"/>
  <c r="AA81" i="33"/>
  <c r="Z81" i="33"/>
  <c r="Y81" i="33"/>
  <c r="X81" i="33"/>
  <c r="AB77" i="33"/>
  <c r="AA77" i="33"/>
  <c r="Z77" i="33"/>
  <c r="Y77" i="33"/>
  <c r="X77" i="33"/>
  <c r="AB76" i="33"/>
  <c r="AA76" i="33"/>
  <c r="Z76" i="33"/>
  <c r="AE76" i="33" s="1"/>
  <c r="Y76" i="33"/>
  <c r="X76" i="33"/>
  <c r="AB75" i="33"/>
  <c r="AA75" i="33"/>
  <c r="Z75" i="33"/>
  <c r="Y75" i="33"/>
  <c r="X75" i="33"/>
  <c r="AB74" i="33"/>
  <c r="AA74" i="33"/>
  <c r="Z74" i="33"/>
  <c r="Y74" i="33"/>
  <c r="X74" i="33"/>
  <c r="AB73" i="33"/>
  <c r="AA73" i="33"/>
  <c r="Z73" i="33"/>
  <c r="Y73" i="33"/>
  <c r="X73" i="33"/>
  <c r="AB72" i="33"/>
  <c r="AA72" i="33"/>
  <c r="Z72" i="33"/>
  <c r="AE72" i="33" s="1"/>
  <c r="Y72" i="33"/>
  <c r="X72" i="33"/>
  <c r="AB71" i="33"/>
  <c r="AA71" i="33"/>
  <c r="Z71" i="33"/>
  <c r="Y71" i="33"/>
  <c r="X71" i="33"/>
  <c r="AB70" i="33"/>
  <c r="AA70" i="33"/>
  <c r="Z70" i="33"/>
  <c r="Y70" i="33"/>
  <c r="X70" i="33"/>
  <c r="AB69" i="33"/>
  <c r="AA69" i="33"/>
  <c r="Z69" i="33"/>
  <c r="Y69" i="33"/>
  <c r="X69" i="33"/>
  <c r="AB68" i="33"/>
  <c r="AA68" i="33"/>
  <c r="Z68" i="33"/>
  <c r="AE68" i="33" s="1"/>
  <c r="Y68" i="33"/>
  <c r="X68" i="33"/>
  <c r="AB67" i="33"/>
  <c r="AA67" i="33"/>
  <c r="Z67" i="33"/>
  <c r="Y67" i="33"/>
  <c r="X67" i="33"/>
  <c r="AB66" i="33"/>
  <c r="AA66" i="33"/>
  <c r="Z66" i="33"/>
  <c r="Y66" i="33"/>
  <c r="X66" i="33"/>
  <c r="AB65" i="33"/>
  <c r="AA65" i="33"/>
  <c r="Z65" i="33"/>
  <c r="Y65" i="33"/>
  <c r="X65" i="33"/>
  <c r="AB64" i="33"/>
  <c r="AA64" i="33"/>
  <c r="Z64" i="33"/>
  <c r="AE64" i="33" s="1"/>
  <c r="Y64" i="33"/>
  <c r="X64" i="33"/>
  <c r="AB63" i="33"/>
  <c r="AA63" i="33"/>
  <c r="Z63" i="33"/>
  <c r="Y63" i="33"/>
  <c r="X63" i="33"/>
  <c r="AB62" i="33"/>
  <c r="AA62" i="33"/>
  <c r="Z62" i="33"/>
  <c r="Y62" i="33"/>
  <c r="X62" i="33"/>
  <c r="AB61" i="33"/>
  <c r="AA61" i="33"/>
  <c r="Z61" i="33"/>
  <c r="Y61" i="33"/>
  <c r="X61" i="33"/>
  <c r="AB60" i="33"/>
  <c r="AA60" i="33"/>
  <c r="Z60" i="33"/>
  <c r="AE60" i="33" s="1"/>
  <c r="Y60" i="33"/>
  <c r="X60" i="33"/>
  <c r="AB59" i="33"/>
  <c r="AA59" i="33"/>
  <c r="Z59" i="33"/>
  <c r="Y59" i="33"/>
  <c r="X59" i="33"/>
  <c r="AB58" i="33"/>
  <c r="AA58" i="33"/>
  <c r="Z58" i="33"/>
  <c r="Y58" i="33"/>
  <c r="X58" i="33"/>
  <c r="AB100" i="32"/>
  <c r="AA100" i="32"/>
  <c r="Z100" i="32"/>
  <c r="Y100" i="32"/>
  <c r="X100" i="32"/>
  <c r="AB99" i="32"/>
  <c r="AA99" i="32"/>
  <c r="Z99" i="32"/>
  <c r="Y99" i="32"/>
  <c r="X99" i="32"/>
  <c r="AB98" i="32"/>
  <c r="AA98" i="32"/>
  <c r="Z98" i="32"/>
  <c r="Y98" i="32"/>
  <c r="X98" i="32"/>
  <c r="AB97" i="32"/>
  <c r="AA97" i="32"/>
  <c r="Z97" i="32"/>
  <c r="Y97" i="32"/>
  <c r="X97" i="32"/>
  <c r="AB96" i="32"/>
  <c r="AA96" i="32"/>
  <c r="Z96" i="32"/>
  <c r="Y96" i="32"/>
  <c r="X96" i="32"/>
  <c r="AB95" i="32"/>
  <c r="AA95" i="32"/>
  <c r="Z95" i="32"/>
  <c r="Y95" i="32"/>
  <c r="X95" i="32"/>
  <c r="AB94" i="32"/>
  <c r="AA94" i="32"/>
  <c r="Z94" i="32"/>
  <c r="Y94" i="32"/>
  <c r="X94" i="32"/>
  <c r="AB93" i="32"/>
  <c r="AA93" i="32"/>
  <c r="Z93" i="32"/>
  <c r="Y93" i="32"/>
  <c r="X93" i="32"/>
  <c r="AB92" i="32"/>
  <c r="AA92" i="32"/>
  <c r="Z92" i="32"/>
  <c r="Y92" i="32"/>
  <c r="X92" i="32"/>
  <c r="AB91" i="32"/>
  <c r="AA91" i="32"/>
  <c r="Z91" i="32"/>
  <c r="Y91" i="32"/>
  <c r="X91" i="32"/>
  <c r="AB90" i="32"/>
  <c r="AA90" i="32"/>
  <c r="Z90" i="32"/>
  <c r="Y90" i="32"/>
  <c r="X90" i="32"/>
  <c r="AB89" i="32"/>
  <c r="AA89" i="32"/>
  <c r="Z89" i="32"/>
  <c r="Y89" i="32"/>
  <c r="X89" i="32"/>
  <c r="AB88" i="32"/>
  <c r="AA88" i="32"/>
  <c r="Z88" i="32"/>
  <c r="Y88" i="32"/>
  <c r="X88" i="32"/>
  <c r="AB87" i="32"/>
  <c r="AA87" i="32"/>
  <c r="Z87" i="32"/>
  <c r="Y87" i="32"/>
  <c r="X87" i="32"/>
  <c r="AB86" i="32"/>
  <c r="AA86" i="32"/>
  <c r="Z86" i="32"/>
  <c r="AC86" i="32" s="1"/>
  <c r="Y86" i="32"/>
  <c r="X86" i="32"/>
  <c r="AB85" i="32"/>
  <c r="AA85" i="32"/>
  <c r="Z85" i="32"/>
  <c r="Y85" i="32"/>
  <c r="X85" i="32"/>
  <c r="AB84" i="32"/>
  <c r="AA84" i="32"/>
  <c r="Z84" i="32"/>
  <c r="Y84" i="32"/>
  <c r="X84" i="32"/>
  <c r="AB83" i="32"/>
  <c r="AA83" i="32"/>
  <c r="Z83" i="32"/>
  <c r="Y83" i="32"/>
  <c r="X83" i="32"/>
  <c r="AB82" i="32"/>
  <c r="AA82" i="32"/>
  <c r="Z82" i="32"/>
  <c r="AC82" i="32" s="1"/>
  <c r="Y82" i="32"/>
  <c r="X82" i="32"/>
  <c r="AB81" i="32"/>
  <c r="AA81" i="32"/>
  <c r="Z81" i="32"/>
  <c r="Y81" i="32"/>
  <c r="X81" i="32"/>
  <c r="AB77" i="32"/>
  <c r="AA77" i="32"/>
  <c r="Z77" i="32"/>
  <c r="Y77" i="32"/>
  <c r="X77" i="32"/>
  <c r="AB76" i="32"/>
  <c r="AA76" i="32"/>
  <c r="Z76" i="32"/>
  <c r="AE76" i="32" s="1"/>
  <c r="Y76" i="32"/>
  <c r="X76" i="32"/>
  <c r="AB75" i="32"/>
  <c r="AA75" i="32"/>
  <c r="Z75" i="32"/>
  <c r="Y75" i="32"/>
  <c r="X75" i="32"/>
  <c r="AB74" i="32"/>
  <c r="AA74" i="32"/>
  <c r="Z74" i="32"/>
  <c r="Y74" i="32"/>
  <c r="X74" i="32"/>
  <c r="AB73" i="32"/>
  <c r="AA73" i="32"/>
  <c r="Z73" i="32"/>
  <c r="Y73" i="32"/>
  <c r="X73" i="32"/>
  <c r="AB72" i="32"/>
  <c r="AA72" i="32"/>
  <c r="Z72" i="32"/>
  <c r="AE72" i="32" s="1"/>
  <c r="Y72" i="32"/>
  <c r="X72" i="32"/>
  <c r="AB71" i="32"/>
  <c r="AA71" i="32"/>
  <c r="Z71" i="32"/>
  <c r="Y71" i="32"/>
  <c r="X71" i="32"/>
  <c r="AB70" i="32"/>
  <c r="AA70" i="32"/>
  <c r="Z70" i="32"/>
  <c r="Y70" i="32"/>
  <c r="X70" i="32"/>
  <c r="AB69" i="32"/>
  <c r="AA69" i="32"/>
  <c r="Z69" i="32"/>
  <c r="Y69" i="32"/>
  <c r="X69" i="32"/>
  <c r="AB68" i="32"/>
  <c r="AA68" i="32"/>
  <c r="Z68" i="32"/>
  <c r="AE68" i="32" s="1"/>
  <c r="Y68" i="32"/>
  <c r="X68" i="32"/>
  <c r="AB67" i="32"/>
  <c r="AA67" i="32"/>
  <c r="Z67" i="32"/>
  <c r="Y67" i="32"/>
  <c r="X67" i="32"/>
  <c r="AB66" i="32"/>
  <c r="AA66" i="32"/>
  <c r="Z66" i="32"/>
  <c r="Y66" i="32"/>
  <c r="X66" i="32"/>
  <c r="AB65" i="32"/>
  <c r="AA65" i="32"/>
  <c r="Z65" i="32"/>
  <c r="Y65" i="32"/>
  <c r="X65" i="32"/>
  <c r="AB64" i="32"/>
  <c r="AA64" i="32"/>
  <c r="Z64" i="32"/>
  <c r="AE64" i="32" s="1"/>
  <c r="Y64" i="32"/>
  <c r="X64" i="32"/>
  <c r="AB63" i="32"/>
  <c r="AA63" i="32"/>
  <c r="Z63" i="32"/>
  <c r="Y63" i="32"/>
  <c r="X63" i="32"/>
  <c r="AB62" i="32"/>
  <c r="AA62" i="32"/>
  <c r="Z62" i="32"/>
  <c r="Y62" i="32"/>
  <c r="X62" i="32"/>
  <c r="AB61" i="32"/>
  <c r="AA61" i="32"/>
  <c r="Z61" i="32"/>
  <c r="Y61" i="32"/>
  <c r="X61" i="32"/>
  <c r="AB60" i="32"/>
  <c r="AA60" i="32"/>
  <c r="Z60" i="32"/>
  <c r="AE60" i="32" s="1"/>
  <c r="Y60" i="32"/>
  <c r="X60" i="32"/>
  <c r="AB59" i="32"/>
  <c r="AA59" i="32"/>
  <c r="Z59" i="32"/>
  <c r="Y59" i="32"/>
  <c r="X59" i="32"/>
  <c r="AB58" i="32"/>
  <c r="AA58" i="32"/>
  <c r="Z58" i="32"/>
  <c r="Y58" i="32"/>
  <c r="X58" i="32"/>
  <c r="AB100" i="31"/>
  <c r="AA100" i="31"/>
  <c r="Z100" i="31"/>
  <c r="Y100" i="31"/>
  <c r="X100" i="31"/>
  <c r="AB99" i="31"/>
  <c r="AA99" i="31"/>
  <c r="Z99" i="31"/>
  <c r="Y99" i="31"/>
  <c r="X99" i="31"/>
  <c r="AB98" i="31"/>
  <c r="AA98" i="31"/>
  <c r="Z98" i="31"/>
  <c r="AC98" i="31" s="1"/>
  <c r="Y98" i="31"/>
  <c r="X98" i="31"/>
  <c r="AB97" i="31"/>
  <c r="AA97" i="31"/>
  <c r="Z97" i="31"/>
  <c r="Y97" i="31"/>
  <c r="X97" i="31"/>
  <c r="AB96" i="31"/>
  <c r="AA96" i="31"/>
  <c r="Z96" i="31"/>
  <c r="Y96" i="31"/>
  <c r="X96" i="31"/>
  <c r="AB95" i="31"/>
  <c r="AA95" i="31"/>
  <c r="Z95" i="31"/>
  <c r="Y95" i="31"/>
  <c r="X95" i="31"/>
  <c r="AB94" i="31"/>
  <c r="AA94" i="31"/>
  <c r="Z94" i="31"/>
  <c r="AC94" i="31" s="1"/>
  <c r="Y94" i="31"/>
  <c r="X94" i="31"/>
  <c r="AB93" i="31"/>
  <c r="AA93" i="31"/>
  <c r="Z93" i="31"/>
  <c r="Y93" i="31"/>
  <c r="X93" i="31"/>
  <c r="AB92" i="31"/>
  <c r="AA92" i="31"/>
  <c r="Z92" i="31"/>
  <c r="Y92" i="31"/>
  <c r="X92" i="31"/>
  <c r="AB91" i="31"/>
  <c r="AA91" i="31"/>
  <c r="Z91" i="31"/>
  <c r="Y91" i="31"/>
  <c r="X91" i="31"/>
  <c r="AB90" i="31"/>
  <c r="AA90" i="31"/>
  <c r="Z90" i="31"/>
  <c r="AC90" i="31" s="1"/>
  <c r="Y90" i="31"/>
  <c r="X90" i="31"/>
  <c r="AB89" i="31"/>
  <c r="AA89" i="31"/>
  <c r="Z89" i="31"/>
  <c r="Y89" i="31"/>
  <c r="X89" i="31"/>
  <c r="AB88" i="31"/>
  <c r="AA88" i="31"/>
  <c r="Z88" i="31"/>
  <c r="Y88" i="31"/>
  <c r="X88" i="31"/>
  <c r="AB87" i="31"/>
  <c r="AA87" i="31"/>
  <c r="Z87" i="31"/>
  <c r="Y87" i="31"/>
  <c r="X87" i="31"/>
  <c r="AB86" i="31"/>
  <c r="AA86" i="31"/>
  <c r="Z86" i="31"/>
  <c r="AC86" i="31" s="1"/>
  <c r="Y86" i="31"/>
  <c r="X86" i="31"/>
  <c r="AB85" i="31"/>
  <c r="AA85" i="31"/>
  <c r="Z85" i="31"/>
  <c r="Y85" i="31"/>
  <c r="X85" i="31"/>
  <c r="AB84" i="31"/>
  <c r="AA84" i="31"/>
  <c r="Z84" i="31"/>
  <c r="Y84" i="31"/>
  <c r="X84" i="31"/>
  <c r="AB83" i="31"/>
  <c r="AA83" i="31"/>
  <c r="Z83" i="31"/>
  <c r="Y83" i="31"/>
  <c r="X83" i="31"/>
  <c r="AB82" i="31"/>
  <c r="AA82" i="31"/>
  <c r="Z82" i="31"/>
  <c r="AC82" i="31" s="1"/>
  <c r="Y82" i="31"/>
  <c r="X82" i="31"/>
  <c r="AB81" i="31"/>
  <c r="AA81" i="31"/>
  <c r="Z81" i="31"/>
  <c r="Y81" i="31"/>
  <c r="X81" i="31"/>
  <c r="AB77" i="31"/>
  <c r="AA77" i="31"/>
  <c r="Z77" i="31"/>
  <c r="Y77" i="31"/>
  <c r="X77" i="31"/>
  <c r="AB76" i="31"/>
  <c r="AA76" i="31"/>
  <c r="Z76" i="31"/>
  <c r="AE76" i="31" s="1"/>
  <c r="Y76" i="31"/>
  <c r="X76" i="31"/>
  <c r="AB75" i="31"/>
  <c r="AA75" i="31"/>
  <c r="Z75" i="31"/>
  <c r="Y75" i="31"/>
  <c r="X75" i="31"/>
  <c r="AB74" i="31"/>
  <c r="AA74" i="31"/>
  <c r="Z74" i="31"/>
  <c r="Y74" i="31"/>
  <c r="X74" i="31"/>
  <c r="AB73" i="31"/>
  <c r="AA73" i="31"/>
  <c r="Z73" i="31"/>
  <c r="Y73" i="31"/>
  <c r="X73" i="31"/>
  <c r="AB72" i="31"/>
  <c r="AA72" i="31"/>
  <c r="Z72" i="31"/>
  <c r="AE72" i="31" s="1"/>
  <c r="Y72" i="31"/>
  <c r="X72" i="31"/>
  <c r="AB71" i="31"/>
  <c r="AA71" i="31"/>
  <c r="Z71" i="31"/>
  <c r="Y71" i="31"/>
  <c r="X71" i="31"/>
  <c r="AB70" i="31"/>
  <c r="AA70" i="31"/>
  <c r="Z70" i="31"/>
  <c r="Y70" i="31"/>
  <c r="X70" i="31"/>
  <c r="AB69" i="31"/>
  <c r="AA69" i="31"/>
  <c r="Z69" i="31"/>
  <c r="Y69" i="31"/>
  <c r="X69" i="31"/>
  <c r="AB68" i="31"/>
  <c r="AA68" i="31"/>
  <c r="Z68" i="31"/>
  <c r="AE68" i="31" s="1"/>
  <c r="Y68" i="31"/>
  <c r="X68" i="31"/>
  <c r="AB67" i="31"/>
  <c r="AA67" i="31"/>
  <c r="Z67" i="31"/>
  <c r="Y67" i="31"/>
  <c r="X67" i="31"/>
  <c r="AB66" i="31"/>
  <c r="AA66" i="31"/>
  <c r="Z66" i="31"/>
  <c r="Y66" i="31"/>
  <c r="X66" i="31"/>
  <c r="AB65" i="31"/>
  <c r="AA65" i="31"/>
  <c r="Z65" i="31"/>
  <c r="Y65" i="31"/>
  <c r="X65" i="31"/>
  <c r="AB64" i="31"/>
  <c r="AA64" i="31"/>
  <c r="Z64" i="31"/>
  <c r="AE64" i="31" s="1"/>
  <c r="Y64" i="31"/>
  <c r="X64" i="31"/>
  <c r="AB63" i="31"/>
  <c r="AA63" i="31"/>
  <c r="Z63" i="31"/>
  <c r="Y63" i="31"/>
  <c r="X63" i="31"/>
  <c r="AB62" i="31"/>
  <c r="AA62" i="31"/>
  <c r="Z62" i="31"/>
  <c r="Y62" i="31"/>
  <c r="X62" i="31"/>
  <c r="AB61" i="31"/>
  <c r="AA61" i="31"/>
  <c r="Z61" i="31"/>
  <c r="Y61" i="31"/>
  <c r="X61" i="31"/>
  <c r="AB60" i="31"/>
  <c r="AA60" i="31"/>
  <c r="Z60" i="31"/>
  <c r="AE60" i="31" s="1"/>
  <c r="Y60" i="31"/>
  <c r="X60" i="31"/>
  <c r="AB59" i="31"/>
  <c r="AA59" i="31"/>
  <c r="Z59" i="31"/>
  <c r="Y59" i="31"/>
  <c r="X59" i="31"/>
  <c r="AB58" i="31"/>
  <c r="AA58" i="31"/>
  <c r="Z58" i="31"/>
  <c r="Y58" i="31"/>
  <c r="X58" i="31"/>
  <c r="AB100" i="30"/>
  <c r="AA100" i="30"/>
  <c r="Z100" i="30"/>
  <c r="Y100" i="30"/>
  <c r="X100" i="30"/>
  <c r="AB99" i="30"/>
  <c r="AA99" i="30"/>
  <c r="Z99" i="30"/>
  <c r="Y99" i="30"/>
  <c r="X99" i="30"/>
  <c r="AB98" i="30"/>
  <c r="AA98" i="30"/>
  <c r="Z98" i="30"/>
  <c r="AC98" i="30" s="1"/>
  <c r="Y98" i="30"/>
  <c r="X98" i="30"/>
  <c r="AB97" i="30"/>
  <c r="AA97" i="30"/>
  <c r="Z97" i="30"/>
  <c r="Y97" i="30"/>
  <c r="X97" i="30"/>
  <c r="AB96" i="30"/>
  <c r="AA96" i="30"/>
  <c r="Z96" i="30"/>
  <c r="Y96" i="30"/>
  <c r="X96" i="30"/>
  <c r="AB95" i="30"/>
  <c r="AA95" i="30"/>
  <c r="Z95" i="30"/>
  <c r="Y95" i="30"/>
  <c r="X95" i="30"/>
  <c r="AB94" i="30"/>
  <c r="AA94" i="30"/>
  <c r="Z94" i="30"/>
  <c r="AC94" i="30" s="1"/>
  <c r="Y94" i="30"/>
  <c r="X94" i="30"/>
  <c r="AB93" i="30"/>
  <c r="AA93" i="30"/>
  <c r="Z93" i="30"/>
  <c r="Y93" i="30"/>
  <c r="X93" i="30"/>
  <c r="AB92" i="30"/>
  <c r="AA92" i="30"/>
  <c r="Z92" i="30"/>
  <c r="Y92" i="30"/>
  <c r="X92" i="30"/>
  <c r="AB91" i="30"/>
  <c r="AA91" i="30"/>
  <c r="Z91" i="30"/>
  <c r="Y91" i="30"/>
  <c r="X91" i="30"/>
  <c r="AB90" i="30"/>
  <c r="AA90" i="30"/>
  <c r="Z90" i="30"/>
  <c r="AC90" i="30" s="1"/>
  <c r="Y90" i="30"/>
  <c r="X90" i="30"/>
  <c r="AB89" i="30"/>
  <c r="AA89" i="30"/>
  <c r="Z89" i="30"/>
  <c r="Y89" i="30"/>
  <c r="X89" i="30"/>
  <c r="AB88" i="30"/>
  <c r="AA88" i="30"/>
  <c r="Z88" i="30"/>
  <c r="Y88" i="30"/>
  <c r="X88" i="30"/>
  <c r="AB87" i="30"/>
  <c r="AA87" i="30"/>
  <c r="Z87" i="30"/>
  <c r="Y87" i="30"/>
  <c r="X87" i="30"/>
  <c r="AB86" i="30"/>
  <c r="AA86" i="30"/>
  <c r="Z86" i="30"/>
  <c r="AC86" i="30" s="1"/>
  <c r="Y86" i="30"/>
  <c r="X86" i="30"/>
  <c r="AB85" i="30"/>
  <c r="AA85" i="30"/>
  <c r="Z85" i="30"/>
  <c r="Y85" i="30"/>
  <c r="X85" i="30"/>
  <c r="AB84" i="30"/>
  <c r="AA84" i="30"/>
  <c r="Z84" i="30"/>
  <c r="Y84" i="30"/>
  <c r="X84" i="30"/>
  <c r="AB83" i="30"/>
  <c r="AA83" i="30"/>
  <c r="Z83" i="30"/>
  <c r="Y83" i="30"/>
  <c r="X83" i="30"/>
  <c r="AB82" i="30"/>
  <c r="AA82" i="30"/>
  <c r="Z82" i="30"/>
  <c r="AC82" i="30" s="1"/>
  <c r="Y82" i="30"/>
  <c r="X82" i="30"/>
  <c r="AB81" i="30"/>
  <c r="AA81" i="30"/>
  <c r="Z81" i="30"/>
  <c r="Y81" i="30"/>
  <c r="X81" i="30"/>
  <c r="AB77" i="30"/>
  <c r="AA77" i="30"/>
  <c r="Z77" i="30"/>
  <c r="Y77" i="30"/>
  <c r="X77" i="30"/>
  <c r="AB76" i="30"/>
  <c r="AA76" i="30"/>
  <c r="Z76" i="30"/>
  <c r="AE76" i="30" s="1"/>
  <c r="Y76" i="30"/>
  <c r="X76" i="30"/>
  <c r="AB75" i="30"/>
  <c r="AA75" i="30"/>
  <c r="Z75" i="30"/>
  <c r="Y75" i="30"/>
  <c r="X75" i="30"/>
  <c r="AB74" i="30"/>
  <c r="AA74" i="30"/>
  <c r="Z74" i="30"/>
  <c r="Y74" i="30"/>
  <c r="X74" i="30"/>
  <c r="AB73" i="30"/>
  <c r="AA73" i="30"/>
  <c r="Z73" i="30"/>
  <c r="Y73" i="30"/>
  <c r="X73" i="30"/>
  <c r="AB72" i="30"/>
  <c r="AA72" i="30"/>
  <c r="Z72" i="30"/>
  <c r="AE72" i="30" s="1"/>
  <c r="Y72" i="30"/>
  <c r="X72" i="30"/>
  <c r="AB71" i="30"/>
  <c r="AA71" i="30"/>
  <c r="Z71" i="30"/>
  <c r="Y71" i="30"/>
  <c r="X71" i="30"/>
  <c r="AB70" i="30"/>
  <c r="AA70" i="30"/>
  <c r="Z70" i="30"/>
  <c r="Y70" i="30"/>
  <c r="X70" i="30"/>
  <c r="AB69" i="30"/>
  <c r="AA69" i="30"/>
  <c r="Z69" i="30"/>
  <c r="Y69" i="30"/>
  <c r="X69" i="30"/>
  <c r="AB68" i="30"/>
  <c r="AA68" i="30"/>
  <c r="Z68" i="30"/>
  <c r="AE68" i="30" s="1"/>
  <c r="Y68" i="30"/>
  <c r="X68" i="30"/>
  <c r="AB67" i="30"/>
  <c r="AA67" i="30"/>
  <c r="Z67" i="30"/>
  <c r="Y67" i="30"/>
  <c r="X67" i="30"/>
  <c r="AB66" i="30"/>
  <c r="AA66" i="30"/>
  <c r="Z66" i="30"/>
  <c r="Y66" i="30"/>
  <c r="X66" i="30"/>
  <c r="AB65" i="30"/>
  <c r="AA65" i="30"/>
  <c r="Z65" i="30"/>
  <c r="Y65" i="30"/>
  <c r="X65" i="30"/>
  <c r="AB64" i="30"/>
  <c r="AA64" i="30"/>
  <c r="Z64" i="30"/>
  <c r="AE64" i="30" s="1"/>
  <c r="Y64" i="30"/>
  <c r="X64" i="30"/>
  <c r="AB63" i="30"/>
  <c r="AA63" i="30"/>
  <c r="Z63" i="30"/>
  <c r="Y63" i="30"/>
  <c r="X63" i="30"/>
  <c r="AB62" i="30"/>
  <c r="AA62" i="30"/>
  <c r="Z62" i="30"/>
  <c r="Y62" i="30"/>
  <c r="X62" i="30"/>
  <c r="AB61" i="30"/>
  <c r="AA61" i="30"/>
  <c r="Z61" i="30"/>
  <c r="Y61" i="30"/>
  <c r="X61" i="30"/>
  <c r="AB60" i="30"/>
  <c r="AA60" i="30"/>
  <c r="Z60" i="30"/>
  <c r="AE60" i="30" s="1"/>
  <c r="Y60" i="30"/>
  <c r="X60" i="30"/>
  <c r="AB59" i="30"/>
  <c r="AA59" i="30"/>
  <c r="Z59" i="30"/>
  <c r="Y59" i="30"/>
  <c r="X59" i="30"/>
  <c r="AB58" i="30"/>
  <c r="AA58" i="30"/>
  <c r="Z58" i="30"/>
  <c r="Y58" i="30"/>
  <c r="X58" i="30"/>
  <c r="AB100" i="22"/>
  <c r="AA100" i="22"/>
  <c r="Z100" i="22"/>
  <c r="Y100" i="22"/>
  <c r="AB99" i="22"/>
  <c r="AA99" i="22"/>
  <c r="Z99" i="22"/>
  <c r="Y99" i="22"/>
  <c r="AB98" i="22"/>
  <c r="AA98" i="22"/>
  <c r="Z98" i="22"/>
  <c r="Y98" i="22"/>
  <c r="AB97" i="22"/>
  <c r="AA97" i="22"/>
  <c r="Z97" i="22"/>
  <c r="Y97" i="22"/>
  <c r="AB96" i="22"/>
  <c r="AA96" i="22"/>
  <c r="Z96" i="22"/>
  <c r="Y96" i="22"/>
  <c r="AB95" i="22"/>
  <c r="AA95" i="22"/>
  <c r="Z95" i="22"/>
  <c r="Y95" i="22"/>
  <c r="AB94" i="22"/>
  <c r="AA94" i="22"/>
  <c r="Z94" i="22"/>
  <c r="Y94" i="22"/>
  <c r="AB93" i="22"/>
  <c r="AA93" i="22"/>
  <c r="Z93" i="22"/>
  <c r="Y93" i="22"/>
  <c r="AB92" i="22"/>
  <c r="AA92" i="22"/>
  <c r="Z92" i="22"/>
  <c r="Y92" i="22"/>
  <c r="AB91" i="22"/>
  <c r="AA91" i="22"/>
  <c r="Z91" i="22"/>
  <c r="Y91" i="22"/>
  <c r="AB90" i="22"/>
  <c r="AA90" i="22"/>
  <c r="Z90" i="22"/>
  <c r="Y90" i="22"/>
  <c r="AB89" i="22"/>
  <c r="AA89" i="22"/>
  <c r="Z89" i="22"/>
  <c r="Y89" i="22"/>
  <c r="AB88" i="22"/>
  <c r="AA88" i="22"/>
  <c r="Z88" i="22"/>
  <c r="Y88" i="22"/>
  <c r="AB87" i="22"/>
  <c r="AA87" i="22"/>
  <c r="Z87" i="22"/>
  <c r="Y87" i="22"/>
  <c r="AB86" i="22"/>
  <c r="AA86" i="22"/>
  <c r="Z86" i="22"/>
  <c r="Y86" i="22"/>
  <c r="AB85" i="22"/>
  <c r="AA85" i="22"/>
  <c r="Z85" i="22"/>
  <c r="Y85" i="22"/>
  <c r="AB84" i="22"/>
  <c r="AA84" i="22"/>
  <c r="Z84" i="22"/>
  <c r="Y84" i="22"/>
  <c r="AB83" i="22"/>
  <c r="AA83" i="22"/>
  <c r="Z83" i="22"/>
  <c r="Y83" i="22"/>
  <c r="AB82" i="22"/>
  <c r="AA82" i="22"/>
  <c r="Z82" i="22"/>
  <c r="Y82" i="22"/>
  <c r="AB81" i="22"/>
  <c r="AA81" i="22"/>
  <c r="Z81" i="22"/>
  <c r="Y81" i="22"/>
  <c r="AB77" i="22"/>
  <c r="AA77" i="22"/>
  <c r="Z77" i="22"/>
  <c r="Y77" i="22"/>
  <c r="AB76" i="22"/>
  <c r="AA76" i="22"/>
  <c r="Z76" i="22"/>
  <c r="Y76" i="22"/>
  <c r="AB75" i="22"/>
  <c r="AA75" i="22"/>
  <c r="Z75" i="22"/>
  <c r="Y75" i="22"/>
  <c r="AB74" i="22"/>
  <c r="AA74" i="22"/>
  <c r="Z74" i="22"/>
  <c r="Y74" i="22"/>
  <c r="AB73" i="22"/>
  <c r="AA73" i="22"/>
  <c r="Z73" i="22"/>
  <c r="Y73" i="22"/>
  <c r="AB72" i="22"/>
  <c r="AA72" i="22"/>
  <c r="Z72" i="22"/>
  <c r="Y72" i="22"/>
  <c r="AB71" i="22"/>
  <c r="AA71" i="22"/>
  <c r="Z71" i="22"/>
  <c r="Y71" i="22"/>
  <c r="AB70" i="22"/>
  <c r="AA70" i="22"/>
  <c r="Z70" i="22"/>
  <c r="Y70" i="22"/>
  <c r="AB69" i="22"/>
  <c r="AA69" i="22"/>
  <c r="Z69" i="22"/>
  <c r="Y69" i="22"/>
  <c r="AB68" i="22"/>
  <c r="AA68" i="22"/>
  <c r="Z68" i="22"/>
  <c r="Y68" i="22"/>
  <c r="AB67" i="22"/>
  <c r="AA67" i="22"/>
  <c r="Z67" i="22"/>
  <c r="Y67" i="22"/>
  <c r="AB66" i="22"/>
  <c r="AA66" i="22"/>
  <c r="Z66" i="22"/>
  <c r="Y66" i="22"/>
  <c r="AB65" i="22"/>
  <c r="AA65" i="22"/>
  <c r="Z65" i="22"/>
  <c r="Y65" i="22"/>
  <c r="AB64" i="22"/>
  <c r="AA64" i="22"/>
  <c r="Z64" i="22"/>
  <c r="Y64" i="22"/>
  <c r="AB63" i="22"/>
  <c r="AA63" i="22"/>
  <c r="Z63" i="22"/>
  <c r="Y63" i="22"/>
  <c r="AB62" i="22"/>
  <c r="AA62" i="22"/>
  <c r="Z62" i="22"/>
  <c r="Y62" i="22"/>
  <c r="AB61" i="22"/>
  <c r="AA61" i="22"/>
  <c r="Z61" i="22"/>
  <c r="Y61" i="22"/>
  <c r="AB60" i="22"/>
  <c r="AA60" i="22"/>
  <c r="Z60" i="22"/>
  <c r="Y60" i="22"/>
  <c r="AB59" i="22"/>
  <c r="AA59" i="22"/>
  <c r="Z59" i="22"/>
  <c r="Y59" i="22"/>
  <c r="AB58" i="22"/>
  <c r="AA58" i="22"/>
  <c r="Z58" i="22"/>
  <c r="Y58" i="22"/>
  <c r="X100" i="22"/>
  <c r="X99" i="22"/>
  <c r="X98" i="22"/>
  <c r="X97" i="22"/>
  <c r="X96" i="22"/>
  <c r="X95" i="22"/>
  <c r="X94" i="22"/>
  <c r="X93" i="22"/>
  <c r="X92" i="22"/>
  <c r="X91" i="22"/>
  <c r="X90" i="22"/>
  <c r="X89" i="22"/>
  <c r="X88" i="22"/>
  <c r="X87" i="22"/>
  <c r="X86" i="22"/>
  <c r="X85" i="22"/>
  <c r="X84" i="22"/>
  <c r="X83" i="22"/>
  <c r="X82" i="22"/>
  <c r="X81" i="22"/>
  <c r="X77" i="22"/>
  <c r="X76" i="22"/>
  <c r="X75" i="22"/>
  <c r="X74" i="22"/>
  <c r="X73" i="22"/>
  <c r="X72" i="22"/>
  <c r="X71" i="22"/>
  <c r="X70" i="22"/>
  <c r="X69" i="22"/>
  <c r="X68" i="22"/>
  <c r="X67" i="22"/>
  <c r="X66" i="22"/>
  <c r="X65" i="22"/>
  <c r="X64" i="22"/>
  <c r="X63" i="22"/>
  <c r="X62" i="22"/>
  <c r="X61" i="22"/>
  <c r="X60" i="22"/>
  <c r="X59" i="22"/>
  <c r="X58" i="22"/>
  <c r="AE60" i="34" l="1"/>
  <c r="AE60" i="35"/>
  <c r="AE60" i="36"/>
  <c r="AE60" i="37"/>
  <c r="AE60" i="38"/>
  <c r="AE60" i="39"/>
  <c r="AE58" i="22"/>
  <c r="AE59" i="22"/>
  <c r="AE60" i="22"/>
  <c r="AE61" i="22"/>
  <c r="AE62" i="22"/>
  <c r="AE63" i="22"/>
  <c r="AE64" i="22"/>
  <c r="AE65" i="22"/>
  <c r="AE66" i="22"/>
  <c r="AE67" i="22"/>
  <c r="AE68" i="22"/>
  <c r="AE69" i="22"/>
  <c r="AE70" i="22"/>
  <c r="AE71" i="22"/>
  <c r="AE72" i="22"/>
  <c r="AE73" i="22"/>
  <c r="AE74" i="22"/>
  <c r="AE75" i="22"/>
  <c r="AE76" i="22"/>
  <c r="AE77" i="22"/>
  <c r="AE61" i="30"/>
  <c r="AE65" i="30"/>
  <c r="AE61" i="31"/>
  <c r="AE65" i="31"/>
  <c r="AE77" i="31"/>
  <c r="AE61" i="32"/>
  <c r="AE65" i="32"/>
  <c r="AE69" i="32"/>
  <c r="AE73" i="32"/>
  <c r="AE77" i="32"/>
  <c r="AE61" i="33"/>
  <c r="AE65" i="33"/>
  <c r="AE69" i="33"/>
  <c r="AE73" i="33"/>
  <c r="AE77" i="33"/>
  <c r="AE61" i="34"/>
  <c r="AE65" i="34"/>
  <c r="AE69" i="34"/>
  <c r="AE73" i="34"/>
  <c r="AE77" i="34"/>
  <c r="AE61" i="35"/>
  <c r="AE65" i="35"/>
  <c r="AE69" i="35"/>
  <c r="AE73" i="35"/>
  <c r="AE77" i="35"/>
  <c r="AE61" i="36"/>
  <c r="AE65" i="36"/>
  <c r="AE69" i="36"/>
  <c r="AE73" i="36"/>
  <c r="AE77" i="36"/>
  <c r="AE61" i="37"/>
  <c r="AE65" i="37"/>
  <c r="AE69" i="37"/>
  <c r="AE73" i="37"/>
  <c r="AE77" i="37"/>
  <c r="AE61" i="38"/>
  <c r="AE65" i="38"/>
  <c r="AE69" i="38"/>
  <c r="AE73" i="38"/>
  <c r="AE77" i="38"/>
  <c r="AE61" i="39"/>
  <c r="AE65" i="39"/>
  <c r="AE69" i="39"/>
  <c r="AE73" i="39"/>
  <c r="AE77" i="39"/>
  <c r="AC69" i="30"/>
  <c r="AE69" i="30"/>
  <c r="AC77" i="30"/>
  <c r="AE77" i="30"/>
  <c r="AE59" i="30"/>
  <c r="AE63" i="30"/>
  <c r="AC67" i="30"/>
  <c r="AE67" i="30"/>
  <c r="AC71" i="30"/>
  <c r="AE71" i="30"/>
  <c r="AE75" i="30"/>
  <c r="AE59" i="31"/>
  <c r="AE63" i="31"/>
  <c r="AC67" i="31"/>
  <c r="AE67" i="31"/>
  <c r="AC71" i="31"/>
  <c r="AE71" i="31"/>
  <c r="AE75" i="31"/>
  <c r="AE59" i="32"/>
  <c r="AE63" i="32"/>
  <c r="AC67" i="32"/>
  <c r="AE67" i="32"/>
  <c r="AC71" i="32"/>
  <c r="AE71" i="32"/>
  <c r="AE75" i="32"/>
  <c r="AE59" i="33"/>
  <c r="AE63" i="33"/>
  <c r="AE67" i="33"/>
  <c r="AE71" i="33"/>
  <c r="AE75" i="33"/>
  <c r="AE59" i="34"/>
  <c r="AE63" i="34"/>
  <c r="AE67" i="34"/>
  <c r="AE71" i="34"/>
  <c r="AE75" i="34"/>
  <c r="AE59" i="35"/>
  <c r="AE63" i="35"/>
  <c r="AE67" i="35"/>
  <c r="AE71" i="35"/>
  <c r="AE75" i="35"/>
  <c r="AE59" i="36"/>
  <c r="AE63" i="36"/>
  <c r="AE67" i="36"/>
  <c r="AE71" i="36"/>
  <c r="AE75" i="36"/>
  <c r="AE59" i="37"/>
  <c r="AE63" i="37"/>
  <c r="AE67" i="37"/>
  <c r="AE71" i="37"/>
  <c r="AE75" i="37"/>
  <c r="AE59" i="38"/>
  <c r="AE63" i="38"/>
  <c r="AE67" i="38"/>
  <c r="AE71" i="38"/>
  <c r="AE75" i="38"/>
  <c r="AE59" i="39"/>
  <c r="AE63" i="39"/>
  <c r="AE67" i="39"/>
  <c r="AE71" i="39"/>
  <c r="AE75" i="39"/>
  <c r="AC73" i="30"/>
  <c r="AE73" i="30"/>
  <c r="AC69" i="31"/>
  <c r="AE69" i="31"/>
  <c r="AC73" i="31"/>
  <c r="AE73" i="31"/>
  <c r="AE58" i="30"/>
  <c r="AE62" i="30"/>
  <c r="AE66" i="30"/>
  <c r="AE70" i="30"/>
  <c r="AE74" i="30"/>
  <c r="AE58" i="31"/>
  <c r="AE62" i="31"/>
  <c r="AE66" i="31"/>
  <c r="AE70" i="31"/>
  <c r="AE74" i="31"/>
  <c r="AE58" i="32"/>
  <c r="AE62" i="32"/>
  <c r="AE66" i="32"/>
  <c r="AE70" i="32"/>
  <c r="AE74" i="32"/>
  <c r="AE58" i="33"/>
  <c r="AE62" i="33"/>
  <c r="AE66" i="33"/>
  <c r="AE70" i="33"/>
  <c r="AE74" i="33"/>
  <c r="AE58" i="34"/>
  <c r="AE62" i="34"/>
  <c r="AE66" i="34"/>
  <c r="AE70" i="34"/>
  <c r="AE74" i="34"/>
  <c r="AE58" i="35"/>
  <c r="AE62" i="35"/>
  <c r="AE66" i="35"/>
  <c r="AE70" i="35"/>
  <c r="AE74" i="35"/>
  <c r="AE58" i="36"/>
  <c r="AE62" i="36"/>
  <c r="AE66" i="36"/>
  <c r="AE70" i="36"/>
  <c r="AE74" i="36"/>
  <c r="AE58" i="37"/>
  <c r="AE62" i="37"/>
  <c r="AE66" i="37"/>
  <c r="AE70" i="37"/>
  <c r="AE74" i="37"/>
  <c r="AE58" i="38"/>
  <c r="AE62" i="38"/>
  <c r="AE66" i="38"/>
  <c r="AE70" i="38"/>
  <c r="AE74" i="38"/>
  <c r="AE58" i="39"/>
  <c r="AE62" i="39"/>
  <c r="AE66" i="39"/>
  <c r="AE70" i="39"/>
  <c r="AE74" i="39"/>
  <c r="AC94" i="37"/>
  <c r="AC77" i="31"/>
  <c r="AC69" i="33"/>
  <c r="AC73" i="33"/>
  <c r="AC77" i="33"/>
  <c r="AC69" i="34"/>
  <c r="AC90" i="32"/>
  <c r="AC94" i="32"/>
  <c r="AC98" i="32"/>
  <c r="AC67" i="33"/>
  <c r="AC98" i="37"/>
  <c r="AC73" i="34"/>
  <c r="AC67" i="38"/>
  <c r="AC71" i="33"/>
  <c r="AC82" i="33"/>
  <c r="AC86" i="33"/>
  <c r="AC90" i="33"/>
  <c r="AC94" i="33"/>
  <c r="AC98" i="33"/>
  <c r="AC67" i="34"/>
  <c r="AC71" i="34"/>
  <c r="AC82" i="34"/>
  <c r="AC86" i="34"/>
  <c r="AC90" i="34"/>
  <c r="AC94" i="34"/>
  <c r="AC98" i="34"/>
  <c r="AC67" i="36"/>
  <c r="AC71" i="36"/>
  <c r="AC82" i="36"/>
  <c r="AC86" i="36"/>
  <c r="AC90" i="36"/>
  <c r="AC94" i="36"/>
  <c r="AC98" i="36"/>
  <c r="AC67" i="37"/>
  <c r="AC71" i="37"/>
  <c r="AC82" i="37"/>
  <c r="AC86" i="37"/>
  <c r="AC90" i="37"/>
  <c r="AC82" i="38"/>
  <c r="AC86" i="38"/>
  <c r="AC90" i="38"/>
  <c r="AC94" i="38"/>
  <c r="AC98" i="38"/>
  <c r="AC82" i="39"/>
  <c r="AC86" i="39"/>
  <c r="AC90" i="39"/>
  <c r="AC94" i="39"/>
  <c r="AC98" i="39"/>
  <c r="AC91" i="36"/>
  <c r="AC95" i="36"/>
  <c r="AC91" i="37"/>
  <c r="AC95" i="37"/>
  <c r="AC91" i="38"/>
  <c r="AC77" i="34"/>
  <c r="AC69" i="32"/>
  <c r="AC73" i="32"/>
  <c r="AC77" i="32"/>
  <c r="AC91" i="31"/>
  <c r="AC91" i="32"/>
  <c r="AC95" i="32"/>
  <c r="AC91" i="33"/>
  <c r="AC95" i="33"/>
  <c r="AC95" i="38"/>
  <c r="AC69" i="36"/>
  <c r="AC73" i="36"/>
  <c r="AC77" i="36"/>
  <c r="AC69" i="37"/>
  <c r="AC73" i="37"/>
  <c r="AC77" i="37"/>
  <c r="AC69" i="38"/>
  <c r="AC73" i="38"/>
  <c r="AC77" i="38"/>
  <c r="AC69" i="39"/>
  <c r="AC73" i="39"/>
  <c r="AC77" i="39"/>
  <c r="AC91" i="30"/>
  <c r="AC95" i="30"/>
  <c r="AC99" i="30"/>
  <c r="AC95" i="31"/>
  <c r="AC99" i="31"/>
  <c r="AC99" i="32"/>
  <c r="AC99" i="33"/>
  <c r="AC70" i="37"/>
  <c r="AC70" i="38"/>
  <c r="AC70" i="39"/>
  <c r="AC91" i="34"/>
  <c r="AC95" i="34"/>
  <c r="AC91" i="39"/>
  <c r="AC95" i="39"/>
  <c r="AC92" i="30"/>
  <c r="AC96" i="30"/>
  <c r="AC92" i="31"/>
  <c r="AC96" i="31"/>
  <c r="AC92" i="32"/>
  <c r="AC96" i="32"/>
  <c r="AC92" i="33"/>
  <c r="AC96" i="33"/>
  <c r="AC92" i="34"/>
  <c r="AC96" i="34"/>
  <c r="AC92" i="36"/>
  <c r="AC96" i="36"/>
  <c r="AC92" i="37"/>
  <c r="AC96" i="37"/>
  <c r="AC92" i="38"/>
  <c r="AC96" i="38"/>
  <c r="AC92" i="39"/>
  <c r="AC96" i="39"/>
  <c r="AC100" i="39"/>
  <c r="AC89" i="30"/>
  <c r="AC93" i="30"/>
  <c r="AC97" i="30"/>
  <c r="AC89" i="31"/>
  <c r="AC93" i="31"/>
  <c r="AC97" i="31"/>
  <c r="AC89" i="32"/>
  <c r="AC93" i="32"/>
  <c r="AC97" i="32"/>
  <c r="AC89" i="33"/>
  <c r="AC93" i="33"/>
  <c r="AC97" i="33"/>
  <c r="AC89" i="34"/>
  <c r="AC93" i="34"/>
  <c r="AC97" i="34"/>
  <c r="AC89" i="36"/>
  <c r="AC93" i="36"/>
  <c r="AC97" i="36"/>
  <c r="AC89" i="37"/>
  <c r="AC93" i="37"/>
  <c r="AC97" i="37"/>
  <c r="AC89" i="38"/>
  <c r="AC93" i="38"/>
  <c r="AC97" i="38"/>
  <c r="AC89" i="39"/>
  <c r="AC93" i="39"/>
  <c r="AC71" i="38"/>
  <c r="AC67" i="39"/>
  <c r="AC71" i="39"/>
  <c r="AC75" i="39"/>
  <c r="AC60" i="30"/>
  <c r="AC64" i="30"/>
  <c r="AC68" i="30"/>
  <c r="AC72" i="30"/>
  <c r="AC68" i="31"/>
  <c r="AC72" i="31"/>
  <c r="AC68" i="32"/>
  <c r="AC72" i="32"/>
  <c r="AC68" i="33"/>
  <c r="AC72" i="33"/>
  <c r="AC68" i="34"/>
  <c r="AC72" i="34"/>
  <c r="AC68" i="36"/>
  <c r="AC72" i="36"/>
  <c r="AC68" i="37"/>
  <c r="AC72" i="37"/>
  <c r="AC68" i="38"/>
  <c r="AC72" i="38"/>
  <c r="AC68" i="39"/>
  <c r="AC72" i="39"/>
  <c r="AC70" i="30"/>
  <c r="AC70" i="31"/>
  <c r="AC70" i="32"/>
  <c r="AC70" i="33"/>
  <c r="AC70" i="34"/>
  <c r="AC70" i="36"/>
  <c r="AC75" i="22"/>
  <c r="AD75" i="22" s="1"/>
  <c r="AC76" i="22"/>
  <c r="AD76" i="22" s="1"/>
  <c r="AC66" i="30"/>
  <c r="AC66" i="31"/>
  <c r="AC66" i="32"/>
  <c r="AC66" i="33"/>
  <c r="AC66" i="34"/>
  <c r="AC58" i="36"/>
  <c r="AC66" i="36"/>
  <c r="AC58" i="37"/>
  <c r="AC66" i="37"/>
  <c r="AC58" i="38"/>
  <c r="AC66" i="38"/>
  <c r="AC58" i="39"/>
  <c r="AC66" i="39"/>
  <c r="AC77" i="22"/>
  <c r="AD77" i="22" s="1"/>
  <c r="AC75" i="30"/>
  <c r="AC75" i="31"/>
  <c r="AC75" i="32"/>
  <c r="AC75" i="33"/>
  <c r="AC75" i="34"/>
  <c r="AC75" i="36"/>
  <c r="AC75" i="37"/>
  <c r="AC75" i="38"/>
  <c r="AC76" i="30"/>
  <c r="AC60" i="31"/>
  <c r="AC64" i="31"/>
  <c r="AC76" i="31"/>
  <c r="AC60" i="32"/>
  <c r="AC64" i="32"/>
  <c r="AC76" i="32"/>
  <c r="AC60" i="33"/>
  <c r="AC64" i="33"/>
  <c r="AC76" i="33"/>
  <c r="AC60" i="34"/>
  <c r="AC64" i="34"/>
  <c r="AC76" i="34"/>
  <c r="AC60" i="36"/>
  <c r="AC64" i="36"/>
  <c r="AC76" i="36"/>
  <c r="AC60" i="37"/>
  <c r="AC76" i="37"/>
  <c r="AC60" i="38"/>
  <c r="AC64" i="38"/>
  <c r="AC76" i="38"/>
  <c r="AC60" i="39"/>
  <c r="AC64" i="39"/>
  <c r="AC76" i="39"/>
  <c r="AC74" i="22"/>
  <c r="AD74" i="22" s="1"/>
  <c r="AC74" i="30"/>
  <c r="AC74" i="31"/>
  <c r="AC74" i="32"/>
  <c r="AC74" i="33"/>
  <c r="AC74" i="34"/>
  <c r="AC74" i="36"/>
  <c r="AC74" i="37"/>
  <c r="AC74" i="38"/>
  <c r="AC74" i="39"/>
  <c r="AC99" i="34"/>
  <c r="AC99" i="36"/>
  <c r="AC99" i="37"/>
  <c r="AC99" i="38"/>
  <c r="AC99" i="39"/>
  <c r="AC97" i="22"/>
  <c r="AD97" i="22" s="1"/>
  <c r="AC98" i="22"/>
  <c r="AD98" i="22" s="1"/>
  <c r="AC99" i="22"/>
  <c r="AD99" i="22" s="1"/>
  <c r="AC100" i="22"/>
  <c r="AD100" i="22" s="1"/>
  <c r="AC100" i="30"/>
  <c r="AC100" i="31"/>
  <c r="AC100" i="32"/>
  <c r="AC100" i="33"/>
  <c r="AC100" i="34"/>
  <c r="AC100" i="36"/>
  <c r="AC100" i="37"/>
  <c r="AC100" i="38"/>
  <c r="AC97" i="39"/>
  <c r="AC59" i="30"/>
  <c r="AC63" i="30"/>
  <c r="AC59" i="31"/>
  <c r="AC63" i="31"/>
  <c r="AC59" i="32"/>
  <c r="AC63" i="32"/>
  <c r="AC59" i="33"/>
  <c r="AC63" i="33"/>
  <c r="AC59" i="34"/>
  <c r="AC63" i="34"/>
  <c r="AC59" i="36"/>
  <c r="AC63" i="36"/>
  <c r="AC59" i="37"/>
  <c r="AC63" i="37"/>
  <c r="AC59" i="38"/>
  <c r="AC63" i="38"/>
  <c r="AC59" i="39"/>
  <c r="AC65" i="37"/>
  <c r="AC61" i="38"/>
  <c r="AC65" i="38"/>
  <c r="AC61" i="39"/>
  <c r="AC65" i="39"/>
  <c r="AC58" i="30"/>
  <c r="AC58" i="31"/>
  <c r="AC58" i="32"/>
  <c r="AC58" i="33"/>
  <c r="AC58" i="34"/>
  <c r="AC63" i="39"/>
  <c r="AC64" i="37"/>
  <c r="AC81" i="30"/>
  <c r="AC85" i="30"/>
  <c r="AC81" i="31"/>
  <c r="AC85" i="31"/>
  <c r="AC81" i="32"/>
  <c r="AC85" i="32"/>
  <c r="AC81" i="33"/>
  <c r="AC85" i="33"/>
  <c r="AC81" i="34"/>
  <c r="AC85" i="34"/>
  <c r="AC81" i="36"/>
  <c r="AC85" i="36"/>
  <c r="AC83" i="30"/>
  <c r="AC87" i="30"/>
  <c r="AC83" i="31"/>
  <c r="AC87" i="31"/>
  <c r="AC83" i="32"/>
  <c r="AC87" i="32"/>
  <c r="AC83" i="33"/>
  <c r="AC87" i="33"/>
  <c r="AC83" i="34"/>
  <c r="AC87" i="34"/>
  <c r="AC83" i="36"/>
  <c r="AC87" i="36"/>
  <c r="AC83" i="37"/>
  <c r="AC87" i="37"/>
  <c r="AC83" i="38"/>
  <c r="AC87" i="38"/>
  <c r="AC83" i="39"/>
  <c r="AC87" i="39"/>
  <c r="AC84" i="30"/>
  <c r="AC88" i="30"/>
  <c r="AC84" i="31"/>
  <c r="AC88" i="31"/>
  <c r="AC84" i="32"/>
  <c r="AC88" i="32"/>
  <c r="AC84" i="33"/>
  <c r="AC88" i="33"/>
  <c r="AC84" i="34"/>
  <c r="AC88" i="34"/>
  <c r="AC84" i="36"/>
  <c r="AC88" i="36"/>
  <c r="AC84" i="37"/>
  <c r="AC88" i="37"/>
  <c r="AC84" i="38"/>
  <c r="AC88" i="38"/>
  <c r="AC84" i="39"/>
  <c r="AC88" i="39"/>
  <c r="AC81" i="37"/>
  <c r="AC85" i="37"/>
  <c r="AC81" i="38"/>
  <c r="AC85" i="38"/>
  <c r="AC81" i="39"/>
  <c r="AC85" i="39"/>
  <c r="AC61" i="30"/>
  <c r="AC65" i="30"/>
  <c r="AC61" i="31"/>
  <c r="AC65" i="31"/>
  <c r="AC61" i="32"/>
  <c r="AC65" i="32"/>
  <c r="AC61" i="33"/>
  <c r="AC65" i="33"/>
  <c r="AC61" i="34"/>
  <c r="AC65" i="34"/>
  <c r="AC61" i="36"/>
  <c r="AC65" i="36"/>
  <c r="AC61" i="37"/>
  <c r="AC62" i="30"/>
  <c r="AC62" i="31"/>
  <c r="AC62" i="32"/>
  <c r="AC62" i="33"/>
  <c r="AC62" i="34"/>
  <c r="AC62" i="36"/>
  <c r="AC62" i="37"/>
  <c r="AC62" i="38"/>
  <c r="AC62" i="39"/>
  <c r="AC66" i="22"/>
  <c r="AD66" i="22" s="1"/>
  <c r="AC67" i="22"/>
  <c r="AD67" i="22" s="1"/>
  <c r="AC68" i="22"/>
  <c r="AD68" i="22" s="1"/>
  <c r="AC69" i="22"/>
  <c r="AD69" i="22" s="1"/>
  <c r="AC70" i="22"/>
  <c r="AD70" i="22" s="1"/>
  <c r="AC71" i="22"/>
  <c r="AD71" i="22" s="1"/>
  <c r="AC72" i="22"/>
  <c r="AD72" i="22" s="1"/>
  <c r="AC73" i="22"/>
  <c r="AD73" i="22" s="1"/>
  <c r="AC89" i="22"/>
  <c r="AD89" i="22" s="1"/>
  <c r="AC90" i="22"/>
  <c r="AD90" i="22" s="1"/>
  <c r="AC91" i="22"/>
  <c r="AD91" i="22" s="1"/>
  <c r="AC92" i="22"/>
  <c r="AD92" i="22" s="1"/>
  <c r="AC93" i="22"/>
  <c r="AD93" i="22" s="1"/>
  <c r="AC94" i="22"/>
  <c r="AD94" i="22" s="1"/>
  <c r="AC95" i="22"/>
  <c r="AD95" i="22" s="1"/>
  <c r="AC96" i="22"/>
  <c r="AD96" i="22" s="1"/>
  <c r="G54" i="47"/>
  <c r="G52" i="47"/>
  <c r="F32" i="19"/>
  <c r="G32" i="19" s="1"/>
  <c r="H32" i="19" s="1"/>
  <c r="I32" i="19" s="1"/>
  <c r="J32" i="19" s="1"/>
  <c r="K32" i="19" s="1"/>
  <c r="L32" i="19" s="1"/>
  <c r="M32" i="19" s="1"/>
  <c r="N32" i="19" s="1"/>
  <c r="O32" i="19" s="1"/>
  <c r="P32" i="19" s="1"/>
  <c r="F28" i="19"/>
  <c r="G28" i="19" s="1"/>
  <c r="H28" i="19" s="1"/>
  <c r="I28" i="19" s="1"/>
  <c r="J28" i="19" s="1"/>
  <c r="K28" i="19" s="1"/>
  <c r="L28" i="19" s="1"/>
  <c r="M28" i="19" s="1"/>
  <c r="N28" i="19" s="1"/>
  <c r="O28" i="19" s="1"/>
  <c r="P28" i="19" s="1"/>
  <c r="F27" i="19"/>
  <c r="G27" i="19" s="1"/>
  <c r="H27" i="19" s="1"/>
  <c r="I27" i="19" s="1"/>
  <c r="J27" i="19" s="1"/>
  <c r="K27" i="19" s="1"/>
  <c r="L27" i="19" s="1"/>
  <c r="M27" i="19" s="1"/>
  <c r="N27" i="19" s="1"/>
  <c r="O27" i="19" s="1"/>
  <c r="P27" i="19" s="1"/>
  <c r="F26" i="19"/>
  <c r="G26" i="19" s="1"/>
  <c r="H26" i="19" s="1"/>
  <c r="I26" i="19" s="1"/>
  <c r="J26" i="19" s="1"/>
  <c r="K26" i="19" s="1"/>
  <c r="L26" i="19" s="1"/>
  <c r="M26" i="19" s="1"/>
  <c r="N26" i="19" s="1"/>
  <c r="O26" i="19" s="1"/>
  <c r="P26" i="19" s="1"/>
  <c r="F16" i="19"/>
  <c r="G16" i="19" s="1"/>
  <c r="H16" i="19" s="1"/>
  <c r="I16" i="19" s="1"/>
  <c r="J16" i="19" s="1"/>
  <c r="K16" i="19" s="1"/>
  <c r="L16" i="19" s="1"/>
  <c r="M16" i="19" s="1"/>
  <c r="N16" i="19" s="1"/>
  <c r="O16" i="19" s="1"/>
  <c r="P16" i="19" s="1"/>
  <c r="F15" i="19"/>
  <c r="G15" i="19" s="1"/>
  <c r="H15" i="19" s="1"/>
  <c r="I15" i="19" s="1"/>
  <c r="J15" i="19" s="1"/>
  <c r="K15" i="19" s="1"/>
  <c r="L15" i="19" s="1"/>
  <c r="M15" i="19" s="1"/>
  <c r="N15" i="19" s="1"/>
  <c r="O15" i="19" s="1"/>
  <c r="P15" i="19" s="1"/>
  <c r="F14" i="19"/>
  <c r="G14" i="19" s="1"/>
  <c r="H14" i="19" s="1"/>
  <c r="I14" i="19" s="1"/>
  <c r="J14" i="19" s="1"/>
  <c r="K14" i="19" s="1"/>
  <c r="L14" i="19" s="1"/>
  <c r="M14" i="19" s="1"/>
  <c r="N14" i="19" s="1"/>
  <c r="O14" i="19" s="1"/>
  <c r="P14" i="19" s="1"/>
  <c r="F13" i="19"/>
  <c r="G13" i="19" s="1"/>
  <c r="H13" i="19" s="1"/>
  <c r="I13" i="19" s="1"/>
  <c r="J13" i="19" s="1"/>
  <c r="K13" i="19" s="1"/>
  <c r="L13" i="19" s="1"/>
  <c r="M13" i="19" s="1"/>
  <c r="N13" i="19" s="1"/>
  <c r="O13" i="19" s="1"/>
  <c r="P13" i="19" s="1"/>
  <c r="F6" i="19"/>
  <c r="F7" i="19"/>
  <c r="G7" i="19" s="1"/>
  <c r="H7" i="19" s="1"/>
  <c r="I7" i="19" s="1"/>
  <c r="J7" i="19" s="1"/>
  <c r="F8" i="19"/>
  <c r="G8" i="19" s="1"/>
  <c r="H8" i="19" s="1"/>
  <c r="I8" i="19" s="1"/>
  <c r="J8" i="19" s="1"/>
  <c r="F9" i="19"/>
  <c r="G9" i="19" s="1"/>
  <c r="H9" i="19" s="1"/>
  <c r="I9" i="19" s="1"/>
  <c r="J9" i="19" s="1"/>
  <c r="F10" i="19"/>
  <c r="G10" i="19" s="1"/>
  <c r="H10" i="19" s="1"/>
  <c r="I10" i="19" s="1"/>
  <c r="J10" i="19" s="1"/>
  <c r="F5" i="19"/>
  <c r="G5" i="19" s="1"/>
  <c r="H5" i="19" s="1"/>
  <c r="I5" i="19" s="1"/>
  <c r="E10" i="1"/>
  <c r="B24" i="16"/>
  <c r="B23" i="16"/>
  <c r="B22" i="16"/>
  <c r="B21" i="16"/>
  <c r="B20" i="16"/>
  <c r="O82" i="22"/>
  <c r="P82" i="22"/>
  <c r="Q82" i="22"/>
  <c r="R82" i="22"/>
  <c r="S82" i="22"/>
  <c r="O83" i="22"/>
  <c r="P83" i="22"/>
  <c r="Q83" i="22"/>
  <c r="R83" i="22"/>
  <c r="S83" i="22"/>
  <c r="O84" i="22"/>
  <c r="P84" i="22"/>
  <c r="Q84" i="22"/>
  <c r="R84" i="22"/>
  <c r="S84" i="22"/>
  <c r="O85" i="22"/>
  <c r="P85" i="22"/>
  <c r="Q85" i="22"/>
  <c r="R85" i="22"/>
  <c r="S85" i="22"/>
  <c r="O86" i="22"/>
  <c r="P86" i="22"/>
  <c r="Q86" i="22"/>
  <c r="R86" i="22"/>
  <c r="S86" i="22"/>
  <c r="O87" i="22"/>
  <c r="P87" i="22"/>
  <c r="Q87" i="22"/>
  <c r="R87" i="22"/>
  <c r="S87" i="22"/>
  <c r="O88" i="22"/>
  <c r="P88" i="22"/>
  <c r="Q88" i="22"/>
  <c r="R88" i="22"/>
  <c r="S88" i="22"/>
  <c r="O89" i="22"/>
  <c r="P89" i="22"/>
  <c r="Q89" i="22"/>
  <c r="R89" i="22"/>
  <c r="S89" i="22"/>
  <c r="O90" i="22"/>
  <c r="P90" i="22"/>
  <c r="Q90" i="22"/>
  <c r="R90" i="22"/>
  <c r="S90" i="22"/>
  <c r="O91" i="22"/>
  <c r="P91" i="22"/>
  <c r="Q91" i="22"/>
  <c r="R91" i="22"/>
  <c r="S91" i="22"/>
  <c r="O92" i="22"/>
  <c r="P92" i="22"/>
  <c r="Q92" i="22"/>
  <c r="R92" i="22"/>
  <c r="S92" i="22"/>
  <c r="O93" i="22"/>
  <c r="P93" i="22"/>
  <c r="Q93" i="22"/>
  <c r="R93" i="22"/>
  <c r="S93" i="22"/>
  <c r="O94" i="22"/>
  <c r="P94" i="22"/>
  <c r="Q94" i="22"/>
  <c r="R94" i="22"/>
  <c r="S94" i="22"/>
  <c r="O95" i="22"/>
  <c r="P95" i="22"/>
  <c r="Q95" i="22"/>
  <c r="R95" i="22"/>
  <c r="S95" i="22"/>
  <c r="O96" i="22"/>
  <c r="P96" i="22"/>
  <c r="Q96" i="22"/>
  <c r="R96" i="22"/>
  <c r="S96" i="22"/>
  <c r="O97" i="22"/>
  <c r="P97" i="22"/>
  <c r="Q97" i="22"/>
  <c r="R97" i="22"/>
  <c r="S97" i="22"/>
  <c r="O98" i="22"/>
  <c r="P98" i="22"/>
  <c r="Q98" i="22"/>
  <c r="R98" i="22"/>
  <c r="S98" i="22"/>
  <c r="O99" i="22"/>
  <c r="P99" i="22"/>
  <c r="Q99" i="22"/>
  <c r="R99" i="22"/>
  <c r="S99" i="22"/>
  <c r="O100" i="22"/>
  <c r="P100" i="22"/>
  <c r="Q100" i="22"/>
  <c r="R100" i="22"/>
  <c r="S100" i="22"/>
  <c r="S81" i="22"/>
  <c r="R81" i="22"/>
  <c r="Q81" i="22"/>
  <c r="P81" i="22"/>
  <c r="O81" i="22"/>
  <c r="O59" i="22"/>
  <c r="P59" i="22"/>
  <c r="Q59" i="22"/>
  <c r="R59" i="22"/>
  <c r="S59" i="22"/>
  <c r="O60" i="22"/>
  <c r="P60" i="22"/>
  <c r="Q60" i="22"/>
  <c r="R60" i="22"/>
  <c r="S60" i="22"/>
  <c r="O61" i="22"/>
  <c r="P61" i="22"/>
  <c r="Q61" i="22"/>
  <c r="R61" i="22"/>
  <c r="S61" i="22"/>
  <c r="O62" i="22"/>
  <c r="P62" i="22"/>
  <c r="Q62" i="22"/>
  <c r="R62" i="22"/>
  <c r="S62" i="22"/>
  <c r="O63" i="22"/>
  <c r="P63" i="22"/>
  <c r="Q63" i="22"/>
  <c r="R63" i="22"/>
  <c r="S63" i="22"/>
  <c r="O64" i="22"/>
  <c r="P64" i="22"/>
  <c r="Q64" i="22"/>
  <c r="R64" i="22"/>
  <c r="S64" i="22"/>
  <c r="O65" i="22"/>
  <c r="P65" i="22"/>
  <c r="Q65" i="22"/>
  <c r="R65" i="22"/>
  <c r="S65" i="22"/>
  <c r="O66" i="22"/>
  <c r="P66" i="22"/>
  <c r="Q66" i="22"/>
  <c r="R66" i="22"/>
  <c r="S66" i="22"/>
  <c r="O67" i="22"/>
  <c r="P67" i="22"/>
  <c r="Q67" i="22"/>
  <c r="R67" i="22"/>
  <c r="S67" i="22"/>
  <c r="O68" i="22"/>
  <c r="P68" i="22"/>
  <c r="Q68" i="22"/>
  <c r="R68" i="22"/>
  <c r="S68" i="22"/>
  <c r="O69" i="22"/>
  <c r="P69" i="22"/>
  <c r="Q69" i="22"/>
  <c r="R69" i="22"/>
  <c r="S69" i="22"/>
  <c r="O70" i="22"/>
  <c r="P70" i="22"/>
  <c r="Q70" i="22"/>
  <c r="R70" i="22"/>
  <c r="S70" i="22"/>
  <c r="O71" i="22"/>
  <c r="P71" i="22"/>
  <c r="Q71" i="22"/>
  <c r="R71" i="22"/>
  <c r="S71" i="22"/>
  <c r="O72" i="22"/>
  <c r="P72" i="22"/>
  <c r="Q72" i="22"/>
  <c r="R72" i="22"/>
  <c r="S72" i="22"/>
  <c r="O73" i="22"/>
  <c r="P73" i="22"/>
  <c r="Q73" i="22"/>
  <c r="R73" i="22"/>
  <c r="S73" i="22"/>
  <c r="O74" i="22"/>
  <c r="P74" i="22"/>
  <c r="Q74" i="22"/>
  <c r="R74" i="22"/>
  <c r="S74" i="22"/>
  <c r="O75" i="22"/>
  <c r="P75" i="22"/>
  <c r="Q75" i="22"/>
  <c r="R75" i="22"/>
  <c r="S75" i="22"/>
  <c r="O76" i="22"/>
  <c r="P76" i="22"/>
  <c r="Q76" i="22"/>
  <c r="R76" i="22"/>
  <c r="S76" i="22"/>
  <c r="O77" i="22"/>
  <c r="P77" i="22"/>
  <c r="Q77" i="22"/>
  <c r="R77" i="22"/>
  <c r="S77" i="22"/>
  <c r="R58" i="22"/>
  <c r="Q58" i="22"/>
  <c r="S58" i="22"/>
  <c r="P58" i="22"/>
  <c r="O58" i="22"/>
  <c r="Q59" i="40"/>
  <c r="Q58" i="40"/>
  <c r="Q57" i="40"/>
  <c r="Q56" i="40"/>
  <c r="Q55" i="40"/>
  <c r="Q27" i="40"/>
  <c r="Q26" i="40"/>
  <c r="Q25" i="40"/>
  <c r="Q24" i="40"/>
  <c r="Q23" i="40"/>
  <c r="Q53" i="39"/>
  <c r="Q52" i="39"/>
  <c r="Q51" i="39"/>
  <c r="Q50" i="39"/>
  <c r="Q49" i="39"/>
  <c r="Q27" i="39"/>
  <c r="Q26" i="39"/>
  <c r="Q25" i="39"/>
  <c r="Q24" i="39"/>
  <c r="Q23" i="39"/>
  <c r="Q53" i="38"/>
  <c r="Q52" i="38"/>
  <c r="Q51" i="38"/>
  <c r="Q50" i="38"/>
  <c r="Q49" i="38"/>
  <c r="Q27" i="38"/>
  <c r="Q26" i="38"/>
  <c r="Q25" i="38"/>
  <c r="Q24" i="38"/>
  <c r="Q23" i="38"/>
  <c r="Q53" i="37"/>
  <c r="Q52" i="37"/>
  <c r="Q51" i="37"/>
  <c r="Q50" i="37"/>
  <c r="Q49" i="37"/>
  <c r="Q27" i="37"/>
  <c r="Q26" i="37"/>
  <c r="Q25" i="37"/>
  <c r="Q24" i="37"/>
  <c r="Q23" i="37"/>
  <c r="Q53" i="36"/>
  <c r="Q52" i="36"/>
  <c r="Q51" i="36"/>
  <c r="Q50" i="36"/>
  <c r="Q49" i="36"/>
  <c r="Q27" i="36"/>
  <c r="Q26" i="36"/>
  <c r="Q25" i="36"/>
  <c r="Q24" i="36"/>
  <c r="Q23" i="36"/>
  <c r="Q53" i="35"/>
  <c r="Q52" i="35"/>
  <c r="Q51" i="35"/>
  <c r="Q50" i="35"/>
  <c r="Q49" i="35"/>
  <c r="Q27" i="35"/>
  <c r="Q26" i="35"/>
  <c r="Q25" i="35"/>
  <c r="Q24" i="35"/>
  <c r="Q23" i="35"/>
  <c r="Q53" i="34"/>
  <c r="Q52" i="34"/>
  <c r="Q51" i="34"/>
  <c r="Q50" i="34"/>
  <c r="Q49" i="34"/>
  <c r="Q27" i="34"/>
  <c r="Q26" i="34"/>
  <c r="Q25" i="34"/>
  <c r="Q24" i="34"/>
  <c r="Q23" i="34"/>
  <c r="Q53" i="33"/>
  <c r="Q52" i="33"/>
  <c r="Q51" i="33"/>
  <c r="Q50" i="33"/>
  <c r="Q49" i="33"/>
  <c r="Q27" i="33"/>
  <c r="Q26" i="33"/>
  <c r="Q25" i="33"/>
  <c r="Q24" i="33"/>
  <c r="Q23" i="33"/>
  <c r="Q53" i="32"/>
  <c r="Q52" i="32"/>
  <c r="Q51" i="32"/>
  <c r="Q50" i="32"/>
  <c r="Q49" i="32"/>
  <c r="Q27" i="32"/>
  <c r="Q26" i="32"/>
  <c r="Q25" i="32"/>
  <c r="Q24" i="32"/>
  <c r="Q23" i="32"/>
  <c r="Q53" i="31"/>
  <c r="Q52" i="31"/>
  <c r="Q51" i="31"/>
  <c r="Q50" i="31"/>
  <c r="Q49" i="31"/>
  <c r="Q27" i="31"/>
  <c r="Q26" i="31"/>
  <c r="Q25" i="31"/>
  <c r="Q24" i="31"/>
  <c r="Q23" i="31"/>
  <c r="Q53" i="30"/>
  <c r="Q52" i="30"/>
  <c r="Q51" i="30"/>
  <c r="Q50" i="30"/>
  <c r="Q49" i="30"/>
  <c r="Q27" i="30"/>
  <c r="Q26" i="30"/>
  <c r="Q25" i="30"/>
  <c r="R49" i="30"/>
  <c r="Q23" i="30"/>
  <c r="Q53" i="22"/>
  <c r="Q52" i="22"/>
  <c r="Q51" i="22"/>
  <c r="Q50" i="22"/>
  <c r="Q49" i="22"/>
  <c r="Q27" i="22"/>
  <c r="Q26" i="22"/>
  <c r="Q25" i="22"/>
  <c r="Q24" i="22"/>
  <c r="Q23" i="22"/>
  <c r="AF19" i="24"/>
  <c r="AF8" i="24"/>
  <c r="AF9" i="24"/>
  <c r="AF10" i="24"/>
  <c r="AF11" i="24"/>
  <c r="AF12" i="24"/>
  <c r="AF13" i="24"/>
  <c r="AF14" i="24"/>
  <c r="AF15" i="24"/>
  <c r="AF16" i="24"/>
  <c r="AF17" i="24"/>
  <c r="AF18" i="24"/>
  <c r="AG22" i="24"/>
  <c r="AG23" i="24"/>
  <c r="AG24" i="24"/>
  <c r="AG25" i="24"/>
  <c r="AG26" i="24"/>
  <c r="AG27" i="24"/>
  <c r="AG28" i="24"/>
  <c r="AG29" i="24"/>
  <c r="AG30" i="24"/>
  <c r="AG31" i="24"/>
  <c r="AG32" i="24"/>
  <c r="AG33" i="24"/>
  <c r="AG89" i="24"/>
  <c r="AG88" i="24"/>
  <c r="AG87" i="24"/>
  <c r="AG86" i="24"/>
  <c r="AG85" i="24"/>
  <c r="AG84" i="24"/>
  <c r="AG83" i="24"/>
  <c r="AG82" i="24"/>
  <c r="AG81" i="24"/>
  <c r="AG80" i="24"/>
  <c r="AG90" i="24" s="1"/>
  <c r="AG79" i="24"/>
  <c r="AG78" i="24"/>
  <c r="AG75" i="24"/>
  <c r="AG74" i="24"/>
  <c r="AG73" i="24"/>
  <c r="AG72" i="24"/>
  <c r="AG71" i="24"/>
  <c r="AG70" i="24"/>
  <c r="AG69" i="24"/>
  <c r="AG68" i="24"/>
  <c r="AG67" i="24"/>
  <c r="AG66" i="24"/>
  <c r="AG65" i="24"/>
  <c r="AG64" i="24"/>
  <c r="AG61" i="24"/>
  <c r="AG60" i="24"/>
  <c r="AG59" i="24"/>
  <c r="AG58" i="24"/>
  <c r="AG57" i="24"/>
  <c r="AG56" i="24"/>
  <c r="AG55" i="24"/>
  <c r="AG54" i="24"/>
  <c r="AG53" i="24"/>
  <c r="AG52" i="24"/>
  <c r="AG51" i="24"/>
  <c r="AG50" i="24"/>
  <c r="AG62" i="24" s="1"/>
  <c r="AG47" i="24"/>
  <c r="AG46" i="24"/>
  <c r="AG45" i="24"/>
  <c r="AG44" i="24"/>
  <c r="AG43" i="24"/>
  <c r="AG42" i="24"/>
  <c r="AG41" i="24"/>
  <c r="AG40" i="24"/>
  <c r="AG39" i="24"/>
  <c r="AG38" i="24"/>
  <c r="AG37" i="24"/>
  <c r="AG36" i="24"/>
  <c r="AF90" i="24"/>
  <c r="AF76" i="24"/>
  <c r="AF62" i="24"/>
  <c r="AF48" i="24"/>
  <c r="AF34" i="24"/>
  <c r="K10" i="19" l="1"/>
  <c r="L10" i="19" s="1"/>
  <c r="M10" i="19" s="1"/>
  <c r="N10" i="19" s="1"/>
  <c r="O10" i="19" s="1"/>
  <c r="P10" i="19" s="1"/>
  <c r="K9" i="19"/>
  <c r="L9" i="19" s="1"/>
  <c r="M9" i="19" s="1"/>
  <c r="N9" i="19" s="1"/>
  <c r="O9" i="19" s="1"/>
  <c r="P9" i="19" s="1"/>
  <c r="K8" i="19"/>
  <c r="L8" i="19" s="1"/>
  <c r="M8" i="19" s="1"/>
  <c r="N8" i="19" s="1"/>
  <c r="O8" i="19" s="1"/>
  <c r="P8" i="19" s="1"/>
  <c r="K7" i="19"/>
  <c r="L7" i="19" s="1"/>
  <c r="M7" i="19" s="1"/>
  <c r="N7" i="19" s="1"/>
  <c r="O7" i="19" s="1"/>
  <c r="G6" i="19"/>
  <c r="F71" i="47"/>
  <c r="T99" i="22"/>
  <c r="T95" i="22"/>
  <c r="T91" i="22"/>
  <c r="T73" i="22"/>
  <c r="T75" i="22"/>
  <c r="T97" i="22"/>
  <c r="T77" i="22"/>
  <c r="T74" i="22"/>
  <c r="T76" i="22"/>
  <c r="T100" i="22"/>
  <c r="T98" i="22"/>
  <c r="T66" i="22"/>
  <c r="T69" i="22"/>
  <c r="T68" i="22"/>
  <c r="T71" i="22"/>
  <c r="T67" i="22"/>
  <c r="T72" i="22"/>
  <c r="T70" i="22"/>
  <c r="T93" i="22"/>
  <c r="T94" i="22"/>
  <c r="T90" i="22"/>
  <c r="T96" i="22"/>
  <c r="T92" i="22"/>
  <c r="T89" i="22"/>
  <c r="AG48" i="24"/>
  <c r="AG76" i="24"/>
  <c r="J5" i="19"/>
  <c r="AF20" i="24"/>
  <c r="AG34" i="24"/>
  <c r="Z29" i="19"/>
  <c r="Z28" i="19"/>
  <c r="Z25" i="19"/>
  <c r="Z23" i="19"/>
  <c r="Z22" i="19"/>
  <c r="Z21" i="19"/>
  <c r="Z20" i="19"/>
  <c r="Z19" i="19"/>
  <c r="F27" i="40" s="1"/>
  <c r="Z18" i="19"/>
  <c r="U28" i="19"/>
  <c r="C14" i="16"/>
  <c r="C13" i="16"/>
  <c r="I9" i="43"/>
  <c r="J9" i="43"/>
  <c r="K9" i="43"/>
  <c r="L9" i="43"/>
  <c r="M9" i="43"/>
  <c r="N9" i="43"/>
  <c r="O9" i="43"/>
  <c r="P9" i="43"/>
  <c r="Q9" i="43"/>
  <c r="R9" i="43"/>
  <c r="S9" i="43"/>
  <c r="I10" i="43"/>
  <c r="J10" i="43"/>
  <c r="K10" i="43"/>
  <c r="L10" i="43"/>
  <c r="M10" i="43"/>
  <c r="N10" i="43"/>
  <c r="O10" i="43"/>
  <c r="P10" i="43"/>
  <c r="Q10" i="43"/>
  <c r="R10" i="43"/>
  <c r="S10" i="43"/>
  <c r="I11" i="43"/>
  <c r="J11" i="43"/>
  <c r="K11" i="43"/>
  <c r="L11" i="43"/>
  <c r="M11" i="43"/>
  <c r="N11" i="43"/>
  <c r="O11" i="43"/>
  <c r="P11" i="43"/>
  <c r="Q11" i="43"/>
  <c r="R11" i="43"/>
  <c r="S11" i="43"/>
  <c r="I12" i="43"/>
  <c r="J12" i="43"/>
  <c r="K12" i="43"/>
  <c r="L12" i="43"/>
  <c r="M12" i="43"/>
  <c r="N12" i="43"/>
  <c r="O12" i="43"/>
  <c r="P12" i="43"/>
  <c r="Q12" i="43"/>
  <c r="R12" i="43"/>
  <c r="S12" i="43"/>
  <c r="H12" i="43"/>
  <c r="H11" i="43"/>
  <c r="H10" i="43"/>
  <c r="H9" i="43"/>
  <c r="I8" i="43"/>
  <c r="J8" i="43"/>
  <c r="K8" i="43"/>
  <c r="L8" i="43"/>
  <c r="M8" i="43"/>
  <c r="N8" i="43"/>
  <c r="O8" i="43"/>
  <c r="P8" i="43"/>
  <c r="Q8" i="43"/>
  <c r="R8" i="43"/>
  <c r="S8" i="43"/>
  <c r="H8" i="43"/>
  <c r="I7" i="43"/>
  <c r="J7" i="43"/>
  <c r="K7" i="43"/>
  <c r="L7" i="43"/>
  <c r="M7" i="43"/>
  <c r="N7" i="43"/>
  <c r="O7" i="43"/>
  <c r="P7" i="43"/>
  <c r="Q7" i="43"/>
  <c r="R7" i="43"/>
  <c r="S7" i="43"/>
  <c r="H7" i="43"/>
  <c r="I6" i="43"/>
  <c r="J6" i="43"/>
  <c r="H6" i="43"/>
  <c r="G7" i="43"/>
  <c r="G8" i="43"/>
  <c r="G9" i="43"/>
  <c r="G10" i="43"/>
  <c r="G11" i="43"/>
  <c r="G12" i="43"/>
  <c r="G6" i="43"/>
  <c r="G17" i="43"/>
  <c r="G37" i="43" s="1"/>
  <c r="G18" i="43"/>
  <c r="G38" i="43" s="1"/>
  <c r="G19" i="43"/>
  <c r="G39" i="43" s="1"/>
  <c r="G20" i="43"/>
  <c r="G40" i="43" s="1"/>
  <c r="G21" i="43"/>
  <c r="G41" i="43" s="1"/>
  <c r="G22" i="43"/>
  <c r="G42" i="43" s="1"/>
  <c r="G16" i="43"/>
  <c r="G36" i="43" s="1"/>
  <c r="D7" i="43"/>
  <c r="D8" i="43"/>
  <c r="D9" i="43"/>
  <c r="D10" i="43"/>
  <c r="D11" i="43"/>
  <c r="D12" i="43"/>
  <c r="C12" i="43"/>
  <c r="C11" i="43"/>
  <c r="C10" i="43"/>
  <c r="C9" i="43"/>
  <c r="C8" i="43"/>
  <c r="C7" i="43"/>
  <c r="K5" i="19" l="1"/>
  <c r="L5" i="19" s="1"/>
  <c r="M5" i="19" s="1"/>
  <c r="N5" i="19" s="1"/>
  <c r="O5" i="19" s="1"/>
  <c r="P5" i="19" s="1"/>
  <c r="AC82" i="47"/>
  <c r="P7" i="19"/>
  <c r="H6" i="19"/>
  <c r="G71" i="47"/>
  <c r="AC27" i="47"/>
  <c r="AC108" i="47"/>
  <c r="AC54" i="47"/>
  <c r="G30" i="43"/>
  <c r="G50" i="43" s="1"/>
  <c r="G32" i="43"/>
  <c r="G52" i="43" s="1"/>
  <c r="G27" i="43"/>
  <c r="G47" i="43" s="1"/>
  <c r="G31" i="43"/>
  <c r="G51" i="43" s="1"/>
  <c r="G28" i="43"/>
  <c r="G48" i="43" s="1"/>
  <c r="G26" i="43"/>
  <c r="G46" i="43" s="1"/>
  <c r="G29" i="43"/>
  <c r="G49" i="43" s="1"/>
  <c r="O88" i="40"/>
  <c r="P88" i="40"/>
  <c r="Q88" i="40"/>
  <c r="R88" i="40"/>
  <c r="S88" i="40"/>
  <c r="O89" i="40"/>
  <c r="P89" i="40"/>
  <c r="Q89" i="40"/>
  <c r="R89" i="40"/>
  <c r="S89" i="40"/>
  <c r="O90" i="40"/>
  <c r="P90" i="40"/>
  <c r="Q90" i="40"/>
  <c r="R90" i="40"/>
  <c r="S90" i="40"/>
  <c r="O91" i="40"/>
  <c r="P91" i="40"/>
  <c r="Q91" i="40"/>
  <c r="R91" i="40"/>
  <c r="S91" i="40"/>
  <c r="O92" i="40"/>
  <c r="P92" i="40"/>
  <c r="Q92" i="40"/>
  <c r="R92" i="40"/>
  <c r="S92" i="40"/>
  <c r="O93" i="40"/>
  <c r="P93" i="40"/>
  <c r="Q93" i="40"/>
  <c r="R93" i="40"/>
  <c r="S93" i="40"/>
  <c r="O94" i="40"/>
  <c r="P94" i="40"/>
  <c r="Q94" i="40"/>
  <c r="R94" i="40"/>
  <c r="S94" i="40"/>
  <c r="O95" i="40"/>
  <c r="P95" i="40"/>
  <c r="Q95" i="40"/>
  <c r="R95" i="40"/>
  <c r="S95" i="40"/>
  <c r="O96" i="40"/>
  <c r="P96" i="40"/>
  <c r="Q96" i="40"/>
  <c r="R96" i="40"/>
  <c r="S96" i="40"/>
  <c r="O97" i="40"/>
  <c r="P97" i="40"/>
  <c r="Q97" i="40"/>
  <c r="R97" i="40"/>
  <c r="S97" i="40"/>
  <c r="O98" i="40"/>
  <c r="P98" i="40"/>
  <c r="Q98" i="40"/>
  <c r="R98" i="40"/>
  <c r="S98" i="40"/>
  <c r="O99" i="40"/>
  <c r="P99" i="40"/>
  <c r="Q99" i="40"/>
  <c r="R99" i="40"/>
  <c r="S99" i="40"/>
  <c r="O100" i="40"/>
  <c r="P100" i="40"/>
  <c r="Q100" i="40"/>
  <c r="R100" i="40"/>
  <c r="S100" i="40"/>
  <c r="O101" i="40"/>
  <c r="P101" i="40"/>
  <c r="Q101" i="40"/>
  <c r="R101" i="40"/>
  <c r="S101" i="40"/>
  <c r="O102" i="40"/>
  <c r="P102" i="40"/>
  <c r="Q102" i="40"/>
  <c r="R102" i="40"/>
  <c r="S102" i="40"/>
  <c r="O103" i="40"/>
  <c r="P103" i="40"/>
  <c r="Q103" i="40"/>
  <c r="R103" i="40"/>
  <c r="S103" i="40"/>
  <c r="O104" i="40"/>
  <c r="P104" i="40"/>
  <c r="Q104" i="40"/>
  <c r="R104" i="40"/>
  <c r="S104" i="40"/>
  <c r="O105" i="40"/>
  <c r="P105" i="40"/>
  <c r="Q105" i="40"/>
  <c r="R105" i="40"/>
  <c r="S105" i="40"/>
  <c r="O106" i="40"/>
  <c r="P106" i="40"/>
  <c r="Q106" i="40"/>
  <c r="R106" i="40"/>
  <c r="S106" i="40"/>
  <c r="S87" i="40"/>
  <c r="R87" i="40"/>
  <c r="Q87" i="40"/>
  <c r="P87" i="40"/>
  <c r="O87" i="40"/>
  <c r="O65" i="40"/>
  <c r="P65" i="40"/>
  <c r="Q65" i="40"/>
  <c r="R65" i="40"/>
  <c r="S65" i="40"/>
  <c r="O66" i="40"/>
  <c r="P66" i="40"/>
  <c r="Q66" i="40"/>
  <c r="R66" i="40"/>
  <c r="S66" i="40"/>
  <c r="O67" i="40"/>
  <c r="P67" i="40"/>
  <c r="Q67" i="40"/>
  <c r="R67" i="40"/>
  <c r="S67" i="40"/>
  <c r="O68" i="40"/>
  <c r="P68" i="40"/>
  <c r="Q68" i="40"/>
  <c r="R68" i="40"/>
  <c r="S68" i="40"/>
  <c r="O69" i="40"/>
  <c r="P69" i="40"/>
  <c r="Q69" i="40"/>
  <c r="R69" i="40"/>
  <c r="S69" i="40"/>
  <c r="O70" i="40"/>
  <c r="P70" i="40"/>
  <c r="Q70" i="40"/>
  <c r="R70" i="40"/>
  <c r="S70" i="40"/>
  <c r="O71" i="40"/>
  <c r="P71" i="40"/>
  <c r="Q71" i="40"/>
  <c r="R71" i="40"/>
  <c r="S71" i="40"/>
  <c r="O72" i="40"/>
  <c r="P72" i="40"/>
  <c r="Q72" i="40"/>
  <c r="R72" i="40"/>
  <c r="S72" i="40"/>
  <c r="O73" i="40"/>
  <c r="P73" i="40"/>
  <c r="Q73" i="40"/>
  <c r="R73" i="40"/>
  <c r="S73" i="40"/>
  <c r="O74" i="40"/>
  <c r="P74" i="40"/>
  <c r="Q74" i="40"/>
  <c r="R74" i="40"/>
  <c r="S74" i="40"/>
  <c r="O75" i="40"/>
  <c r="P75" i="40"/>
  <c r="Q75" i="40"/>
  <c r="R75" i="40"/>
  <c r="S75" i="40"/>
  <c r="O76" i="40"/>
  <c r="P76" i="40"/>
  <c r="Q76" i="40"/>
  <c r="R76" i="40"/>
  <c r="S76" i="40"/>
  <c r="O77" i="40"/>
  <c r="P77" i="40"/>
  <c r="Q77" i="40"/>
  <c r="R77" i="40"/>
  <c r="S77" i="40"/>
  <c r="O78" i="40"/>
  <c r="P78" i="40"/>
  <c r="Q78" i="40"/>
  <c r="R78" i="40"/>
  <c r="S78" i="40"/>
  <c r="O79" i="40"/>
  <c r="P79" i="40"/>
  <c r="Q79" i="40"/>
  <c r="R79" i="40"/>
  <c r="S79" i="40"/>
  <c r="O80" i="40"/>
  <c r="P80" i="40"/>
  <c r="Q80" i="40"/>
  <c r="R80" i="40"/>
  <c r="S80" i="40"/>
  <c r="O81" i="40"/>
  <c r="P81" i="40"/>
  <c r="Q81" i="40"/>
  <c r="R81" i="40"/>
  <c r="S81" i="40"/>
  <c r="O82" i="40"/>
  <c r="P82" i="40"/>
  <c r="Q82" i="40"/>
  <c r="R82" i="40"/>
  <c r="S82" i="40"/>
  <c r="O83" i="40"/>
  <c r="P83" i="40"/>
  <c r="Q83" i="40"/>
  <c r="R83" i="40"/>
  <c r="S83" i="40"/>
  <c r="S64" i="40"/>
  <c r="R64" i="40"/>
  <c r="Q64" i="40"/>
  <c r="P64" i="40"/>
  <c r="O64" i="40"/>
  <c r="I6" i="19" l="1"/>
  <c r="H71" i="47"/>
  <c r="K6" i="43"/>
  <c r="J6" i="19" l="1"/>
  <c r="I71" i="47"/>
  <c r="L6" i="43"/>
  <c r="S100" i="39"/>
  <c r="R100" i="39"/>
  <c r="Q100" i="39"/>
  <c r="P100" i="39"/>
  <c r="O100" i="39"/>
  <c r="S99" i="39"/>
  <c r="R99" i="39"/>
  <c r="Q99" i="39"/>
  <c r="P99" i="39"/>
  <c r="O99" i="39"/>
  <c r="AD98" i="39"/>
  <c r="S98" i="39"/>
  <c r="R98" i="39"/>
  <c r="Q98" i="39"/>
  <c r="P98" i="39"/>
  <c r="O98" i="39"/>
  <c r="S97" i="39"/>
  <c r="R97" i="39"/>
  <c r="Q97" i="39"/>
  <c r="P97" i="39"/>
  <c r="O97" i="39"/>
  <c r="S96" i="39"/>
  <c r="R96" i="39"/>
  <c r="Q96" i="39"/>
  <c r="P96" i="39"/>
  <c r="O96" i="39"/>
  <c r="S95" i="39"/>
  <c r="R95" i="39"/>
  <c r="Q95" i="39"/>
  <c r="P95" i="39"/>
  <c r="O95" i="39"/>
  <c r="AD94" i="39"/>
  <c r="S94" i="39"/>
  <c r="R94" i="39"/>
  <c r="Q94" i="39"/>
  <c r="P94" i="39"/>
  <c r="O94" i="39"/>
  <c r="AD93" i="39"/>
  <c r="S93" i="39"/>
  <c r="R93" i="39"/>
  <c r="Q93" i="39"/>
  <c r="P93" i="39"/>
  <c r="O93" i="39"/>
  <c r="S92" i="39"/>
  <c r="R92" i="39"/>
  <c r="Q92" i="39"/>
  <c r="P92" i="39"/>
  <c r="O92" i="39"/>
  <c r="S91" i="39"/>
  <c r="R91" i="39"/>
  <c r="Q91" i="39"/>
  <c r="P91" i="39"/>
  <c r="O91" i="39"/>
  <c r="S90" i="39"/>
  <c r="R90" i="39"/>
  <c r="Q90" i="39"/>
  <c r="P90" i="39"/>
  <c r="O90" i="39"/>
  <c r="S89" i="39"/>
  <c r="R89" i="39"/>
  <c r="Q89" i="39"/>
  <c r="P89" i="39"/>
  <c r="O89" i="39"/>
  <c r="S88" i="39"/>
  <c r="R88" i="39"/>
  <c r="Q88" i="39"/>
  <c r="P88" i="39"/>
  <c r="O88" i="39"/>
  <c r="S87" i="39"/>
  <c r="R87" i="39"/>
  <c r="Q87" i="39"/>
  <c r="P87" i="39"/>
  <c r="O87" i="39"/>
  <c r="AD86" i="39"/>
  <c r="S86" i="39"/>
  <c r="R86" i="39"/>
  <c r="Q86" i="39"/>
  <c r="P86" i="39"/>
  <c r="O86" i="39"/>
  <c r="S85" i="39"/>
  <c r="R85" i="39"/>
  <c r="Q85" i="39"/>
  <c r="P85" i="39"/>
  <c r="O85" i="39"/>
  <c r="S84" i="39"/>
  <c r="R84" i="39"/>
  <c r="Q84" i="39"/>
  <c r="P84" i="39"/>
  <c r="O84" i="39"/>
  <c r="S83" i="39"/>
  <c r="R83" i="39"/>
  <c r="Q83" i="39"/>
  <c r="P83" i="39"/>
  <c r="O83" i="39"/>
  <c r="S82" i="39"/>
  <c r="R82" i="39"/>
  <c r="Q82" i="39"/>
  <c r="P82" i="39"/>
  <c r="O82" i="39"/>
  <c r="S81" i="39"/>
  <c r="R81" i="39"/>
  <c r="Q81" i="39"/>
  <c r="P81" i="39"/>
  <c r="O81" i="39"/>
  <c r="S77" i="39"/>
  <c r="R77" i="39"/>
  <c r="Q77" i="39"/>
  <c r="P77" i="39"/>
  <c r="O77" i="39"/>
  <c r="AD76" i="39"/>
  <c r="S76" i="39"/>
  <c r="R76" i="39"/>
  <c r="Q76" i="39"/>
  <c r="P76" i="39"/>
  <c r="O76" i="39"/>
  <c r="AD75" i="39"/>
  <c r="S75" i="39"/>
  <c r="R75" i="39"/>
  <c r="Q75" i="39"/>
  <c r="P75" i="39"/>
  <c r="O75" i="39"/>
  <c r="AD74" i="39"/>
  <c r="S74" i="39"/>
  <c r="R74" i="39"/>
  <c r="Q74" i="39"/>
  <c r="P74" i="39"/>
  <c r="O74" i="39"/>
  <c r="S73" i="39"/>
  <c r="R73" i="39"/>
  <c r="Q73" i="39"/>
  <c r="P73" i="39"/>
  <c r="O73" i="39"/>
  <c r="AD72" i="39"/>
  <c r="S72" i="39"/>
  <c r="R72" i="39"/>
  <c r="Q72" i="39"/>
  <c r="P72" i="39"/>
  <c r="O72" i="39"/>
  <c r="AD71" i="39"/>
  <c r="S71" i="39"/>
  <c r="R71" i="39"/>
  <c r="Q71" i="39"/>
  <c r="P71" i="39"/>
  <c r="O71" i="39"/>
  <c r="AD70" i="39"/>
  <c r="S70" i="39"/>
  <c r="R70" i="39"/>
  <c r="Q70" i="39"/>
  <c r="P70" i="39"/>
  <c r="O70" i="39"/>
  <c r="S69" i="39"/>
  <c r="R69" i="39"/>
  <c r="Q69" i="39"/>
  <c r="P69" i="39"/>
  <c r="O69" i="39"/>
  <c r="AD68" i="39"/>
  <c r="S68" i="39"/>
  <c r="R68" i="39"/>
  <c r="Q68" i="39"/>
  <c r="P68" i="39"/>
  <c r="O68" i="39"/>
  <c r="S67" i="39"/>
  <c r="R67" i="39"/>
  <c r="Q67" i="39"/>
  <c r="P67" i="39"/>
  <c r="O67" i="39"/>
  <c r="AD66" i="39"/>
  <c r="S66" i="39"/>
  <c r="R66" i="39"/>
  <c r="Q66" i="39"/>
  <c r="P66" i="39"/>
  <c r="O66" i="39"/>
  <c r="S65" i="39"/>
  <c r="R65" i="39"/>
  <c r="Q65" i="39"/>
  <c r="P65" i="39"/>
  <c r="O65" i="39"/>
  <c r="S64" i="39"/>
  <c r="R64" i="39"/>
  <c r="Q64" i="39"/>
  <c r="P64" i="39"/>
  <c r="O64" i="39"/>
  <c r="S63" i="39"/>
  <c r="R63" i="39"/>
  <c r="Q63" i="39"/>
  <c r="P63" i="39"/>
  <c r="O63" i="39"/>
  <c r="AD62" i="39"/>
  <c r="S62" i="39"/>
  <c r="R62" i="39"/>
  <c r="Q62" i="39"/>
  <c r="P62" i="39"/>
  <c r="O62" i="39"/>
  <c r="S61" i="39"/>
  <c r="R61" i="39"/>
  <c r="Q61" i="39"/>
  <c r="P61" i="39"/>
  <c r="O61" i="39"/>
  <c r="AD60" i="39"/>
  <c r="S60" i="39"/>
  <c r="R60" i="39"/>
  <c r="Q60" i="39"/>
  <c r="P60" i="39"/>
  <c r="O60" i="39"/>
  <c r="S59" i="39"/>
  <c r="R59" i="39"/>
  <c r="Q59" i="39"/>
  <c r="P59" i="39"/>
  <c r="O59" i="39"/>
  <c r="S58" i="39"/>
  <c r="R58" i="39"/>
  <c r="Q58" i="39"/>
  <c r="P58" i="39"/>
  <c r="O58" i="39"/>
  <c r="S100" i="38"/>
  <c r="R100" i="38"/>
  <c r="Q100" i="38"/>
  <c r="P100" i="38"/>
  <c r="O100" i="38"/>
  <c r="S99" i="38"/>
  <c r="R99" i="38"/>
  <c r="Q99" i="38"/>
  <c r="P99" i="38"/>
  <c r="O99" i="38"/>
  <c r="S98" i="38"/>
  <c r="R98" i="38"/>
  <c r="Q98" i="38"/>
  <c r="P98" i="38"/>
  <c r="O98" i="38"/>
  <c r="S97" i="38"/>
  <c r="R97" i="38"/>
  <c r="Q97" i="38"/>
  <c r="P97" i="38"/>
  <c r="O97" i="38"/>
  <c r="S96" i="38"/>
  <c r="R96" i="38"/>
  <c r="Q96" i="38"/>
  <c r="P96" i="38"/>
  <c r="O96" i="38"/>
  <c r="S95" i="38"/>
  <c r="R95" i="38"/>
  <c r="Q95" i="38"/>
  <c r="P95" i="38"/>
  <c r="O95" i="38"/>
  <c r="S94" i="38"/>
  <c r="R94" i="38"/>
  <c r="Q94" i="38"/>
  <c r="P94" i="38"/>
  <c r="O94" i="38"/>
  <c r="S93" i="38"/>
  <c r="R93" i="38"/>
  <c r="Q93" i="38"/>
  <c r="P93" i="38"/>
  <c r="O93" i="38"/>
  <c r="AD92" i="38"/>
  <c r="S92" i="38"/>
  <c r="R92" i="38"/>
  <c r="Q92" i="38"/>
  <c r="P92" i="38"/>
  <c r="O92" i="38"/>
  <c r="S91" i="38"/>
  <c r="R91" i="38"/>
  <c r="Q91" i="38"/>
  <c r="P91" i="38"/>
  <c r="O91" i="38"/>
  <c r="S90" i="38"/>
  <c r="R90" i="38"/>
  <c r="Q90" i="38"/>
  <c r="P90" i="38"/>
  <c r="O90" i="38"/>
  <c r="S89" i="38"/>
  <c r="R89" i="38"/>
  <c r="Q89" i="38"/>
  <c r="P89" i="38"/>
  <c r="O89" i="38"/>
  <c r="S88" i="38"/>
  <c r="R88" i="38"/>
  <c r="Q88" i="38"/>
  <c r="P88" i="38"/>
  <c r="O88" i="38"/>
  <c r="S87" i="38"/>
  <c r="R87" i="38"/>
  <c r="Q87" i="38"/>
  <c r="P87" i="38"/>
  <c r="O87" i="38"/>
  <c r="S86" i="38"/>
  <c r="R86" i="38"/>
  <c r="Q86" i="38"/>
  <c r="T86" i="38" s="1"/>
  <c r="P86" i="38"/>
  <c r="O86" i="38"/>
  <c r="S85" i="38"/>
  <c r="R85" i="38"/>
  <c r="Q85" i="38"/>
  <c r="P85" i="38"/>
  <c r="O85" i="38"/>
  <c r="S84" i="38"/>
  <c r="R84" i="38"/>
  <c r="Q84" i="38"/>
  <c r="P84" i="38"/>
  <c r="O84" i="38"/>
  <c r="S83" i="38"/>
  <c r="R83" i="38"/>
  <c r="Q83" i="38"/>
  <c r="P83" i="38"/>
  <c r="O83" i="38"/>
  <c r="S82" i="38"/>
  <c r="R82" i="38"/>
  <c r="Q82" i="38"/>
  <c r="P82" i="38"/>
  <c r="O82" i="38"/>
  <c r="S81" i="38"/>
  <c r="R81" i="38"/>
  <c r="Q81" i="38"/>
  <c r="P81" i="38"/>
  <c r="O81" i="38"/>
  <c r="AD77" i="38"/>
  <c r="S77" i="38"/>
  <c r="R77" i="38"/>
  <c r="Q77" i="38"/>
  <c r="P77" i="38"/>
  <c r="O77" i="38"/>
  <c r="AD76" i="38"/>
  <c r="S76" i="38"/>
  <c r="R76" i="38"/>
  <c r="Q76" i="38"/>
  <c r="P76" i="38"/>
  <c r="O76" i="38"/>
  <c r="S75" i="38"/>
  <c r="R75" i="38"/>
  <c r="Q75" i="38"/>
  <c r="P75" i="38"/>
  <c r="O75" i="38"/>
  <c r="AD74" i="38"/>
  <c r="S74" i="38"/>
  <c r="R74" i="38"/>
  <c r="Q74" i="38"/>
  <c r="P74" i="38"/>
  <c r="O74" i="38"/>
  <c r="S73" i="38"/>
  <c r="R73" i="38"/>
  <c r="Q73" i="38"/>
  <c r="P73" i="38"/>
  <c r="O73" i="38"/>
  <c r="AD72" i="38"/>
  <c r="S72" i="38"/>
  <c r="R72" i="38"/>
  <c r="Q72" i="38"/>
  <c r="P72" i="38"/>
  <c r="O72" i="38"/>
  <c r="AD71" i="38"/>
  <c r="S71" i="38"/>
  <c r="R71" i="38"/>
  <c r="Q71" i="38"/>
  <c r="P71" i="38"/>
  <c r="O71" i="38"/>
  <c r="AD70" i="38"/>
  <c r="S70" i="38"/>
  <c r="R70" i="38"/>
  <c r="Q70" i="38"/>
  <c r="P70" i="38"/>
  <c r="O70" i="38"/>
  <c r="AD69" i="38"/>
  <c r="S69" i="38"/>
  <c r="R69" i="38"/>
  <c r="Q69" i="38"/>
  <c r="P69" i="38"/>
  <c r="O69" i="38"/>
  <c r="AD68" i="38"/>
  <c r="S68" i="38"/>
  <c r="R68" i="38"/>
  <c r="Q68" i="38"/>
  <c r="P68" i="38"/>
  <c r="O68" i="38"/>
  <c r="S67" i="38"/>
  <c r="R67" i="38"/>
  <c r="Q67" i="38"/>
  <c r="P67" i="38"/>
  <c r="O67" i="38"/>
  <c r="AD66" i="38"/>
  <c r="S66" i="38"/>
  <c r="R66" i="38"/>
  <c r="Q66" i="38"/>
  <c r="P66" i="38"/>
  <c r="O66" i="38"/>
  <c r="S65" i="38"/>
  <c r="R65" i="38"/>
  <c r="Q65" i="38"/>
  <c r="P65" i="38"/>
  <c r="O65" i="38"/>
  <c r="S64" i="38"/>
  <c r="R64" i="38"/>
  <c r="Q64" i="38"/>
  <c r="P64" i="38"/>
  <c r="O64" i="38"/>
  <c r="S63" i="38"/>
  <c r="R63" i="38"/>
  <c r="Q63" i="38"/>
  <c r="P63" i="38"/>
  <c r="O63" i="38"/>
  <c r="S62" i="38"/>
  <c r="R62" i="38"/>
  <c r="Q62" i="38"/>
  <c r="P62" i="38"/>
  <c r="O62" i="38"/>
  <c r="S61" i="38"/>
  <c r="R61" i="38"/>
  <c r="Q61" i="38"/>
  <c r="P61" i="38"/>
  <c r="O61" i="38"/>
  <c r="AD60" i="38"/>
  <c r="S60" i="38"/>
  <c r="R60" i="38"/>
  <c r="Q60" i="38"/>
  <c r="P60" i="38"/>
  <c r="O60" i="38"/>
  <c r="S59" i="38"/>
  <c r="R59" i="38"/>
  <c r="Q59" i="38"/>
  <c r="P59" i="38"/>
  <c r="O59" i="38"/>
  <c r="S58" i="38"/>
  <c r="R58" i="38"/>
  <c r="Q58" i="38"/>
  <c r="P58" i="38"/>
  <c r="O58" i="38"/>
  <c r="S100" i="37"/>
  <c r="R100" i="37"/>
  <c r="Q100" i="37"/>
  <c r="P100" i="37"/>
  <c r="O100" i="37"/>
  <c r="S99" i="37"/>
  <c r="R99" i="37"/>
  <c r="Q99" i="37"/>
  <c r="P99" i="37"/>
  <c r="O99" i="37"/>
  <c r="S98" i="37"/>
  <c r="R98" i="37"/>
  <c r="Q98" i="37"/>
  <c r="P98" i="37"/>
  <c r="O98" i="37"/>
  <c r="S97" i="37"/>
  <c r="R97" i="37"/>
  <c r="Q97" i="37"/>
  <c r="P97" i="37"/>
  <c r="O97" i="37"/>
  <c r="S96" i="37"/>
  <c r="R96" i="37"/>
  <c r="Q96" i="37"/>
  <c r="P96" i="37"/>
  <c r="O96" i="37"/>
  <c r="S95" i="37"/>
  <c r="R95" i="37"/>
  <c r="Q95" i="37"/>
  <c r="P95" i="37"/>
  <c r="O95" i="37"/>
  <c r="S94" i="37"/>
  <c r="R94" i="37"/>
  <c r="Q94" i="37"/>
  <c r="P94" i="37"/>
  <c r="O94" i="37"/>
  <c r="S93" i="37"/>
  <c r="R93" i="37"/>
  <c r="Q93" i="37"/>
  <c r="P93" i="37"/>
  <c r="O93" i="37"/>
  <c r="S92" i="37"/>
  <c r="R92" i="37"/>
  <c r="Q92" i="37"/>
  <c r="P92" i="37"/>
  <c r="O92" i="37"/>
  <c r="S91" i="37"/>
  <c r="R91" i="37"/>
  <c r="Q91" i="37"/>
  <c r="P91" i="37"/>
  <c r="O91" i="37"/>
  <c r="S90" i="37"/>
  <c r="R90" i="37"/>
  <c r="Q90" i="37"/>
  <c r="P90" i="37"/>
  <c r="O90" i="37"/>
  <c r="S89" i="37"/>
  <c r="R89" i="37"/>
  <c r="Q89" i="37"/>
  <c r="P89" i="37"/>
  <c r="O89" i="37"/>
  <c r="S88" i="37"/>
  <c r="R88" i="37"/>
  <c r="Q88" i="37"/>
  <c r="T88" i="37" s="1"/>
  <c r="P88" i="37"/>
  <c r="O88" i="37"/>
  <c r="S87" i="37"/>
  <c r="R87" i="37"/>
  <c r="Q87" i="37"/>
  <c r="P87" i="37"/>
  <c r="O87" i="37"/>
  <c r="S86" i="37"/>
  <c r="R86" i="37"/>
  <c r="Q86" i="37"/>
  <c r="P86" i="37"/>
  <c r="O86" i="37"/>
  <c r="S85" i="37"/>
  <c r="R85" i="37"/>
  <c r="Q85" i="37"/>
  <c r="P85" i="37"/>
  <c r="O85" i="37"/>
  <c r="S84" i="37"/>
  <c r="R84" i="37"/>
  <c r="Q84" i="37"/>
  <c r="P84" i="37"/>
  <c r="O84" i="37"/>
  <c r="S83" i="37"/>
  <c r="R83" i="37"/>
  <c r="Q83" i="37"/>
  <c r="P83" i="37"/>
  <c r="O83" i="37"/>
  <c r="S82" i="37"/>
  <c r="R82" i="37"/>
  <c r="Q82" i="37"/>
  <c r="P82" i="37"/>
  <c r="O82" i="37"/>
  <c r="S81" i="37"/>
  <c r="R81" i="37"/>
  <c r="Q81" i="37"/>
  <c r="P81" i="37"/>
  <c r="O81" i="37"/>
  <c r="S77" i="37"/>
  <c r="R77" i="37"/>
  <c r="Q77" i="37"/>
  <c r="P77" i="37"/>
  <c r="O77" i="37"/>
  <c r="AD76" i="37"/>
  <c r="S76" i="37"/>
  <c r="R76" i="37"/>
  <c r="Q76" i="37"/>
  <c r="P76" i="37"/>
  <c r="O76" i="37"/>
  <c r="S75" i="37"/>
  <c r="R75" i="37"/>
  <c r="Q75" i="37"/>
  <c r="P75" i="37"/>
  <c r="O75" i="37"/>
  <c r="AD74" i="37"/>
  <c r="S74" i="37"/>
  <c r="R74" i="37"/>
  <c r="Q74" i="37"/>
  <c r="P74" i="37"/>
  <c r="O74" i="37"/>
  <c r="S73" i="37"/>
  <c r="R73" i="37"/>
  <c r="Q73" i="37"/>
  <c r="P73" i="37"/>
  <c r="O73" i="37"/>
  <c r="AD72" i="37"/>
  <c r="S72" i="37"/>
  <c r="R72" i="37"/>
  <c r="Q72" i="37"/>
  <c r="P72" i="37"/>
  <c r="O72" i="37"/>
  <c r="S71" i="37"/>
  <c r="R71" i="37"/>
  <c r="Q71" i="37"/>
  <c r="P71" i="37"/>
  <c r="O71" i="37"/>
  <c r="AD70" i="37"/>
  <c r="S70" i="37"/>
  <c r="R70" i="37"/>
  <c r="Q70" i="37"/>
  <c r="P70" i="37"/>
  <c r="O70" i="37"/>
  <c r="S69" i="37"/>
  <c r="R69" i="37"/>
  <c r="Q69" i="37"/>
  <c r="P69" i="37"/>
  <c r="O69" i="37"/>
  <c r="AD68" i="37"/>
  <c r="S68" i="37"/>
  <c r="R68" i="37"/>
  <c r="Q68" i="37"/>
  <c r="P68" i="37"/>
  <c r="O68" i="37"/>
  <c r="S67" i="37"/>
  <c r="R67" i="37"/>
  <c r="Q67" i="37"/>
  <c r="P67" i="37"/>
  <c r="O67" i="37"/>
  <c r="AD66" i="37"/>
  <c r="S66" i="37"/>
  <c r="R66" i="37"/>
  <c r="Q66" i="37"/>
  <c r="P66" i="37"/>
  <c r="O66" i="37"/>
  <c r="S65" i="37"/>
  <c r="R65" i="37"/>
  <c r="Q65" i="37"/>
  <c r="P65" i="37"/>
  <c r="O65" i="37"/>
  <c r="AD64" i="37"/>
  <c r="S64" i="37"/>
  <c r="R64" i="37"/>
  <c r="Q64" i="37"/>
  <c r="P64" i="37"/>
  <c r="O64" i="37"/>
  <c r="S63" i="37"/>
  <c r="R63" i="37"/>
  <c r="Q63" i="37"/>
  <c r="P63" i="37"/>
  <c r="O63" i="37"/>
  <c r="S62" i="37"/>
  <c r="R62" i="37"/>
  <c r="Q62" i="37"/>
  <c r="P62" i="37"/>
  <c r="O62" i="37"/>
  <c r="S61" i="37"/>
  <c r="R61" i="37"/>
  <c r="Q61" i="37"/>
  <c r="T61" i="37" s="1"/>
  <c r="P61" i="37"/>
  <c r="O61" i="37"/>
  <c r="S60" i="37"/>
  <c r="R60" i="37"/>
  <c r="Q60" i="37"/>
  <c r="P60" i="37"/>
  <c r="O60" i="37"/>
  <c r="S59" i="37"/>
  <c r="R59" i="37"/>
  <c r="Q59" i="37"/>
  <c r="P59" i="37"/>
  <c r="O59" i="37"/>
  <c r="AD58" i="37"/>
  <c r="S58" i="37"/>
  <c r="R58" i="37"/>
  <c r="Q58" i="37"/>
  <c r="P58" i="37"/>
  <c r="O58" i="37"/>
  <c r="AD100" i="36"/>
  <c r="S100" i="36"/>
  <c r="R100" i="36"/>
  <c r="Q100" i="36"/>
  <c r="P100" i="36"/>
  <c r="O100" i="36"/>
  <c r="S99" i="36"/>
  <c r="R99" i="36"/>
  <c r="Q99" i="36"/>
  <c r="P99" i="36"/>
  <c r="O99" i="36"/>
  <c r="S98" i="36"/>
  <c r="R98" i="36"/>
  <c r="Q98" i="36"/>
  <c r="P98" i="36"/>
  <c r="O98" i="36"/>
  <c r="S97" i="36"/>
  <c r="R97" i="36"/>
  <c r="Q97" i="36"/>
  <c r="P97" i="36"/>
  <c r="O97" i="36"/>
  <c r="S96" i="36"/>
  <c r="R96" i="36"/>
  <c r="Q96" i="36"/>
  <c r="P96" i="36"/>
  <c r="O96" i="36"/>
  <c r="S95" i="36"/>
  <c r="R95" i="36"/>
  <c r="Q95" i="36"/>
  <c r="P95" i="36"/>
  <c r="O95" i="36"/>
  <c r="AD94" i="36"/>
  <c r="S94" i="36"/>
  <c r="R94" i="36"/>
  <c r="Q94" i="36"/>
  <c r="P94" i="36"/>
  <c r="O94" i="36"/>
  <c r="S93" i="36"/>
  <c r="R93" i="36"/>
  <c r="Q93" i="36"/>
  <c r="P93" i="36"/>
  <c r="O93" i="36"/>
  <c r="S92" i="36"/>
  <c r="R92" i="36"/>
  <c r="Q92" i="36"/>
  <c r="P92" i="36"/>
  <c r="O92" i="36"/>
  <c r="S91" i="36"/>
  <c r="R91" i="36"/>
  <c r="Q91" i="36"/>
  <c r="P91" i="36"/>
  <c r="O91" i="36"/>
  <c r="S90" i="36"/>
  <c r="R90" i="36"/>
  <c r="Q90" i="36"/>
  <c r="P90" i="36"/>
  <c r="O90" i="36"/>
  <c r="S89" i="36"/>
  <c r="R89" i="36"/>
  <c r="Q89" i="36"/>
  <c r="P89" i="36"/>
  <c r="O89" i="36"/>
  <c r="S88" i="36"/>
  <c r="R88" i="36"/>
  <c r="Q88" i="36"/>
  <c r="P88" i="36"/>
  <c r="O88" i="36"/>
  <c r="S87" i="36"/>
  <c r="R87" i="36"/>
  <c r="Q87" i="36"/>
  <c r="P87" i="36"/>
  <c r="O87" i="36"/>
  <c r="AD86" i="36"/>
  <c r="S86" i="36"/>
  <c r="R86" i="36"/>
  <c r="Q86" i="36"/>
  <c r="P86" i="36"/>
  <c r="O86" i="36"/>
  <c r="S85" i="36"/>
  <c r="R85" i="36"/>
  <c r="Q85" i="36"/>
  <c r="T85" i="36" s="1"/>
  <c r="P85" i="36"/>
  <c r="O85" i="36"/>
  <c r="S84" i="36"/>
  <c r="R84" i="36"/>
  <c r="Q84" i="36"/>
  <c r="P84" i="36"/>
  <c r="O84" i="36"/>
  <c r="S83" i="36"/>
  <c r="R83" i="36"/>
  <c r="Q83" i="36"/>
  <c r="P83" i="36"/>
  <c r="O83" i="36"/>
  <c r="S82" i="36"/>
  <c r="R82" i="36"/>
  <c r="Q82" i="36"/>
  <c r="P82" i="36"/>
  <c r="O82" i="36"/>
  <c r="S81" i="36"/>
  <c r="R81" i="36"/>
  <c r="Q81" i="36"/>
  <c r="P81" i="36"/>
  <c r="O81" i="36"/>
  <c r="AD77" i="36"/>
  <c r="S77" i="36"/>
  <c r="R77" i="36"/>
  <c r="Q77" i="36"/>
  <c r="P77" i="36"/>
  <c r="O77" i="36"/>
  <c r="AD76" i="36"/>
  <c r="S76" i="36"/>
  <c r="R76" i="36"/>
  <c r="Q76" i="36"/>
  <c r="P76" i="36"/>
  <c r="O76" i="36"/>
  <c r="S75" i="36"/>
  <c r="R75" i="36"/>
  <c r="Q75" i="36"/>
  <c r="P75" i="36"/>
  <c r="O75" i="36"/>
  <c r="AD74" i="36"/>
  <c r="S74" i="36"/>
  <c r="R74" i="36"/>
  <c r="Q74" i="36"/>
  <c r="P74" i="36"/>
  <c r="O74" i="36"/>
  <c r="AD73" i="36"/>
  <c r="S73" i="36"/>
  <c r="R73" i="36"/>
  <c r="Q73" i="36"/>
  <c r="P73" i="36"/>
  <c r="O73" i="36"/>
  <c r="AD72" i="36"/>
  <c r="S72" i="36"/>
  <c r="R72" i="36"/>
  <c r="Q72" i="36"/>
  <c r="P72" i="36"/>
  <c r="O72" i="36"/>
  <c r="S71" i="36"/>
  <c r="R71" i="36"/>
  <c r="Q71" i="36"/>
  <c r="P71" i="36"/>
  <c r="O71" i="36"/>
  <c r="AD70" i="36"/>
  <c r="S70" i="36"/>
  <c r="R70" i="36"/>
  <c r="Q70" i="36"/>
  <c r="P70" i="36"/>
  <c r="O70" i="36"/>
  <c r="AD69" i="36"/>
  <c r="S69" i="36"/>
  <c r="R69" i="36"/>
  <c r="Q69" i="36"/>
  <c r="P69" i="36"/>
  <c r="O69" i="36"/>
  <c r="AD68" i="36"/>
  <c r="S68" i="36"/>
  <c r="R68" i="36"/>
  <c r="Q68" i="36"/>
  <c r="P68" i="36"/>
  <c r="O68" i="36"/>
  <c r="AD67" i="36"/>
  <c r="S67" i="36"/>
  <c r="R67" i="36"/>
  <c r="Q67" i="36"/>
  <c r="P67" i="36"/>
  <c r="O67" i="36"/>
  <c r="AD66" i="36"/>
  <c r="S66" i="36"/>
  <c r="R66" i="36"/>
  <c r="Q66" i="36"/>
  <c r="P66" i="36"/>
  <c r="O66" i="36"/>
  <c r="S65" i="36"/>
  <c r="R65" i="36"/>
  <c r="Q65" i="36"/>
  <c r="P65" i="36"/>
  <c r="O65" i="36"/>
  <c r="S64" i="36"/>
  <c r="R64" i="36"/>
  <c r="Q64" i="36"/>
  <c r="P64" i="36"/>
  <c r="O64" i="36"/>
  <c r="S63" i="36"/>
  <c r="R63" i="36"/>
  <c r="Q63" i="36"/>
  <c r="P63" i="36"/>
  <c r="O63" i="36"/>
  <c r="S62" i="36"/>
  <c r="R62" i="36"/>
  <c r="Q62" i="36"/>
  <c r="P62" i="36"/>
  <c r="O62" i="36"/>
  <c r="S61" i="36"/>
  <c r="R61" i="36"/>
  <c r="Q61" i="36"/>
  <c r="P61" i="36"/>
  <c r="O61" i="36"/>
  <c r="AD60" i="36"/>
  <c r="S60" i="36"/>
  <c r="R60" i="36"/>
  <c r="Q60" i="36"/>
  <c r="P60" i="36"/>
  <c r="O60" i="36"/>
  <c r="S59" i="36"/>
  <c r="R59" i="36"/>
  <c r="Q59" i="36"/>
  <c r="P59" i="36"/>
  <c r="O59" i="36"/>
  <c r="AD58" i="36"/>
  <c r="S58" i="36"/>
  <c r="R58" i="36"/>
  <c r="Q58" i="36"/>
  <c r="P58" i="36"/>
  <c r="O58" i="36"/>
  <c r="S100" i="35"/>
  <c r="R100" i="35"/>
  <c r="Q100" i="35"/>
  <c r="P100" i="35"/>
  <c r="O100" i="35"/>
  <c r="S99" i="35"/>
  <c r="R99" i="35"/>
  <c r="Q99" i="35"/>
  <c r="P99" i="35"/>
  <c r="O99" i="35"/>
  <c r="S98" i="35"/>
  <c r="R98" i="35"/>
  <c r="Q98" i="35"/>
  <c r="P98" i="35"/>
  <c r="O98" i="35"/>
  <c r="S97" i="35"/>
  <c r="R97" i="35"/>
  <c r="Q97" i="35"/>
  <c r="P97" i="35"/>
  <c r="O97" i="35"/>
  <c r="S96" i="35"/>
  <c r="R96" i="35"/>
  <c r="Q96" i="35"/>
  <c r="P96" i="35"/>
  <c r="O96" i="35"/>
  <c r="S95" i="35"/>
  <c r="R95" i="35"/>
  <c r="Q95" i="35"/>
  <c r="P95" i="35"/>
  <c r="O95" i="35"/>
  <c r="S94" i="35"/>
  <c r="R94" i="35"/>
  <c r="Q94" i="35"/>
  <c r="P94" i="35"/>
  <c r="O94" i="35"/>
  <c r="S93" i="35"/>
  <c r="R93" i="35"/>
  <c r="Q93" i="35"/>
  <c r="P93" i="35"/>
  <c r="O93" i="35"/>
  <c r="S92" i="35"/>
  <c r="R92" i="35"/>
  <c r="Q92" i="35"/>
  <c r="P92" i="35"/>
  <c r="O92" i="35"/>
  <c r="S91" i="35"/>
  <c r="R91" i="35"/>
  <c r="Q91" i="35"/>
  <c r="P91" i="35"/>
  <c r="O91" i="35"/>
  <c r="S90" i="35"/>
  <c r="R90" i="35"/>
  <c r="Q90" i="35"/>
  <c r="P90" i="35"/>
  <c r="O90" i="35"/>
  <c r="S89" i="35"/>
  <c r="R89" i="35"/>
  <c r="Q89" i="35"/>
  <c r="P89" i="35"/>
  <c r="O89" i="35"/>
  <c r="S88" i="35"/>
  <c r="R88" i="35"/>
  <c r="Q88" i="35"/>
  <c r="P88" i="35"/>
  <c r="O88" i="35"/>
  <c r="S87" i="35"/>
  <c r="R87" i="35"/>
  <c r="Q87" i="35"/>
  <c r="P87" i="35"/>
  <c r="O87" i="35"/>
  <c r="S86" i="35"/>
  <c r="R86" i="35"/>
  <c r="Q86" i="35"/>
  <c r="P86" i="35"/>
  <c r="O86" i="35"/>
  <c r="S85" i="35"/>
  <c r="R85" i="35"/>
  <c r="Q85" i="35"/>
  <c r="P85" i="35"/>
  <c r="O85" i="35"/>
  <c r="S84" i="35"/>
  <c r="R84" i="35"/>
  <c r="Q84" i="35"/>
  <c r="P84" i="35"/>
  <c r="O84" i="35"/>
  <c r="S83" i="35"/>
  <c r="R83" i="35"/>
  <c r="Q83" i="35"/>
  <c r="P83" i="35"/>
  <c r="O83" i="35"/>
  <c r="S82" i="35"/>
  <c r="R82" i="35"/>
  <c r="Q82" i="35"/>
  <c r="P82" i="35"/>
  <c r="O82" i="35"/>
  <c r="S81" i="35"/>
  <c r="R81" i="35"/>
  <c r="Q81" i="35"/>
  <c r="P81" i="35"/>
  <c r="O81" i="35"/>
  <c r="S77" i="35"/>
  <c r="R77" i="35"/>
  <c r="Q77" i="35"/>
  <c r="P77" i="35"/>
  <c r="O77" i="35"/>
  <c r="S76" i="35"/>
  <c r="R76" i="35"/>
  <c r="Q76" i="35"/>
  <c r="P76" i="35"/>
  <c r="O76" i="35"/>
  <c r="S75" i="35"/>
  <c r="R75" i="35"/>
  <c r="Q75" i="35"/>
  <c r="P75" i="35"/>
  <c r="O75" i="35"/>
  <c r="S74" i="35"/>
  <c r="R74" i="35"/>
  <c r="Q74" i="35"/>
  <c r="P74" i="35"/>
  <c r="O74" i="35"/>
  <c r="S73" i="35"/>
  <c r="R73" i="35"/>
  <c r="Q73" i="35"/>
  <c r="P73" i="35"/>
  <c r="O73" i="35"/>
  <c r="S72" i="35"/>
  <c r="R72" i="35"/>
  <c r="Q72" i="35"/>
  <c r="P72" i="35"/>
  <c r="O72" i="35"/>
  <c r="S71" i="35"/>
  <c r="R71" i="35"/>
  <c r="Q71" i="35"/>
  <c r="P71" i="35"/>
  <c r="O71" i="35"/>
  <c r="S70" i="35"/>
  <c r="R70" i="35"/>
  <c r="Q70" i="35"/>
  <c r="P70" i="35"/>
  <c r="O70" i="35"/>
  <c r="S69" i="35"/>
  <c r="R69" i="35"/>
  <c r="Q69" i="35"/>
  <c r="P69" i="35"/>
  <c r="O69" i="35"/>
  <c r="S68" i="35"/>
  <c r="R68" i="35"/>
  <c r="Q68" i="35"/>
  <c r="P68" i="35"/>
  <c r="O68" i="35"/>
  <c r="S67" i="35"/>
  <c r="R67" i="35"/>
  <c r="Q67" i="35"/>
  <c r="P67" i="35"/>
  <c r="O67" i="35"/>
  <c r="S66" i="35"/>
  <c r="R66" i="35"/>
  <c r="Q66" i="35"/>
  <c r="P66" i="35"/>
  <c r="O66" i="35"/>
  <c r="S65" i="35"/>
  <c r="R65" i="35"/>
  <c r="Q65" i="35"/>
  <c r="P65" i="35"/>
  <c r="O65" i="35"/>
  <c r="S64" i="35"/>
  <c r="R64" i="35"/>
  <c r="Q64" i="35"/>
  <c r="P64" i="35"/>
  <c r="O64" i="35"/>
  <c r="S63" i="35"/>
  <c r="R63" i="35"/>
  <c r="Q63" i="35"/>
  <c r="P63" i="35"/>
  <c r="O63" i="35"/>
  <c r="S62" i="35"/>
  <c r="R62" i="35"/>
  <c r="Q62" i="35"/>
  <c r="P62" i="35"/>
  <c r="O62" i="35"/>
  <c r="S61" i="35"/>
  <c r="R61" i="35"/>
  <c r="Q61" i="35"/>
  <c r="P61" i="35"/>
  <c r="O61" i="35"/>
  <c r="S60" i="35"/>
  <c r="R60" i="35"/>
  <c r="Q60" i="35"/>
  <c r="P60" i="35"/>
  <c r="O60" i="35"/>
  <c r="S59" i="35"/>
  <c r="R59" i="35"/>
  <c r="Q59" i="35"/>
  <c r="P59" i="35"/>
  <c r="O59" i="35"/>
  <c r="S58" i="35"/>
  <c r="R58" i="35"/>
  <c r="Q58" i="35"/>
  <c r="P58" i="35"/>
  <c r="O58" i="35"/>
  <c r="S100" i="34"/>
  <c r="R100" i="34"/>
  <c r="Q100" i="34"/>
  <c r="P100" i="34"/>
  <c r="O100" i="34"/>
  <c r="S99" i="34"/>
  <c r="R99" i="34"/>
  <c r="Q99" i="34"/>
  <c r="P99" i="34"/>
  <c r="O99" i="34"/>
  <c r="S98" i="34"/>
  <c r="R98" i="34"/>
  <c r="Q98" i="34"/>
  <c r="P98" i="34"/>
  <c r="O98" i="34"/>
  <c r="S97" i="34"/>
  <c r="R97" i="34"/>
  <c r="Q97" i="34"/>
  <c r="P97" i="34"/>
  <c r="O97" i="34"/>
  <c r="S96" i="34"/>
  <c r="R96" i="34"/>
  <c r="Q96" i="34"/>
  <c r="P96" i="34"/>
  <c r="O96" i="34"/>
  <c r="S95" i="34"/>
  <c r="R95" i="34"/>
  <c r="Q95" i="34"/>
  <c r="P95" i="34"/>
  <c r="O95" i="34"/>
  <c r="S94" i="34"/>
  <c r="R94" i="34"/>
  <c r="Q94" i="34"/>
  <c r="P94" i="34"/>
  <c r="O94" i="34"/>
  <c r="S93" i="34"/>
  <c r="R93" i="34"/>
  <c r="Q93" i="34"/>
  <c r="P93" i="34"/>
  <c r="O93" i="34"/>
  <c r="S92" i="34"/>
  <c r="R92" i="34"/>
  <c r="Q92" i="34"/>
  <c r="P92" i="34"/>
  <c r="O92" i="34"/>
  <c r="S91" i="34"/>
  <c r="R91" i="34"/>
  <c r="Q91" i="34"/>
  <c r="P91" i="34"/>
  <c r="O91" i="34"/>
  <c r="S90" i="34"/>
  <c r="R90" i="34"/>
  <c r="Q90" i="34"/>
  <c r="P90" i="34"/>
  <c r="O90" i="34"/>
  <c r="S89" i="34"/>
  <c r="R89" i="34"/>
  <c r="Q89" i="34"/>
  <c r="P89" i="34"/>
  <c r="O89" i="34"/>
  <c r="S88" i="34"/>
  <c r="R88" i="34"/>
  <c r="Q88" i="34"/>
  <c r="P88" i="34"/>
  <c r="O88" i="34"/>
  <c r="S87" i="34"/>
  <c r="R87" i="34"/>
  <c r="Q87" i="34"/>
  <c r="P87" i="34"/>
  <c r="O87" i="34"/>
  <c r="S86" i="34"/>
  <c r="R86" i="34"/>
  <c r="Q86" i="34"/>
  <c r="P86" i="34"/>
  <c r="O86" i="34"/>
  <c r="S85" i="34"/>
  <c r="R85" i="34"/>
  <c r="Q85" i="34"/>
  <c r="P85" i="34"/>
  <c r="O85" i="34"/>
  <c r="AD84" i="34"/>
  <c r="S84" i="34"/>
  <c r="R84" i="34"/>
  <c r="Q84" i="34"/>
  <c r="P84" i="34"/>
  <c r="O84" i="34"/>
  <c r="S83" i="34"/>
  <c r="R83" i="34"/>
  <c r="Q83" i="34"/>
  <c r="P83" i="34"/>
  <c r="O83" i="34"/>
  <c r="S82" i="34"/>
  <c r="R82" i="34"/>
  <c r="Q82" i="34"/>
  <c r="P82" i="34"/>
  <c r="O82" i="34"/>
  <c r="S81" i="34"/>
  <c r="R81" i="34"/>
  <c r="Q81" i="34"/>
  <c r="P81" i="34"/>
  <c r="O81" i="34"/>
  <c r="AD77" i="34"/>
  <c r="S77" i="34"/>
  <c r="R77" i="34"/>
  <c r="Q77" i="34"/>
  <c r="P77" i="34"/>
  <c r="O77" i="34"/>
  <c r="AD76" i="34"/>
  <c r="S76" i="34"/>
  <c r="R76" i="34"/>
  <c r="Q76" i="34"/>
  <c r="P76" i="34"/>
  <c r="O76" i="34"/>
  <c r="S75" i="34"/>
  <c r="R75" i="34"/>
  <c r="Q75" i="34"/>
  <c r="P75" i="34"/>
  <c r="O75" i="34"/>
  <c r="AD74" i="34"/>
  <c r="S74" i="34"/>
  <c r="R74" i="34"/>
  <c r="Q74" i="34"/>
  <c r="P74" i="34"/>
  <c r="O74" i="34"/>
  <c r="AD73" i="34"/>
  <c r="S73" i="34"/>
  <c r="R73" i="34"/>
  <c r="Q73" i="34"/>
  <c r="P73" i="34"/>
  <c r="O73" i="34"/>
  <c r="AD72" i="34"/>
  <c r="S72" i="34"/>
  <c r="R72" i="34"/>
  <c r="Q72" i="34"/>
  <c r="P72" i="34"/>
  <c r="O72" i="34"/>
  <c r="S71" i="34"/>
  <c r="R71" i="34"/>
  <c r="Q71" i="34"/>
  <c r="P71" i="34"/>
  <c r="O71" i="34"/>
  <c r="AD70" i="34"/>
  <c r="S70" i="34"/>
  <c r="R70" i="34"/>
  <c r="Q70" i="34"/>
  <c r="P70" i="34"/>
  <c r="O70" i="34"/>
  <c r="AD69" i="34"/>
  <c r="S69" i="34"/>
  <c r="R69" i="34"/>
  <c r="Q69" i="34"/>
  <c r="P69" i="34"/>
  <c r="O69" i="34"/>
  <c r="AD68" i="34"/>
  <c r="S68" i="34"/>
  <c r="R68" i="34"/>
  <c r="Q68" i="34"/>
  <c r="P68" i="34"/>
  <c r="O68" i="34"/>
  <c r="S67" i="34"/>
  <c r="R67" i="34"/>
  <c r="Q67" i="34"/>
  <c r="P67" i="34"/>
  <c r="O67" i="34"/>
  <c r="AD66" i="34"/>
  <c r="S66" i="34"/>
  <c r="R66" i="34"/>
  <c r="Q66" i="34"/>
  <c r="P66" i="34"/>
  <c r="O66" i="34"/>
  <c r="S65" i="34"/>
  <c r="R65" i="34"/>
  <c r="Q65" i="34"/>
  <c r="P65" i="34"/>
  <c r="O65" i="34"/>
  <c r="S64" i="34"/>
  <c r="R64" i="34"/>
  <c r="Q64" i="34"/>
  <c r="P64" i="34"/>
  <c r="O64" i="34"/>
  <c r="S63" i="34"/>
  <c r="R63" i="34"/>
  <c r="Q63" i="34"/>
  <c r="P63" i="34"/>
  <c r="O63" i="34"/>
  <c r="S62" i="34"/>
  <c r="R62" i="34"/>
  <c r="Q62" i="34"/>
  <c r="P62" i="34"/>
  <c r="O62" i="34"/>
  <c r="S61" i="34"/>
  <c r="R61" i="34"/>
  <c r="Q61" i="34"/>
  <c r="P61" i="34"/>
  <c r="O61" i="34"/>
  <c r="AD60" i="34"/>
  <c r="S60" i="34"/>
  <c r="R60" i="34"/>
  <c r="Q60" i="34"/>
  <c r="P60" i="34"/>
  <c r="O60" i="34"/>
  <c r="S59" i="34"/>
  <c r="R59" i="34"/>
  <c r="Q59" i="34"/>
  <c r="P59" i="34"/>
  <c r="O59" i="34"/>
  <c r="S58" i="34"/>
  <c r="R58" i="34"/>
  <c r="Q58" i="34"/>
  <c r="P58" i="34"/>
  <c r="O58" i="34"/>
  <c r="S100" i="33"/>
  <c r="R100" i="33"/>
  <c r="Q100" i="33"/>
  <c r="P100" i="33"/>
  <c r="O100" i="33"/>
  <c r="S99" i="33"/>
  <c r="R99" i="33"/>
  <c r="Q99" i="33"/>
  <c r="P99" i="33"/>
  <c r="O99" i="33"/>
  <c r="S98" i="33"/>
  <c r="R98" i="33"/>
  <c r="Q98" i="33"/>
  <c r="P98" i="33"/>
  <c r="O98" i="33"/>
  <c r="S97" i="33"/>
  <c r="R97" i="33"/>
  <c r="Q97" i="33"/>
  <c r="P97" i="33"/>
  <c r="O97" i="33"/>
  <c r="S96" i="33"/>
  <c r="R96" i="33"/>
  <c r="Q96" i="33"/>
  <c r="P96" i="33"/>
  <c r="O96" i="33"/>
  <c r="S95" i="33"/>
  <c r="R95" i="33"/>
  <c r="Q95" i="33"/>
  <c r="P95" i="33"/>
  <c r="O95" i="33"/>
  <c r="S94" i="33"/>
  <c r="R94" i="33"/>
  <c r="Q94" i="33"/>
  <c r="P94" i="33"/>
  <c r="O94" i="33"/>
  <c r="S93" i="33"/>
  <c r="R93" i="33"/>
  <c r="Q93" i="33"/>
  <c r="P93" i="33"/>
  <c r="O93" i="33"/>
  <c r="AD92" i="33"/>
  <c r="S92" i="33"/>
  <c r="R92" i="33"/>
  <c r="Q92" i="33"/>
  <c r="P92" i="33"/>
  <c r="O92" i="33"/>
  <c r="S91" i="33"/>
  <c r="R91" i="33"/>
  <c r="Q91" i="33"/>
  <c r="P91" i="33"/>
  <c r="O91" i="33"/>
  <c r="S90" i="33"/>
  <c r="R90" i="33"/>
  <c r="Q90" i="33"/>
  <c r="P90" i="33"/>
  <c r="O90" i="33"/>
  <c r="S89" i="33"/>
  <c r="R89" i="33"/>
  <c r="Q89" i="33"/>
  <c r="P89" i="33"/>
  <c r="O89" i="33"/>
  <c r="S88" i="33"/>
  <c r="R88" i="33"/>
  <c r="Q88" i="33"/>
  <c r="P88" i="33"/>
  <c r="O88" i="33"/>
  <c r="S87" i="33"/>
  <c r="R87" i="33"/>
  <c r="Q87" i="33"/>
  <c r="P87" i="33"/>
  <c r="O87" i="33"/>
  <c r="S86" i="33"/>
  <c r="R86" i="33"/>
  <c r="Q86" i="33"/>
  <c r="P86" i="33"/>
  <c r="O86" i="33"/>
  <c r="S85" i="33"/>
  <c r="R85" i="33"/>
  <c r="Q85" i="33"/>
  <c r="P85" i="33"/>
  <c r="O85" i="33"/>
  <c r="AD84" i="33"/>
  <c r="S84" i="33"/>
  <c r="R84" i="33"/>
  <c r="Q84" i="33"/>
  <c r="P84" i="33"/>
  <c r="O84" i="33"/>
  <c r="S83" i="33"/>
  <c r="R83" i="33"/>
  <c r="Q83" i="33"/>
  <c r="P83" i="33"/>
  <c r="O83" i="33"/>
  <c r="S82" i="33"/>
  <c r="R82" i="33"/>
  <c r="Q82" i="33"/>
  <c r="P82" i="33"/>
  <c r="O82" i="33"/>
  <c r="S81" i="33"/>
  <c r="R81" i="33"/>
  <c r="Q81" i="33"/>
  <c r="P81" i="33"/>
  <c r="O81" i="33"/>
  <c r="S77" i="33"/>
  <c r="R77" i="33"/>
  <c r="Q77" i="33"/>
  <c r="P77" i="33"/>
  <c r="O77" i="33"/>
  <c r="AD76" i="33"/>
  <c r="S76" i="33"/>
  <c r="R76" i="33"/>
  <c r="Q76" i="33"/>
  <c r="P76" i="33"/>
  <c r="O76" i="33"/>
  <c r="AD75" i="33"/>
  <c r="S75" i="33"/>
  <c r="R75" i="33"/>
  <c r="Q75" i="33"/>
  <c r="P75" i="33"/>
  <c r="O75" i="33"/>
  <c r="AD74" i="33"/>
  <c r="S74" i="33"/>
  <c r="R74" i="33"/>
  <c r="Q74" i="33"/>
  <c r="P74" i="33"/>
  <c r="O74" i="33"/>
  <c r="S73" i="33"/>
  <c r="R73" i="33"/>
  <c r="Q73" i="33"/>
  <c r="P73" i="33"/>
  <c r="O73" i="33"/>
  <c r="AD72" i="33"/>
  <c r="S72" i="33"/>
  <c r="R72" i="33"/>
  <c r="Q72" i="33"/>
  <c r="P72" i="33"/>
  <c r="O72" i="33"/>
  <c r="AD71" i="33"/>
  <c r="S71" i="33"/>
  <c r="R71" i="33"/>
  <c r="Q71" i="33"/>
  <c r="P71" i="33"/>
  <c r="O71" i="33"/>
  <c r="AD70" i="33"/>
  <c r="S70" i="33"/>
  <c r="R70" i="33"/>
  <c r="Q70" i="33"/>
  <c r="P70" i="33"/>
  <c r="O70" i="33"/>
  <c r="AD69" i="33"/>
  <c r="S69" i="33"/>
  <c r="R69" i="33"/>
  <c r="Q69" i="33"/>
  <c r="P69" i="33"/>
  <c r="O69" i="33"/>
  <c r="AD68" i="33"/>
  <c r="S68" i="33"/>
  <c r="R68" i="33"/>
  <c r="Q68" i="33"/>
  <c r="P68" i="33"/>
  <c r="O68" i="33"/>
  <c r="S67" i="33"/>
  <c r="R67" i="33"/>
  <c r="Q67" i="33"/>
  <c r="P67" i="33"/>
  <c r="O67" i="33"/>
  <c r="AD66" i="33"/>
  <c r="S66" i="33"/>
  <c r="R66" i="33"/>
  <c r="Q66" i="33"/>
  <c r="P66" i="33"/>
  <c r="O66" i="33"/>
  <c r="S65" i="33"/>
  <c r="R65" i="33"/>
  <c r="Q65" i="33"/>
  <c r="P65" i="33"/>
  <c r="O65" i="33"/>
  <c r="S64" i="33"/>
  <c r="R64" i="33"/>
  <c r="Q64" i="33"/>
  <c r="P64" i="33"/>
  <c r="O64" i="33"/>
  <c r="S63" i="33"/>
  <c r="R63" i="33"/>
  <c r="Q63" i="33"/>
  <c r="P63" i="33"/>
  <c r="O63" i="33"/>
  <c r="S62" i="33"/>
  <c r="R62" i="33"/>
  <c r="Q62" i="33"/>
  <c r="P62" i="33"/>
  <c r="O62" i="33"/>
  <c r="S61" i="33"/>
  <c r="R61" i="33"/>
  <c r="Q61" i="33"/>
  <c r="P61" i="33"/>
  <c r="O61" i="33"/>
  <c r="AD60" i="33"/>
  <c r="S60" i="33"/>
  <c r="R60" i="33"/>
  <c r="Q60" i="33"/>
  <c r="P60" i="33"/>
  <c r="O60" i="33"/>
  <c r="S59" i="33"/>
  <c r="R59" i="33"/>
  <c r="Q59" i="33"/>
  <c r="P59" i="33"/>
  <c r="O59" i="33"/>
  <c r="S58" i="33"/>
  <c r="R58" i="33"/>
  <c r="Q58" i="33"/>
  <c r="P58" i="33"/>
  <c r="O58" i="33"/>
  <c r="S100" i="32"/>
  <c r="R100" i="32"/>
  <c r="Q100" i="32"/>
  <c r="P100" i="32"/>
  <c r="O100" i="32"/>
  <c r="S99" i="32"/>
  <c r="R99" i="32"/>
  <c r="Q99" i="32"/>
  <c r="P99" i="32"/>
  <c r="O99" i="32"/>
  <c r="AD98" i="32"/>
  <c r="S98" i="32"/>
  <c r="R98" i="32"/>
  <c r="Q98" i="32"/>
  <c r="P98" i="32"/>
  <c r="O98" i="32"/>
  <c r="S97" i="32"/>
  <c r="R97" i="32"/>
  <c r="Q97" i="32"/>
  <c r="P97" i="32"/>
  <c r="O97" i="32"/>
  <c r="S96" i="32"/>
  <c r="R96" i="32"/>
  <c r="Q96" i="32"/>
  <c r="P96" i="32"/>
  <c r="O96" i="32"/>
  <c r="S95" i="32"/>
  <c r="R95" i="32"/>
  <c r="Q95" i="32"/>
  <c r="P95" i="32"/>
  <c r="O95" i="32"/>
  <c r="S94" i="32"/>
  <c r="R94" i="32"/>
  <c r="Q94" i="32"/>
  <c r="P94" i="32"/>
  <c r="O94" i="32"/>
  <c r="S93" i="32"/>
  <c r="R93" i="32"/>
  <c r="Q93" i="32"/>
  <c r="P93" i="32"/>
  <c r="O93" i="32"/>
  <c r="S92" i="32"/>
  <c r="R92" i="32"/>
  <c r="Q92" i="32"/>
  <c r="P92" i="32"/>
  <c r="O92" i="32"/>
  <c r="S91" i="32"/>
  <c r="R91" i="32"/>
  <c r="Q91" i="32"/>
  <c r="P91" i="32"/>
  <c r="O91" i="32"/>
  <c r="AD90" i="32"/>
  <c r="S90" i="32"/>
  <c r="R90" i="32"/>
  <c r="Q90" i="32"/>
  <c r="P90" i="32"/>
  <c r="O90" i="32"/>
  <c r="S89" i="32"/>
  <c r="R89" i="32"/>
  <c r="Q89" i="32"/>
  <c r="P89" i="32"/>
  <c r="O89" i="32"/>
  <c r="S88" i="32"/>
  <c r="R88" i="32"/>
  <c r="Q88" i="32"/>
  <c r="P88" i="32"/>
  <c r="O88" i="32"/>
  <c r="S87" i="32"/>
  <c r="R87" i="32"/>
  <c r="Q87" i="32"/>
  <c r="P87" i="32"/>
  <c r="O87" i="32"/>
  <c r="S86" i="32"/>
  <c r="R86" i="32"/>
  <c r="Q86" i="32"/>
  <c r="P86" i="32"/>
  <c r="O86" i="32"/>
  <c r="S85" i="32"/>
  <c r="R85" i="32"/>
  <c r="Q85" i="32"/>
  <c r="P85" i="32"/>
  <c r="O85" i="32"/>
  <c r="S84" i="32"/>
  <c r="R84" i="32"/>
  <c r="Q84" i="32"/>
  <c r="P84" i="32"/>
  <c r="O84" i="32"/>
  <c r="S83" i="32"/>
  <c r="R83" i="32"/>
  <c r="Q83" i="32"/>
  <c r="P83" i="32"/>
  <c r="O83" i="32"/>
  <c r="S82" i="32"/>
  <c r="R82" i="32"/>
  <c r="Q82" i="32"/>
  <c r="P82" i="32"/>
  <c r="O82" i="32"/>
  <c r="S81" i="32"/>
  <c r="R81" i="32"/>
  <c r="Q81" i="32"/>
  <c r="P81" i="32"/>
  <c r="O81" i="32"/>
  <c r="AD77" i="32"/>
  <c r="S77" i="32"/>
  <c r="R77" i="32"/>
  <c r="Q77" i="32"/>
  <c r="P77" i="32"/>
  <c r="O77" i="32"/>
  <c r="AD76" i="32"/>
  <c r="S76" i="32"/>
  <c r="R76" i="32"/>
  <c r="Q76" i="32"/>
  <c r="P76" i="32"/>
  <c r="O76" i="32"/>
  <c r="S75" i="32"/>
  <c r="R75" i="32"/>
  <c r="Q75" i="32"/>
  <c r="P75" i="32"/>
  <c r="O75" i="32"/>
  <c r="AD74" i="32"/>
  <c r="S74" i="32"/>
  <c r="R74" i="32"/>
  <c r="Q74" i="32"/>
  <c r="P74" i="32"/>
  <c r="O74" i="32"/>
  <c r="AD73" i="32"/>
  <c r="S73" i="32"/>
  <c r="R73" i="32"/>
  <c r="Q73" i="32"/>
  <c r="P73" i="32"/>
  <c r="O73" i="32"/>
  <c r="AD72" i="32"/>
  <c r="S72" i="32"/>
  <c r="R72" i="32"/>
  <c r="Q72" i="32"/>
  <c r="P72" i="32"/>
  <c r="O72" i="32"/>
  <c r="S71" i="32"/>
  <c r="R71" i="32"/>
  <c r="Q71" i="32"/>
  <c r="P71" i="32"/>
  <c r="O71" i="32"/>
  <c r="AD70" i="32"/>
  <c r="S70" i="32"/>
  <c r="R70" i="32"/>
  <c r="Q70" i="32"/>
  <c r="P70" i="32"/>
  <c r="O70" i="32"/>
  <c r="AD69" i="32"/>
  <c r="S69" i="32"/>
  <c r="R69" i="32"/>
  <c r="Q69" i="32"/>
  <c r="P69" i="32"/>
  <c r="O69" i="32"/>
  <c r="AD68" i="32"/>
  <c r="S68" i="32"/>
  <c r="R68" i="32"/>
  <c r="Q68" i="32"/>
  <c r="P68" i="32"/>
  <c r="O68" i="32"/>
  <c r="S67" i="32"/>
  <c r="R67" i="32"/>
  <c r="Q67" i="32"/>
  <c r="P67" i="32"/>
  <c r="O67" i="32"/>
  <c r="AD66" i="32"/>
  <c r="S66" i="32"/>
  <c r="R66" i="32"/>
  <c r="Q66" i="32"/>
  <c r="P66" i="32"/>
  <c r="O66" i="32"/>
  <c r="S65" i="32"/>
  <c r="R65" i="32"/>
  <c r="Q65" i="32"/>
  <c r="P65" i="32"/>
  <c r="O65" i="32"/>
  <c r="S64" i="32"/>
  <c r="R64" i="32"/>
  <c r="Q64" i="32"/>
  <c r="P64" i="32"/>
  <c r="O64" i="32"/>
  <c r="S63" i="32"/>
  <c r="R63" i="32"/>
  <c r="Q63" i="32"/>
  <c r="P63" i="32"/>
  <c r="O63" i="32"/>
  <c r="S62" i="32"/>
  <c r="R62" i="32"/>
  <c r="Q62" i="32"/>
  <c r="P62" i="32"/>
  <c r="O62" i="32"/>
  <c r="S61" i="32"/>
  <c r="R61" i="32"/>
  <c r="Q61" i="32"/>
  <c r="P61" i="32"/>
  <c r="O61" i="32"/>
  <c r="AD60" i="32"/>
  <c r="S60" i="32"/>
  <c r="R60" i="32"/>
  <c r="Q60" i="32"/>
  <c r="P60" i="32"/>
  <c r="O60" i="32"/>
  <c r="S59" i="32"/>
  <c r="R59" i="32"/>
  <c r="Q59" i="32"/>
  <c r="P59" i="32"/>
  <c r="O59" i="32"/>
  <c r="S58" i="32"/>
  <c r="R58" i="32"/>
  <c r="Q58" i="32"/>
  <c r="P58" i="32"/>
  <c r="O58" i="32"/>
  <c r="S100" i="31"/>
  <c r="R100" i="31"/>
  <c r="Q100" i="31"/>
  <c r="P100" i="31"/>
  <c r="O100" i="31"/>
  <c r="S99" i="31"/>
  <c r="R99" i="31"/>
  <c r="Q99" i="31"/>
  <c r="P99" i="31"/>
  <c r="O99" i="31"/>
  <c r="S98" i="31"/>
  <c r="R98" i="31"/>
  <c r="Q98" i="31"/>
  <c r="P98" i="31"/>
  <c r="O98" i="31"/>
  <c r="S97" i="31"/>
  <c r="R97" i="31"/>
  <c r="Q97" i="31"/>
  <c r="P97" i="31"/>
  <c r="O97" i="31"/>
  <c r="S96" i="31"/>
  <c r="R96" i="31"/>
  <c r="Q96" i="31"/>
  <c r="P96" i="31"/>
  <c r="O96" i="31"/>
  <c r="S95" i="31"/>
  <c r="R95" i="31"/>
  <c r="Q95" i="31"/>
  <c r="P95" i="31"/>
  <c r="O95" i="31"/>
  <c r="S94" i="31"/>
  <c r="R94" i="31"/>
  <c r="Q94" i="31"/>
  <c r="P94" i="31"/>
  <c r="O94" i="31"/>
  <c r="S93" i="31"/>
  <c r="R93" i="31"/>
  <c r="Q93" i="31"/>
  <c r="T93" i="31" s="1"/>
  <c r="P93" i="31"/>
  <c r="O93" i="31"/>
  <c r="S92" i="31"/>
  <c r="R92" i="31"/>
  <c r="Q92" i="31"/>
  <c r="P92" i="31"/>
  <c r="O92" i="31"/>
  <c r="S91" i="31"/>
  <c r="R91" i="31"/>
  <c r="Q91" i="31"/>
  <c r="P91" i="31"/>
  <c r="O91" i="31"/>
  <c r="S90" i="31"/>
  <c r="R90" i="31"/>
  <c r="Q90" i="31"/>
  <c r="T90" i="31" s="1"/>
  <c r="P90" i="31"/>
  <c r="O90" i="31"/>
  <c r="S89" i="31"/>
  <c r="R89" i="31"/>
  <c r="Q89" i="31"/>
  <c r="P89" i="31"/>
  <c r="O89" i="31"/>
  <c r="S88" i="31"/>
  <c r="R88" i="31"/>
  <c r="Q88" i="31"/>
  <c r="P88" i="31"/>
  <c r="O88" i="31"/>
  <c r="S87" i="31"/>
  <c r="R87" i="31"/>
  <c r="Q87" i="31"/>
  <c r="P87" i="31"/>
  <c r="O87" i="31"/>
  <c r="S86" i="31"/>
  <c r="R86" i="31"/>
  <c r="Q86" i="31"/>
  <c r="P86" i="31"/>
  <c r="O86" i="31"/>
  <c r="S85" i="31"/>
  <c r="R85" i="31"/>
  <c r="Q85" i="31"/>
  <c r="P85" i="31"/>
  <c r="O85" i="31"/>
  <c r="S84" i="31"/>
  <c r="R84" i="31"/>
  <c r="Q84" i="31"/>
  <c r="P84" i="31"/>
  <c r="O84" i="31"/>
  <c r="S83" i="31"/>
  <c r="R83" i="31"/>
  <c r="Q83" i="31"/>
  <c r="P83" i="31"/>
  <c r="O83" i="31"/>
  <c r="S82" i="31"/>
  <c r="R82" i="31"/>
  <c r="Q82" i="31"/>
  <c r="P82" i="31"/>
  <c r="O82" i="31"/>
  <c r="S81" i="31"/>
  <c r="R81" i="31"/>
  <c r="Q81" i="31"/>
  <c r="P81" i="31"/>
  <c r="O81" i="31"/>
  <c r="AD77" i="31"/>
  <c r="S77" i="31"/>
  <c r="R77" i="31"/>
  <c r="Q77" i="31"/>
  <c r="P77" i="31"/>
  <c r="O77" i="31"/>
  <c r="AD76" i="31"/>
  <c r="S76" i="31"/>
  <c r="R76" i="31"/>
  <c r="Q76" i="31"/>
  <c r="P76" i="31"/>
  <c r="O76" i="31"/>
  <c r="S75" i="31"/>
  <c r="R75" i="31"/>
  <c r="Q75" i="31"/>
  <c r="P75" i="31"/>
  <c r="O75" i="31"/>
  <c r="AD74" i="31"/>
  <c r="S74" i="31"/>
  <c r="R74" i="31"/>
  <c r="Q74" i="31"/>
  <c r="P74" i="31"/>
  <c r="O74" i="31"/>
  <c r="AD73" i="31"/>
  <c r="S73" i="31"/>
  <c r="R73" i="31"/>
  <c r="Q73" i="31"/>
  <c r="P73" i="31"/>
  <c r="O73" i="31"/>
  <c r="AD72" i="31"/>
  <c r="S72" i="31"/>
  <c r="R72" i="31"/>
  <c r="Q72" i="31"/>
  <c r="P72" i="31"/>
  <c r="O72" i="31"/>
  <c r="S71" i="31"/>
  <c r="R71" i="31"/>
  <c r="Q71" i="31"/>
  <c r="P71" i="31"/>
  <c r="O71" i="31"/>
  <c r="AD70" i="31"/>
  <c r="S70" i="31"/>
  <c r="R70" i="31"/>
  <c r="Q70" i="31"/>
  <c r="T70" i="31" s="1"/>
  <c r="P70" i="31"/>
  <c r="O70" i="31"/>
  <c r="AD69" i="31"/>
  <c r="S69" i="31"/>
  <c r="R69" i="31"/>
  <c r="Q69" i="31"/>
  <c r="P69" i="31"/>
  <c r="O69" i="31"/>
  <c r="AD68" i="31"/>
  <c r="S68" i="31"/>
  <c r="R68" i="31"/>
  <c r="Q68" i="31"/>
  <c r="T68" i="31" s="1"/>
  <c r="P68" i="31"/>
  <c r="O68" i="31"/>
  <c r="S67" i="31"/>
  <c r="R67" i="31"/>
  <c r="Q67" i="31"/>
  <c r="P67" i="31"/>
  <c r="O67" i="31"/>
  <c r="AD66" i="31"/>
  <c r="S66" i="31"/>
  <c r="R66" i="31"/>
  <c r="Q66" i="31"/>
  <c r="P66" i="31"/>
  <c r="O66" i="31"/>
  <c r="S65" i="31"/>
  <c r="R65" i="31"/>
  <c r="Q65" i="31"/>
  <c r="P65" i="31"/>
  <c r="O65" i="31"/>
  <c r="S64" i="31"/>
  <c r="R64" i="31"/>
  <c r="Q64" i="31"/>
  <c r="P64" i="31"/>
  <c r="O64" i="31"/>
  <c r="S63" i="31"/>
  <c r="R63" i="31"/>
  <c r="Q63" i="31"/>
  <c r="P63" i="31"/>
  <c r="O63" i="31"/>
  <c r="S62" i="31"/>
  <c r="R62" i="31"/>
  <c r="Q62" i="31"/>
  <c r="P62" i="31"/>
  <c r="O62" i="31"/>
  <c r="S61" i="31"/>
  <c r="R61" i="31"/>
  <c r="Q61" i="31"/>
  <c r="P61" i="31"/>
  <c r="O61" i="31"/>
  <c r="AD60" i="31"/>
  <c r="S60" i="31"/>
  <c r="R60" i="31"/>
  <c r="Q60" i="31"/>
  <c r="P60" i="31"/>
  <c r="O60" i="31"/>
  <c r="S59" i="31"/>
  <c r="R59" i="31"/>
  <c r="Q59" i="31"/>
  <c r="P59" i="31"/>
  <c r="O59" i="31"/>
  <c r="S58" i="31"/>
  <c r="R58" i="31"/>
  <c r="Q58" i="31"/>
  <c r="P58" i="31"/>
  <c r="O58" i="31"/>
  <c r="O58" i="30"/>
  <c r="S100" i="30"/>
  <c r="R100" i="30"/>
  <c r="Q100" i="30"/>
  <c r="P100" i="30"/>
  <c r="O100" i="30"/>
  <c r="S99" i="30"/>
  <c r="R99" i="30"/>
  <c r="Q99" i="30"/>
  <c r="T99" i="30" s="1"/>
  <c r="P99" i="30"/>
  <c r="O99" i="30"/>
  <c r="S98" i="30"/>
  <c r="R98" i="30"/>
  <c r="Q98" i="30"/>
  <c r="P98" i="30"/>
  <c r="O98" i="30"/>
  <c r="S97" i="30"/>
  <c r="R97" i="30"/>
  <c r="Q97" i="30"/>
  <c r="P97" i="30"/>
  <c r="O97" i="30"/>
  <c r="S96" i="30"/>
  <c r="R96" i="30"/>
  <c r="Q96" i="30"/>
  <c r="P96" i="30"/>
  <c r="O96" i="30"/>
  <c r="S95" i="30"/>
  <c r="R95" i="30"/>
  <c r="Q95" i="30"/>
  <c r="P95" i="30"/>
  <c r="O95" i="30"/>
  <c r="S94" i="30"/>
  <c r="R94" i="30"/>
  <c r="Q94" i="30"/>
  <c r="P94" i="30"/>
  <c r="O94" i="30"/>
  <c r="S93" i="30"/>
  <c r="R93" i="30"/>
  <c r="Q93" i="30"/>
  <c r="P93" i="30"/>
  <c r="O93" i="30"/>
  <c r="S92" i="30"/>
  <c r="R92" i="30"/>
  <c r="Q92" i="30"/>
  <c r="P92" i="30"/>
  <c r="O92" i="30"/>
  <c r="S91" i="30"/>
  <c r="R91" i="30"/>
  <c r="Q91" i="30"/>
  <c r="P91" i="30"/>
  <c r="O91" i="30"/>
  <c r="S90" i="30"/>
  <c r="R90" i="30"/>
  <c r="Q90" i="30"/>
  <c r="P90" i="30"/>
  <c r="O90" i="30"/>
  <c r="S89" i="30"/>
  <c r="R89" i="30"/>
  <c r="Q89" i="30"/>
  <c r="P89" i="30"/>
  <c r="O89" i="30"/>
  <c r="S88" i="30"/>
  <c r="R88" i="30"/>
  <c r="Q88" i="30"/>
  <c r="P88" i="30"/>
  <c r="O88" i="30"/>
  <c r="S87" i="30"/>
  <c r="R87" i="30"/>
  <c r="Q87" i="30"/>
  <c r="P87" i="30"/>
  <c r="O87" i="30"/>
  <c r="S86" i="30"/>
  <c r="R86" i="30"/>
  <c r="Q86" i="30"/>
  <c r="P86" i="30"/>
  <c r="O86" i="30"/>
  <c r="S85" i="30"/>
  <c r="R85" i="30"/>
  <c r="Q85" i="30"/>
  <c r="P85" i="30"/>
  <c r="O85" i="30"/>
  <c r="S84" i="30"/>
  <c r="R84" i="30"/>
  <c r="Q84" i="30"/>
  <c r="P84" i="30"/>
  <c r="O84" i="30"/>
  <c r="S83" i="30"/>
  <c r="R83" i="30"/>
  <c r="Q83" i="30"/>
  <c r="P83" i="30"/>
  <c r="O83" i="30"/>
  <c r="S82" i="30"/>
  <c r="R82" i="30"/>
  <c r="Q82" i="30"/>
  <c r="P82" i="30"/>
  <c r="O82" i="30"/>
  <c r="S81" i="30"/>
  <c r="R81" i="30"/>
  <c r="Q81" i="30"/>
  <c r="P81" i="30"/>
  <c r="O81" i="30"/>
  <c r="AD77" i="30"/>
  <c r="S77" i="30"/>
  <c r="R77" i="30"/>
  <c r="Q77" i="30"/>
  <c r="P77" i="30"/>
  <c r="O77" i="30"/>
  <c r="AD76" i="30"/>
  <c r="S76" i="30"/>
  <c r="R76" i="30"/>
  <c r="Q76" i="30"/>
  <c r="P76" i="30"/>
  <c r="O76" i="30"/>
  <c r="AD75" i="30"/>
  <c r="S75" i="30"/>
  <c r="R75" i="30"/>
  <c r="Q75" i="30"/>
  <c r="P75" i="30"/>
  <c r="O75" i="30"/>
  <c r="AD74" i="30"/>
  <c r="S74" i="30"/>
  <c r="R74" i="30"/>
  <c r="Q74" i="30"/>
  <c r="P74" i="30"/>
  <c r="O74" i="30"/>
  <c r="AD73" i="30"/>
  <c r="S73" i="30"/>
  <c r="R73" i="30"/>
  <c r="Q73" i="30"/>
  <c r="P73" i="30"/>
  <c r="O73" i="30"/>
  <c r="AD72" i="30"/>
  <c r="S72" i="30"/>
  <c r="R72" i="30"/>
  <c r="Q72" i="30"/>
  <c r="P72" i="30"/>
  <c r="O72" i="30"/>
  <c r="AD71" i="30"/>
  <c r="S71" i="30"/>
  <c r="R71" i="30"/>
  <c r="Q71" i="30"/>
  <c r="P71" i="30"/>
  <c r="O71" i="30"/>
  <c r="AD70" i="30"/>
  <c r="S70" i="30"/>
  <c r="R70" i="30"/>
  <c r="Q70" i="30"/>
  <c r="P70" i="30"/>
  <c r="O70" i="30"/>
  <c r="AD69" i="30"/>
  <c r="S69" i="30"/>
  <c r="R69" i="30"/>
  <c r="Q69" i="30"/>
  <c r="P69" i="30"/>
  <c r="O69" i="30"/>
  <c r="AD68" i="30"/>
  <c r="S68" i="30"/>
  <c r="R68" i="30"/>
  <c r="Q68" i="30"/>
  <c r="P68" i="30"/>
  <c r="O68" i="30"/>
  <c r="S67" i="30"/>
  <c r="R67" i="30"/>
  <c r="Q67" i="30"/>
  <c r="P67" i="30"/>
  <c r="O67" i="30"/>
  <c r="AD66" i="30"/>
  <c r="S66" i="30"/>
  <c r="R66" i="30"/>
  <c r="Q66" i="30"/>
  <c r="P66" i="30"/>
  <c r="O66" i="30"/>
  <c r="S65" i="30"/>
  <c r="R65" i="30"/>
  <c r="Q65" i="30"/>
  <c r="P65" i="30"/>
  <c r="O65" i="30"/>
  <c r="S64" i="30"/>
  <c r="R64" i="30"/>
  <c r="Q64" i="30"/>
  <c r="P64" i="30"/>
  <c r="O64" i="30"/>
  <c r="S63" i="30"/>
  <c r="R63" i="30"/>
  <c r="Q63" i="30"/>
  <c r="P63" i="30"/>
  <c r="O63" i="30"/>
  <c r="AD62" i="30"/>
  <c r="S62" i="30"/>
  <c r="R62" i="30"/>
  <c r="Q62" i="30"/>
  <c r="P62" i="30"/>
  <c r="O62" i="30"/>
  <c r="AD61" i="30"/>
  <c r="S61" i="30"/>
  <c r="R61" i="30"/>
  <c r="Q61" i="30"/>
  <c r="P61" i="30"/>
  <c r="O61" i="30"/>
  <c r="S60" i="30"/>
  <c r="R60" i="30"/>
  <c r="Q60" i="30"/>
  <c r="P60" i="30"/>
  <c r="O60" i="30"/>
  <c r="S59" i="30"/>
  <c r="R59" i="30"/>
  <c r="Q59" i="30"/>
  <c r="P59" i="30"/>
  <c r="O59" i="30"/>
  <c r="S58" i="30"/>
  <c r="R58" i="30"/>
  <c r="Q58" i="30"/>
  <c r="P58" i="30"/>
  <c r="V65" i="22"/>
  <c r="AM18" i="1"/>
  <c r="AM19" i="1"/>
  <c r="AM20" i="1"/>
  <c r="AM21" i="1"/>
  <c r="AM17" i="1"/>
  <c r="T97" i="36" l="1"/>
  <c r="T87" i="32"/>
  <c r="T83" i="32"/>
  <c r="T83" i="30"/>
  <c r="U83" i="30" s="1"/>
  <c r="T81" i="36"/>
  <c r="T100" i="38"/>
  <c r="T77" i="31"/>
  <c r="T100" i="31"/>
  <c r="U100" i="31" s="1"/>
  <c r="T98" i="32"/>
  <c r="U98" i="32" s="1"/>
  <c r="T94" i="32"/>
  <c r="T96" i="37"/>
  <c r="T95" i="30"/>
  <c r="U95" i="30" s="1"/>
  <c r="T91" i="37"/>
  <c r="T91" i="30"/>
  <c r="T91" i="36"/>
  <c r="U91" i="36" s="1"/>
  <c r="T89" i="38"/>
  <c r="U89" i="38" s="1"/>
  <c r="T87" i="30"/>
  <c r="U87" i="30" s="1"/>
  <c r="T83" i="39"/>
  <c r="U83" i="39" s="1"/>
  <c r="T83" i="31"/>
  <c r="T83" i="38"/>
  <c r="U83" i="38" s="1"/>
  <c r="K6" i="19"/>
  <c r="J71" i="47"/>
  <c r="M6" i="43"/>
  <c r="T68" i="38"/>
  <c r="U68" i="38" s="1"/>
  <c r="T70" i="38"/>
  <c r="T72" i="38"/>
  <c r="T69" i="30"/>
  <c r="T71" i="30"/>
  <c r="U71" i="30" s="1"/>
  <c r="T73" i="30"/>
  <c r="T75" i="30"/>
  <c r="T77" i="30"/>
  <c r="U77" i="30" s="1"/>
  <c r="T67" i="33"/>
  <c r="U67" i="33" s="1"/>
  <c r="T67" i="36"/>
  <c r="T69" i="36"/>
  <c r="U69" i="36" s="1"/>
  <c r="T71" i="36"/>
  <c r="U71" i="36" s="1"/>
  <c r="T59" i="38"/>
  <c r="U59" i="38" s="1"/>
  <c r="T66" i="32"/>
  <c r="U66" i="32" s="1"/>
  <c r="T73" i="32"/>
  <c r="T75" i="32"/>
  <c r="T59" i="36"/>
  <c r="U59" i="36" s="1"/>
  <c r="T62" i="36"/>
  <c r="T69" i="37"/>
  <c r="T72" i="37"/>
  <c r="U72" i="37" s="1"/>
  <c r="T77" i="37"/>
  <c r="U77" i="37" s="1"/>
  <c r="T67" i="39"/>
  <c r="T70" i="39"/>
  <c r="T72" i="39"/>
  <c r="T74" i="33"/>
  <c r="U74" i="33" s="1"/>
  <c r="T76" i="33"/>
  <c r="U76" i="33" s="1"/>
  <c r="T82" i="33"/>
  <c r="U82" i="33" s="1"/>
  <c r="T85" i="33"/>
  <c r="U85" i="33" s="1"/>
  <c r="T90" i="33"/>
  <c r="U90" i="33" s="1"/>
  <c r="T69" i="34"/>
  <c r="U69" i="34" s="1"/>
  <c r="T71" i="34"/>
  <c r="T76" i="34"/>
  <c r="T81" i="34"/>
  <c r="U81" i="34" s="1"/>
  <c r="T84" i="34"/>
  <c r="U84" i="34" s="1"/>
  <c r="T87" i="34"/>
  <c r="U87" i="34" s="1"/>
  <c r="T91" i="34"/>
  <c r="T95" i="34"/>
  <c r="U95" i="34" s="1"/>
  <c r="T89" i="39"/>
  <c r="T93" i="39"/>
  <c r="T97" i="39"/>
  <c r="U97" i="39" s="1"/>
  <c r="T99" i="39"/>
  <c r="U99" i="39" s="1"/>
  <c r="T96" i="33"/>
  <c r="U96" i="33" s="1"/>
  <c r="T100" i="33"/>
  <c r="U100" i="33" s="1"/>
  <c r="T83" i="37"/>
  <c r="U83" i="37" s="1"/>
  <c r="T63" i="30"/>
  <c r="U63" i="30" s="1"/>
  <c r="T68" i="30"/>
  <c r="T70" i="30"/>
  <c r="T72" i="30"/>
  <c r="U72" i="30" s="1"/>
  <c r="T89" i="30"/>
  <c r="U89" i="30" s="1"/>
  <c r="T93" i="30"/>
  <c r="U93" i="30" s="1"/>
  <c r="T97" i="30"/>
  <c r="U97" i="30" s="1"/>
  <c r="T69" i="31"/>
  <c r="U69" i="31" s="1"/>
  <c r="T71" i="31"/>
  <c r="U71" i="31" s="1"/>
  <c r="T92" i="31"/>
  <c r="U92" i="31" s="1"/>
  <c r="T95" i="31"/>
  <c r="U95" i="31" s="1"/>
  <c r="T98" i="31"/>
  <c r="U98" i="31" s="1"/>
  <c r="T67" i="32"/>
  <c r="U67" i="32" s="1"/>
  <c r="T66" i="39"/>
  <c r="T71" i="39"/>
  <c r="T73" i="39"/>
  <c r="U73" i="39" s="1"/>
  <c r="T73" i="36"/>
  <c r="U73" i="36" s="1"/>
  <c r="T75" i="36"/>
  <c r="U75" i="36" s="1"/>
  <c r="T58" i="37"/>
  <c r="U58" i="37" s="1"/>
  <c r="T72" i="32"/>
  <c r="U72" i="32" s="1"/>
  <c r="T82" i="32"/>
  <c r="U82" i="32" s="1"/>
  <c r="T89" i="32"/>
  <c r="U89" i="32" s="1"/>
  <c r="T92" i="32"/>
  <c r="T96" i="32"/>
  <c r="U96" i="32" s="1"/>
  <c r="T99" i="32"/>
  <c r="U99" i="32" s="1"/>
  <c r="T91" i="38"/>
  <c r="T66" i="30"/>
  <c r="T67" i="31"/>
  <c r="T72" i="31"/>
  <c r="U72" i="31" s="1"/>
  <c r="T68" i="32"/>
  <c r="U68" i="32" s="1"/>
  <c r="T70" i="32"/>
  <c r="U70" i="32" s="1"/>
  <c r="T69" i="33"/>
  <c r="U69" i="33" s="1"/>
  <c r="T71" i="33"/>
  <c r="U71" i="33" s="1"/>
  <c r="T73" i="33"/>
  <c r="U73" i="33" s="1"/>
  <c r="T66" i="34"/>
  <c r="T73" i="34"/>
  <c r="U73" i="34" s="1"/>
  <c r="T66" i="37"/>
  <c r="T71" i="37"/>
  <c r="U71" i="37" s="1"/>
  <c r="T74" i="37"/>
  <c r="T58" i="38"/>
  <c r="U58" i="38" s="1"/>
  <c r="T67" i="38"/>
  <c r="T74" i="38"/>
  <c r="T69" i="39"/>
  <c r="T76" i="39"/>
  <c r="U76" i="39" s="1"/>
  <c r="T67" i="30"/>
  <c r="U67" i="30" s="1"/>
  <c r="T66" i="31"/>
  <c r="U66" i="31" s="1"/>
  <c r="T73" i="31"/>
  <c r="T69" i="32"/>
  <c r="T71" i="32"/>
  <c r="U71" i="32" s="1"/>
  <c r="T68" i="33"/>
  <c r="U68" i="33" s="1"/>
  <c r="T70" i="33"/>
  <c r="T72" i="33"/>
  <c r="U72" i="33" s="1"/>
  <c r="T67" i="34"/>
  <c r="U67" i="34" s="1"/>
  <c r="T72" i="34"/>
  <c r="U72" i="34" s="1"/>
  <c r="T72" i="36"/>
  <c r="T67" i="37"/>
  <c r="T70" i="37"/>
  <c r="U70" i="37" s="1"/>
  <c r="T66" i="38"/>
  <c r="T68" i="39"/>
  <c r="T66" i="33"/>
  <c r="U66" i="33" s="1"/>
  <c r="T84" i="33"/>
  <c r="U84" i="33" s="1"/>
  <c r="T89" i="33"/>
  <c r="U89" i="33" s="1"/>
  <c r="T94" i="33"/>
  <c r="T98" i="33"/>
  <c r="U98" i="33" s="1"/>
  <c r="T59" i="34"/>
  <c r="U59" i="34" s="1"/>
  <c r="T68" i="34"/>
  <c r="U68" i="34" s="1"/>
  <c r="T70" i="34"/>
  <c r="T89" i="34"/>
  <c r="U89" i="34" s="1"/>
  <c r="T93" i="34"/>
  <c r="U93" i="34" s="1"/>
  <c r="T100" i="34"/>
  <c r="U100" i="34" s="1"/>
  <c r="T66" i="36"/>
  <c r="T68" i="36"/>
  <c r="U68" i="36" s="1"/>
  <c r="T70" i="36"/>
  <c r="U70" i="36" s="1"/>
  <c r="T89" i="36"/>
  <c r="U89" i="36" s="1"/>
  <c r="T93" i="36"/>
  <c r="U93" i="36" s="1"/>
  <c r="T95" i="36"/>
  <c r="U95" i="36" s="1"/>
  <c r="T98" i="36"/>
  <c r="U98" i="36" s="1"/>
  <c r="T68" i="37"/>
  <c r="U68" i="37" s="1"/>
  <c r="T73" i="37"/>
  <c r="T92" i="37"/>
  <c r="U92" i="37" s="1"/>
  <c r="T95" i="37"/>
  <c r="U95" i="37" s="1"/>
  <c r="T100" i="37"/>
  <c r="U100" i="37" s="1"/>
  <c r="T69" i="38"/>
  <c r="T71" i="38"/>
  <c r="U71" i="38" s="1"/>
  <c r="T73" i="38"/>
  <c r="U73" i="38" s="1"/>
  <c r="T94" i="38"/>
  <c r="U94" i="38" s="1"/>
  <c r="T98" i="38"/>
  <c r="T91" i="39"/>
  <c r="U91" i="39" s="1"/>
  <c r="T94" i="39"/>
  <c r="U94" i="39" s="1"/>
  <c r="T98" i="39"/>
  <c r="U98" i="39" s="1"/>
  <c r="T90" i="30"/>
  <c r="U90" i="30" s="1"/>
  <c r="T94" i="30"/>
  <c r="U94" i="30" s="1"/>
  <c r="T89" i="31"/>
  <c r="U89" i="31" s="1"/>
  <c r="T96" i="31"/>
  <c r="U96" i="31" s="1"/>
  <c r="T90" i="32"/>
  <c r="U90" i="32" s="1"/>
  <c r="T93" i="32"/>
  <c r="U93" i="32" s="1"/>
  <c r="T92" i="33"/>
  <c r="U92" i="33" s="1"/>
  <c r="T95" i="33"/>
  <c r="U95" i="33" s="1"/>
  <c r="T90" i="34"/>
  <c r="T94" i="34"/>
  <c r="U94" i="34" s="1"/>
  <c r="T90" i="36"/>
  <c r="U90" i="36" s="1"/>
  <c r="T94" i="36"/>
  <c r="U94" i="36" s="1"/>
  <c r="T96" i="36"/>
  <c r="U96" i="36" s="1"/>
  <c r="T90" i="37"/>
  <c r="U90" i="37" s="1"/>
  <c r="T93" i="37"/>
  <c r="U93" i="37" s="1"/>
  <c r="T92" i="38"/>
  <c r="U92" i="38" s="1"/>
  <c r="T95" i="38"/>
  <c r="U95" i="38" s="1"/>
  <c r="T92" i="39"/>
  <c r="U92" i="39" s="1"/>
  <c r="T96" i="39"/>
  <c r="U96" i="39" s="1"/>
  <c r="V96" i="38"/>
  <c r="T96" i="38"/>
  <c r="T92" i="30"/>
  <c r="U92" i="30" s="1"/>
  <c r="T96" i="30"/>
  <c r="U96" i="30" s="1"/>
  <c r="T91" i="31"/>
  <c r="U91" i="31" s="1"/>
  <c r="T94" i="31"/>
  <c r="U94" i="31" s="1"/>
  <c r="T91" i="32"/>
  <c r="U91" i="32" s="1"/>
  <c r="T95" i="32"/>
  <c r="U95" i="32" s="1"/>
  <c r="T91" i="33"/>
  <c r="U91" i="33" s="1"/>
  <c r="V93" i="33"/>
  <c r="T93" i="33"/>
  <c r="U93" i="33" s="1"/>
  <c r="T92" i="34"/>
  <c r="U92" i="34" s="1"/>
  <c r="T96" i="34"/>
  <c r="U96" i="34" s="1"/>
  <c r="T92" i="36"/>
  <c r="U92" i="36" s="1"/>
  <c r="T89" i="37"/>
  <c r="U89" i="37" s="1"/>
  <c r="T94" i="37"/>
  <c r="U94" i="37" s="1"/>
  <c r="T90" i="38"/>
  <c r="U90" i="38" s="1"/>
  <c r="T93" i="38"/>
  <c r="T90" i="39"/>
  <c r="U90" i="39" s="1"/>
  <c r="T95" i="39"/>
  <c r="U95" i="39" s="1"/>
  <c r="T75" i="37"/>
  <c r="U75" i="37" s="1"/>
  <c r="T75" i="38"/>
  <c r="T75" i="39"/>
  <c r="U75" i="39" s="1"/>
  <c r="T77" i="39"/>
  <c r="U77" i="39" s="1"/>
  <c r="T74" i="30"/>
  <c r="U74" i="30" s="1"/>
  <c r="T76" i="30"/>
  <c r="T76" i="31"/>
  <c r="U76" i="31" s="1"/>
  <c r="T74" i="32"/>
  <c r="U74" i="32" s="1"/>
  <c r="T62" i="33"/>
  <c r="T75" i="33"/>
  <c r="T77" i="33"/>
  <c r="U77" i="33" s="1"/>
  <c r="T77" i="34"/>
  <c r="U77" i="34" s="1"/>
  <c r="T58" i="31"/>
  <c r="U58" i="31" s="1"/>
  <c r="T74" i="31"/>
  <c r="T77" i="32"/>
  <c r="U77" i="32" s="1"/>
  <c r="T75" i="34"/>
  <c r="U75" i="34" s="1"/>
  <c r="T74" i="39"/>
  <c r="U74" i="39" s="1"/>
  <c r="T65" i="36"/>
  <c r="T76" i="36"/>
  <c r="U76" i="36" s="1"/>
  <c r="T62" i="38"/>
  <c r="U62" i="38" s="1"/>
  <c r="T65" i="38"/>
  <c r="U65" i="38" s="1"/>
  <c r="T77" i="38"/>
  <c r="T60" i="39"/>
  <c r="U60" i="39" s="1"/>
  <c r="T62" i="39"/>
  <c r="U62" i="39" s="1"/>
  <c r="T65" i="39"/>
  <c r="U65" i="39" s="1"/>
  <c r="T58" i="30"/>
  <c r="U58" i="30" s="1"/>
  <c r="T65" i="30"/>
  <c r="U65" i="30" s="1"/>
  <c r="T75" i="31"/>
  <c r="U75" i="31" s="1"/>
  <c r="T58" i="32"/>
  <c r="U58" i="32" s="1"/>
  <c r="T63" i="32"/>
  <c r="T76" i="32"/>
  <c r="U76" i="32" s="1"/>
  <c r="T59" i="33"/>
  <c r="U59" i="33" s="1"/>
  <c r="T74" i="34"/>
  <c r="U74" i="34" s="1"/>
  <c r="T74" i="36"/>
  <c r="U74" i="36" s="1"/>
  <c r="T77" i="36"/>
  <c r="U77" i="36" s="1"/>
  <c r="T76" i="37"/>
  <c r="U76" i="37" s="1"/>
  <c r="T76" i="38"/>
  <c r="U76" i="38" s="1"/>
  <c r="T98" i="30"/>
  <c r="U98" i="30" s="1"/>
  <c r="T99" i="31"/>
  <c r="U99" i="31" s="1"/>
  <c r="T97" i="32"/>
  <c r="U97" i="32" s="1"/>
  <c r="T100" i="32"/>
  <c r="U100" i="32" s="1"/>
  <c r="T99" i="33"/>
  <c r="U99" i="33" s="1"/>
  <c r="T97" i="34"/>
  <c r="U97" i="34" s="1"/>
  <c r="T99" i="36"/>
  <c r="U99" i="36" s="1"/>
  <c r="T98" i="37"/>
  <c r="U98" i="37" s="1"/>
  <c r="T99" i="38"/>
  <c r="V98" i="34"/>
  <c r="T98" i="34"/>
  <c r="U98" i="34" s="1"/>
  <c r="V99" i="37"/>
  <c r="T99" i="37"/>
  <c r="T84" i="30"/>
  <c r="U84" i="30" s="1"/>
  <c r="T88" i="30"/>
  <c r="U88" i="30" s="1"/>
  <c r="T100" i="30"/>
  <c r="U100" i="30" s="1"/>
  <c r="T84" i="31"/>
  <c r="U84" i="31" s="1"/>
  <c r="T88" i="31"/>
  <c r="U88" i="31" s="1"/>
  <c r="V97" i="31"/>
  <c r="T97" i="31"/>
  <c r="U97" i="31" s="1"/>
  <c r="T81" i="32"/>
  <c r="T84" i="32"/>
  <c r="U84" i="32" s="1"/>
  <c r="T88" i="32"/>
  <c r="U88" i="32" s="1"/>
  <c r="T83" i="33"/>
  <c r="U83" i="33" s="1"/>
  <c r="T88" i="33"/>
  <c r="U88" i="33" s="1"/>
  <c r="V97" i="33"/>
  <c r="T97" i="33"/>
  <c r="U97" i="33" s="1"/>
  <c r="T82" i="34"/>
  <c r="U82" i="34" s="1"/>
  <c r="T88" i="34"/>
  <c r="U88" i="34" s="1"/>
  <c r="T99" i="34"/>
  <c r="U99" i="34" s="1"/>
  <c r="T82" i="36"/>
  <c r="U82" i="36" s="1"/>
  <c r="T86" i="36"/>
  <c r="U86" i="36" s="1"/>
  <c r="T88" i="36"/>
  <c r="T100" i="36"/>
  <c r="U100" i="36" s="1"/>
  <c r="T81" i="37"/>
  <c r="U81" i="37" s="1"/>
  <c r="T86" i="37"/>
  <c r="U86" i="37" s="1"/>
  <c r="T97" i="37"/>
  <c r="U97" i="37" s="1"/>
  <c r="T84" i="38"/>
  <c r="U84" i="38" s="1"/>
  <c r="T97" i="38"/>
  <c r="U97" i="38" s="1"/>
  <c r="T84" i="39"/>
  <c r="U84" i="39" s="1"/>
  <c r="T87" i="39"/>
  <c r="U87" i="39" s="1"/>
  <c r="T100" i="39"/>
  <c r="U100" i="39" s="1"/>
  <c r="T60" i="30"/>
  <c r="U60" i="30" s="1"/>
  <c r="T64" i="30"/>
  <c r="U64" i="30" s="1"/>
  <c r="T59" i="31"/>
  <c r="T62" i="31"/>
  <c r="U62" i="31" s="1"/>
  <c r="T65" i="31"/>
  <c r="U65" i="31" s="1"/>
  <c r="T58" i="33"/>
  <c r="U58" i="33" s="1"/>
  <c r="T64" i="34"/>
  <c r="U64" i="34" s="1"/>
  <c r="T61" i="33"/>
  <c r="U61" i="33" s="1"/>
  <c r="T65" i="33"/>
  <c r="U65" i="33" s="1"/>
  <c r="T58" i="34"/>
  <c r="U58" i="34" s="1"/>
  <c r="T58" i="36"/>
  <c r="U58" i="36" s="1"/>
  <c r="T60" i="36"/>
  <c r="U60" i="36" s="1"/>
  <c r="T63" i="36"/>
  <c r="U63" i="36" s="1"/>
  <c r="T59" i="37"/>
  <c r="U59" i="37" s="1"/>
  <c r="T62" i="37"/>
  <c r="T60" i="38"/>
  <c r="U60" i="38" s="1"/>
  <c r="T58" i="39"/>
  <c r="T62" i="34"/>
  <c r="U62" i="34" s="1"/>
  <c r="T65" i="34"/>
  <c r="U65" i="34" s="1"/>
  <c r="T62" i="32"/>
  <c r="U62" i="32" s="1"/>
  <c r="T65" i="32"/>
  <c r="U65" i="32" s="1"/>
  <c r="T60" i="33"/>
  <c r="U60" i="33" s="1"/>
  <c r="T64" i="31"/>
  <c r="U64" i="31" s="1"/>
  <c r="T60" i="37"/>
  <c r="U60" i="37" s="1"/>
  <c r="T87" i="31"/>
  <c r="U87" i="31" s="1"/>
  <c r="T82" i="30"/>
  <c r="U82" i="30" s="1"/>
  <c r="T86" i="30"/>
  <c r="U86" i="30" s="1"/>
  <c r="T82" i="31"/>
  <c r="T86" i="31"/>
  <c r="U86" i="31" s="1"/>
  <c r="T86" i="32"/>
  <c r="U86" i="32" s="1"/>
  <c r="T81" i="33"/>
  <c r="U81" i="33" s="1"/>
  <c r="T87" i="33"/>
  <c r="U87" i="33" s="1"/>
  <c r="T86" i="34"/>
  <c r="U86" i="34" s="1"/>
  <c r="T84" i="36"/>
  <c r="U84" i="36" s="1"/>
  <c r="T87" i="36"/>
  <c r="U87" i="36" s="1"/>
  <c r="T82" i="37"/>
  <c r="U82" i="37" s="1"/>
  <c r="T85" i="37"/>
  <c r="U85" i="37" s="1"/>
  <c r="T82" i="38"/>
  <c r="U82" i="38" s="1"/>
  <c r="T85" i="38"/>
  <c r="T88" i="38"/>
  <c r="U88" i="38" s="1"/>
  <c r="T82" i="39"/>
  <c r="U82" i="39" s="1"/>
  <c r="T86" i="39"/>
  <c r="U86" i="39" s="1"/>
  <c r="T88" i="39"/>
  <c r="U88" i="39" s="1"/>
  <c r="V81" i="30"/>
  <c r="T81" i="30"/>
  <c r="U81" i="30" s="1"/>
  <c r="T85" i="30"/>
  <c r="U85" i="30" s="1"/>
  <c r="T81" i="31"/>
  <c r="V85" i="31"/>
  <c r="T85" i="31"/>
  <c r="U85" i="31" s="1"/>
  <c r="T85" i="32"/>
  <c r="U85" i="32" s="1"/>
  <c r="T86" i="33"/>
  <c r="U86" i="33" s="1"/>
  <c r="T83" i="34"/>
  <c r="U83" i="34" s="1"/>
  <c r="T85" i="34"/>
  <c r="U85" i="34" s="1"/>
  <c r="T83" i="36"/>
  <c r="U83" i="36" s="1"/>
  <c r="T84" i="37"/>
  <c r="U84" i="37" s="1"/>
  <c r="T87" i="37"/>
  <c r="U87" i="37" s="1"/>
  <c r="T81" i="38"/>
  <c r="U81" i="38" s="1"/>
  <c r="T87" i="38"/>
  <c r="U87" i="38" s="1"/>
  <c r="T81" i="39"/>
  <c r="T85" i="39"/>
  <c r="U85" i="39" s="1"/>
  <c r="T59" i="30"/>
  <c r="T62" i="30"/>
  <c r="U62" i="30" s="1"/>
  <c r="T61" i="31"/>
  <c r="T63" i="33"/>
  <c r="U63" i="33" s="1"/>
  <c r="T60" i="34"/>
  <c r="U60" i="34" s="1"/>
  <c r="T63" i="34"/>
  <c r="T61" i="36"/>
  <c r="U61" i="36" s="1"/>
  <c r="T64" i="36"/>
  <c r="U64" i="36" s="1"/>
  <c r="T64" i="37"/>
  <c r="U64" i="37" s="1"/>
  <c r="T61" i="38"/>
  <c r="U61" i="38" s="1"/>
  <c r="T64" i="38"/>
  <c r="T59" i="39"/>
  <c r="U59" i="39" s="1"/>
  <c r="T61" i="39"/>
  <c r="U61" i="39" s="1"/>
  <c r="T64" i="39"/>
  <c r="U64" i="39" s="1"/>
  <c r="T60" i="32"/>
  <c r="U60" i="32" s="1"/>
  <c r="T64" i="33"/>
  <c r="U64" i="33" s="1"/>
  <c r="T61" i="30"/>
  <c r="U61" i="30" s="1"/>
  <c r="T60" i="31"/>
  <c r="T63" i="31"/>
  <c r="U63" i="31" s="1"/>
  <c r="T61" i="34"/>
  <c r="U61" i="34" s="1"/>
  <c r="T59" i="32"/>
  <c r="U59" i="32" s="1"/>
  <c r="T61" i="32"/>
  <c r="V64" i="32"/>
  <c r="T64" i="32"/>
  <c r="U64" i="32" s="1"/>
  <c r="T63" i="37"/>
  <c r="U63" i="37" s="1"/>
  <c r="T65" i="37"/>
  <c r="U65" i="37" s="1"/>
  <c r="T63" i="38"/>
  <c r="T63" i="39"/>
  <c r="U63" i="39" s="1"/>
  <c r="V92" i="32"/>
  <c r="V96" i="32"/>
  <c r="V88" i="38"/>
  <c r="V85" i="33"/>
  <c r="V82" i="38"/>
  <c r="V82" i="33"/>
  <c r="V59" i="39"/>
  <c r="V99" i="32"/>
  <c r="V93" i="31"/>
  <c r="V87" i="32"/>
  <c r="V97" i="32"/>
  <c r="V69" i="33"/>
  <c r="V73" i="33"/>
  <c r="V60" i="34"/>
  <c r="V66" i="34"/>
  <c r="V86" i="34"/>
  <c r="V90" i="34"/>
  <c r="V94" i="34"/>
  <c r="V98" i="36"/>
  <c r="V98" i="38"/>
  <c r="V88" i="39"/>
  <c r="V96" i="39"/>
  <c r="V89" i="33"/>
  <c r="V90" i="38"/>
  <c r="V89" i="31"/>
  <c r="V88" i="36"/>
  <c r="V62" i="34"/>
  <c r="V77" i="34"/>
  <c r="V66" i="32"/>
  <c r="V58" i="34"/>
  <c r="V77" i="38"/>
  <c r="V81" i="36"/>
  <c r="V81" i="39"/>
  <c r="V92" i="22"/>
  <c r="V96" i="36"/>
  <c r="V93" i="39"/>
  <c r="V98" i="39"/>
  <c r="V100" i="39"/>
  <c r="V84" i="22"/>
  <c r="V88" i="22"/>
  <c r="V87" i="31"/>
  <c r="V99" i="31"/>
  <c r="V90" i="32"/>
  <c r="V87" i="33"/>
  <c r="V91" i="33"/>
  <c r="V95" i="33"/>
  <c r="V88" i="34"/>
  <c r="V85" i="37"/>
  <c r="V85" i="22"/>
  <c r="U89" i="22"/>
  <c r="V89" i="22"/>
  <c r="U93" i="22"/>
  <c r="V93" i="22"/>
  <c r="U97" i="22"/>
  <c r="V97" i="22"/>
  <c r="V85" i="30"/>
  <c r="V87" i="30"/>
  <c r="V89" i="30"/>
  <c r="U91" i="30"/>
  <c r="V91" i="30"/>
  <c r="V93" i="30"/>
  <c r="V95" i="30"/>
  <c r="V97" i="30"/>
  <c r="U99" i="30"/>
  <c r="V99" i="30"/>
  <c r="V85" i="32"/>
  <c r="U94" i="32"/>
  <c r="V94" i="32"/>
  <c r="V84" i="33"/>
  <c r="V93" i="36"/>
  <c r="V84" i="38"/>
  <c r="U86" i="38"/>
  <c r="V86" i="38"/>
  <c r="V92" i="38"/>
  <c r="V94" i="38"/>
  <c r="U100" i="38"/>
  <c r="V100" i="38"/>
  <c r="V85" i="39"/>
  <c r="V90" i="39"/>
  <c r="V92" i="39"/>
  <c r="V95" i="39"/>
  <c r="V96" i="22"/>
  <c r="V91" i="31"/>
  <c r="V95" i="31"/>
  <c r="V92" i="34"/>
  <c r="V100" i="34"/>
  <c r="V86" i="36"/>
  <c r="V100" i="36"/>
  <c r="V87" i="37"/>
  <c r="V89" i="37"/>
  <c r="U91" i="37"/>
  <c r="V91" i="37"/>
  <c r="V93" i="37"/>
  <c r="V95" i="37"/>
  <c r="V97" i="37"/>
  <c r="V86" i="22"/>
  <c r="U90" i="22"/>
  <c r="V90" i="22"/>
  <c r="U94" i="22"/>
  <c r="V94" i="22"/>
  <c r="U98" i="22"/>
  <c r="V98" i="22"/>
  <c r="V77" i="31"/>
  <c r="V82" i="31"/>
  <c r="V84" i="31"/>
  <c r="V86" i="31"/>
  <c r="V88" i="31"/>
  <c r="V90" i="31"/>
  <c r="V92" i="31"/>
  <c r="V94" i="31"/>
  <c r="V96" i="31"/>
  <c r="V98" i="31"/>
  <c r="V100" i="31"/>
  <c r="V82" i="32"/>
  <c r="V84" i="32"/>
  <c r="V89" i="32"/>
  <c r="V91" i="32"/>
  <c r="V98" i="32"/>
  <c r="V86" i="33"/>
  <c r="V88" i="33"/>
  <c r="V90" i="33"/>
  <c r="V92" i="33"/>
  <c r="V94" i="33"/>
  <c r="V96" i="33"/>
  <c r="V98" i="33"/>
  <c r="V100" i="33"/>
  <c r="V81" i="34"/>
  <c r="V85" i="34"/>
  <c r="V87" i="34"/>
  <c r="V89" i="34"/>
  <c r="U91" i="34"/>
  <c r="V91" i="34"/>
  <c r="V93" i="34"/>
  <c r="V95" i="34"/>
  <c r="V97" i="34"/>
  <c r="V99" i="34"/>
  <c r="U85" i="36"/>
  <c r="V85" i="36"/>
  <c r="V90" i="36"/>
  <c r="V92" i="36"/>
  <c r="V95" i="36"/>
  <c r="U97" i="36"/>
  <c r="V97" i="36"/>
  <c r="V99" i="36"/>
  <c r="V65" i="37"/>
  <c r="V67" i="37"/>
  <c r="V69" i="37"/>
  <c r="V82" i="37"/>
  <c r="V84" i="37"/>
  <c r="V86" i="37"/>
  <c r="U88" i="37"/>
  <c r="V88" i="37"/>
  <c r="V90" i="37"/>
  <c r="V92" i="37"/>
  <c r="V94" i="37"/>
  <c r="U96" i="37"/>
  <c r="V96" i="37"/>
  <c r="V98" i="37"/>
  <c r="V100" i="37"/>
  <c r="V59" i="38"/>
  <c r="V61" i="38"/>
  <c r="V63" i="38"/>
  <c r="V65" i="38"/>
  <c r="V72" i="38"/>
  <c r="V74" i="38"/>
  <c r="V65" i="39"/>
  <c r="V70" i="39"/>
  <c r="V84" i="39"/>
  <c r="V87" i="39"/>
  <c r="V94" i="39"/>
  <c r="V97" i="39"/>
  <c r="V99" i="39"/>
  <c r="V100" i="22"/>
  <c r="V99" i="33"/>
  <c r="V84" i="34"/>
  <c r="V96" i="34"/>
  <c r="V89" i="36"/>
  <c r="V91" i="36"/>
  <c r="V87" i="22"/>
  <c r="U91" i="22"/>
  <c r="V91" i="22"/>
  <c r="U95" i="22"/>
  <c r="V95" i="22"/>
  <c r="U99" i="22"/>
  <c r="V99" i="22"/>
  <c r="V84" i="30"/>
  <c r="V86" i="30"/>
  <c r="V88" i="30"/>
  <c r="V90" i="30"/>
  <c r="V92" i="30"/>
  <c r="V94" i="30"/>
  <c r="V96" i="30"/>
  <c r="V98" i="30"/>
  <c r="V100" i="30"/>
  <c r="V86" i="32"/>
  <c r="V88" i="32"/>
  <c r="U92" i="32"/>
  <c r="V93" i="32"/>
  <c r="V95" i="32"/>
  <c r="V100" i="32"/>
  <c r="V59" i="33"/>
  <c r="V61" i="33"/>
  <c r="V65" i="33"/>
  <c r="V67" i="33"/>
  <c r="V69" i="34"/>
  <c r="V73" i="34"/>
  <c r="V61" i="36"/>
  <c r="V84" i="36"/>
  <c r="V87" i="36"/>
  <c r="V94" i="36"/>
  <c r="V58" i="37"/>
  <c r="V60" i="37"/>
  <c r="V62" i="37"/>
  <c r="V85" i="38"/>
  <c r="V87" i="38"/>
  <c r="V89" i="38"/>
  <c r="V91" i="38"/>
  <c r="V93" i="38"/>
  <c r="V95" i="38"/>
  <c r="V97" i="38"/>
  <c r="V99" i="38"/>
  <c r="V86" i="39"/>
  <c r="U89" i="39"/>
  <c r="V89" i="39"/>
  <c r="V91" i="39"/>
  <c r="V81" i="33"/>
  <c r="V82" i="39"/>
  <c r="V82" i="30"/>
  <c r="V82" i="36"/>
  <c r="V81" i="31"/>
  <c r="V81" i="32"/>
  <c r="V83" i="32"/>
  <c r="V82" i="34"/>
  <c r="V81" i="37"/>
  <c r="V81" i="38"/>
  <c r="V61" i="30"/>
  <c r="V58" i="31"/>
  <c r="V62" i="31"/>
  <c r="V64" i="31"/>
  <c r="V66" i="31"/>
  <c r="V59" i="36"/>
  <c r="V64" i="30"/>
  <c r="V66" i="30"/>
  <c r="V68" i="30"/>
  <c r="V69" i="31"/>
  <c r="V73" i="31"/>
  <c r="V70" i="32"/>
  <c r="V73" i="32"/>
  <c r="V64" i="36"/>
  <c r="V69" i="36"/>
  <c r="V74" i="36"/>
  <c r="V72" i="30"/>
  <c r="V74" i="30"/>
  <c r="U68" i="31"/>
  <c r="V68" i="31"/>
  <c r="V71" i="33"/>
  <c r="U75" i="33"/>
  <c r="V75" i="33"/>
  <c r="V64" i="34"/>
  <c r="V68" i="34"/>
  <c r="V58" i="36"/>
  <c r="V63" i="36"/>
  <c r="V70" i="36"/>
  <c r="V73" i="36"/>
  <c r="V59" i="37"/>
  <c r="V68" i="37"/>
  <c r="V70" i="37"/>
  <c r="V72" i="37"/>
  <c r="U74" i="37"/>
  <c r="V74" i="37"/>
  <c r="V76" i="37"/>
  <c r="V58" i="38"/>
  <c r="V69" i="38"/>
  <c r="V60" i="39"/>
  <c r="V67" i="39"/>
  <c r="U72" i="39"/>
  <c r="V72" i="39"/>
  <c r="V75" i="39"/>
  <c r="U76" i="30"/>
  <c r="V76" i="30"/>
  <c r="V60" i="32"/>
  <c r="V62" i="32"/>
  <c r="V76" i="32"/>
  <c r="U71" i="34"/>
  <c r="V71" i="34"/>
  <c r="V75" i="34"/>
  <c r="V71" i="36"/>
  <c r="V64" i="37"/>
  <c r="V76" i="38"/>
  <c r="V61" i="39"/>
  <c r="V63" i="39"/>
  <c r="V77" i="22"/>
  <c r="U75" i="22"/>
  <c r="V75" i="22"/>
  <c r="U73" i="22"/>
  <c r="V73" i="22"/>
  <c r="U71" i="22"/>
  <c r="V71" i="22"/>
  <c r="U69" i="22"/>
  <c r="V69" i="22"/>
  <c r="V67" i="22"/>
  <c r="V64" i="22"/>
  <c r="V63" i="22"/>
  <c r="V62" i="22"/>
  <c r="V58" i="30"/>
  <c r="V63" i="30"/>
  <c r="V65" i="30"/>
  <c r="V67" i="30"/>
  <c r="U69" i="30"/>
  <c r="V69" i="30"/>
  <c r="V71" i="30"/>
  <c r="U73" i="30"/>
  <c r="V73" i="30"/>
  <c r="U75" i="30"/>
  <c r="V75" i="30"/>
  <c r="V77" i="30"/>
  <c r="V70" i="31"/>
  <c r="V72" i="31"/>
  <c r="V74" i="31"/>
  <c r="V76" i="31"/>
  <c r="V59" i="32"/>
  <c r="V63" i="32"/>
  <c r="V65" i="32"/>
  <c r="V67" i="32"/>
  <c r="V72" i="32"/>
  <c r="U75" i="32"/>
  <c r="V75" i="32"/>
  <c r="V58" i="33"/>
  <c r="V60" i="33"/>
  <c r="V64" i="33"/>
  <c r="V66" i="33"/>
  <c r="V68" i="33"/>
  <c r="V77" i="33"/>
  <c r="V70" i="34"/>
  <c r="V72" i="34"/>
  <c r="V74" i="34"/>
  <c r="U76" i="34"/>
  <c r="V76" i="34"/>
  <c r="V60" i="36"/>
  <c r="V67" i="36"/>
  <c r="U72" i="36"/>
  <c r="V72" i="36"/>
  <c r="V75" i="36"/>
  <c r="V61" i="37"/>
  <c r="V63" i="37"/>
  <c r="V60" i="38"/>
  <c r="V62" i="38"/>
  <c r="V64" i="38"/>
  <c r="V66" i="38"/>
  <c r="V68" i="38"/>
  <c r="V71" i="38"/>
  <c r="V73" i="38"/>
  <c r="V75" i="38"/>
  <c r="V62" i="39"/>
  <c r="V64" i="39"/>
  <c r="U66" i="39"/>
  <c r="V66" i="39"/>
  <c r="U69" i="39"/>
  <c r="V69" i="39"/>
  <c r="V74" i="39"/>
  <c r="V77" i="39"/>
  <c r="U70" i="30"/>
  <c r="V70" i="30"/>
  <c r="V71" i="31"/>
  <c r="V75" i="31"/>
  <c r="V68" i="32"/>
  <c r="V71" i="32"/>
  <c r="V63" i="33"/>
  <c r="V68" i="36"/>
  <c r="V76" i="36"/>
  <c r="V73" i="39"/>
  <c r="U76" i="22"/>
  <c r="V76" i="22"/>
  <c r="U74" i="22"/>
  <c r="V74" i="22"/>
  <c r="U70" i="22"/>
  <c r="V70" i="22"/>
  <c r="U68" i="22"/>
  <c r="V68" i="22"/>
  <c r="U66" i="22"/>
  <c r="V66" i="22"/>
  <c r="V60" i="30"/>
  <c r="V62" i="30"/>
  <c r="V59" i="31"/>
  <c r="V61" i="31"/>
  <c r="V63" i="31"/>
  <c r="V65" i="31"/>
  <c r="V67" i="31"/>
  <c r="V58" i="32"/>
  <c r="V69" i="32"/>
  <c r="V74" i="32"/>
  <c r="V77" i="32"/>
  <c r="V70" i="33"/>
  <c r="V72" i="33"/>
  <c r="V74" i="33"/>
  <c r="V76" i="33"/>
  <c r="V59" i="34"/>
  <c r="V61" i="34"/>
  <c r="V65" i="34"/>
  <c r="V67" i="34"/>
  <c r="U62" i="36"/>
  <c r="V62" i="36"/>
  <c r="U66" i="36"/>
  <c r="V66" i="36"/>
  <c r="V77" i="36"/>
  <c r="V71" i="37"/>
  <c r="U73" i="37"/>
  <c r="V73" i="37"/>
  <c r="V75" i="37"/>
  <c r="V77" i="37"/>
  <c r="U70" i="38"/>
  <c r="V70" i="38"/>
  <c r="U70" i="39"/>
  <c r="U71" i="39"/>
  <c r="V71" i="39"/>
  <c r="V76" i="39"/>
  <c r="AD64" i="33"/>
  <c r="AD59" i="36"/>
  <c r="AD65" i="37"/>
  <c r="AD61" i="39"/>
  <c r="AD63" i="39"/>
  <c r="AD64" i="32"/>
  <c r="AD64" i="34"/>
  <c r="AD61" i="36"/>
  <c r="AD62" i="37"/>
  <c r="AD64" i="38"/>
  <c r="AD65" i="39"/>
  <c r="AD62" i="33"/>
  <c r="AD64" i="31"/>
  <c r="AD58" i="30"/>
  <c r="AD64" i="30"/>
  <c r="AD61" i="31"/>
  <c r="AD65" i="31"/>
  <c r="AD61" i="32"/>
  <c r="AD59" i="33"/>
  <c r="AD61" i="34"/>
  <c r="AD65" i="34"/>
  <c r="AD59" i="37"/>
  <c r="AD60" i="37"/>
  <c r="AD61" i="38"/>
  <c r="AD64" i="39"/>
  <c r="AD62" i="31"/>
  <c r="AD62" i="34"/>
  <c r="AD60" i="30"/>
  <c r="AD65" i="30"/>
  <c r="AD58" i="31"/>
  <c r="AD58" i="32"/>
  <c r="AD62" i="32"/>
  <c r="AD63" i="32"/>
  <c r="AD58" i="33"/>
  <c r="AD58" i="34"/>
  <c r="AD62" i="36"/>
  <c r="AD64" i="36"/>
  <c r="AD61" i="37"/>
  <c r="AD58" i="38"/>
  <c r="AD62" i="38"/>
  <c r="AD63" i="38"/>
  <c r="AD59" i="39"/>
  <c r="AD99" i="31"/>
  <c r="AD82" i="32"/>
  <c r="AD86" i="32"/>
  <c r="AD84" i="31"/>
  <c r="AD83" i="33"/>
  <c r="AD96" i="33"/>
  <c r="AD88" i="34"/>
  <c r="AD92" i="34"/>
  <c r="AD90" i="36"/>
  <c r="AD85" i="39"/>
  <c r="AD90" i="39"/>
  <c r="AD94" i="32"/>
  <c r="AD82" i="36"/>
  <c r="AD94" i="38"/>
  <c r="AD82" i="39"/>
  <c r="AD90" i="31"/>
  <c r="AD88" i="31"/>
  <c r="AD81" i="30"/>
  <c r="AD83" i="30"/>
  <c r="AD85" i="30"/>
  <c r="AD87" i="30"/>
  <c r="AD89" i="30"/>
  <c r="AD91" i="30"/>
  <c r="AD95" i="30"/>
  <c r="AD82" i="30"/>
  <c r="AD84" i="30"/>
  <c r="AD86" i="30"/>
  <c r="AD88" i="30"/>
  <c r="AD90" i="30"/>
  <c r="AD92" i="30"/>
  <c r="AD94" i="30"/>
  <c r="AD96" i="30"/>
  <c r="AD98" i="30"/>
  <c r="AD100" i="30"/>
  <c r="AD82" i="31"/>
  <c r="AD92" i="31"/>
  <c r="AD93" i="31"/>
  <c r="AD97" i="31"/>
  <c r="AD84" i="32"/>
  <c r="AD89" i="32"/>
  <c r="AD92" i="32"/>
  <c r="AD88" i="33"/>
  <c r="AD94" i="33"/>
  <c r="AD98" i="33"/>
  <c r="AD100" i="33"/>
  <c r="AD86" i="34"/>
  <c r="AD90" i="34"/>
  <c r="AD88" i="36"/>
  <c r="AD84" i="38"/>
  <c r="AD85" i="38"/>
  <c r="AD96" i="38"/>
  <c r="AD98" i="38"/>
  <c r="AD100" i="38"/>
  <c r="AD88" i="39"/>
  <c r="AD96" i="39"/>
  <c r="AD83" i="32"/>
  <c r="AD91" i="32"/>
  <c r="AD99" i="32"/>
  <c r="AD81" i="34"/>
  <c r="AD94" i="34"/>
  <c r="AD98" i="34"/>
  <c r="AD100" i="34"/>
  <c r="AD95" i="36"/>
  <c r="AD82" i="38"/>
  <c r="AD86" i="38"/>
  <c r="AD87" i="38"/>
  <c r="AD100" i="39"/>
  <c r="AD94" i="31"/>
  <c r="AD85" i="32"/>
  <c r="AD96" i="32"/>
  <c r="AD82" i="33"/>
  <c r="AD87" i="33"/>
  <c r="AD91" i="33"/>
  <c r="AD85" i="34"/>
  <c r="AD89" i="34"/>
  <c r="AD96" i="34"/>
  <c r="AD84" i="36"/>
  <c r="AD92" i="36"/>
  <c r="AD93" i="38"/>
  <c r="AD95" i="38"/>
  <c r="AD84" i="39"/>
  <c r="AD92" i="39"/>
  <c r="AD86" i="31"/>
  <c r="AD81" i="31"/>
  <c r="AD98" i="31"/>
  <c r="AD100" i="31"/>
  <c r="AD93" i="30"/>
  <c r="AD97" i="30"/>
  <c r="AD99" i="30"/>
  <c r="AD85" i="31"/>
  <c r="AD89" i="31"/>
  <c r="AD96" i="31"/>
  <c r="AD87" i="32"/>
  <c r="AD88" i="32"/>
  <c r="AD95" i="32"/>
  <c r="AD100" i="32"/>
  <c r="AD86" i="33"/>
  <c r="AD90" i="33"/>
  <c r="AD95" i="33"/>
  <c r="AD99" i="33"/>
  <c r="AD82" i="34"/>
  <c r="AD93" i="34"/>
  <c r="AD97" i="34"/>
  <c r="AD83" i="36"/>
  <c r="AD91" i="36"/>
  <c r="AD96" i="36"/>
  <c r="AD98" i="36"/>
  <c r="AD82" i="37"/>
  <c r="AD84" i="37"/>
  <c r="AD86" i="37"/>
  <c r="AD88" i="37"/>
  <c r="AD90" i="37"/>
  <c r="AD92" i="37"/>
  <c r="AD94" i="37"/>
  <c r="AD96" i="37"/>
  <c r="AD98" i="37"/>
  <c r="AD100" i="37"/>
  <c r="AD88" i="38"/>
  <c r="AD90" i="38"/>
  <c r="AD81" i="39"/>
  <c r="AD89" i="39"/>
  <c r="AD97" i="39"/>
  <c r="V83" i="34"/>
  <c r="V83" i="37"/>
  <c r="V83" i="30"/>
  <c r="U83" i="31"/>
  <c r="V83" i="31"/>
  <c r="V83" i="22"/>
  <c r="V83" i="36"/>
  <c r="V83" i="38"/>
  <c r="V83" i="39"/>
  <c r="V83" i="33"/>
  <c r="U81" i="36"/>
  <c r="U81" i="32"/>
  <c r="AD69" i="39"/>
  <c r="AD73" i="39"/>
  <c r="AD77" i="39"/>
  <c r="AD83" i="39"/>
  <c r="AD87" i="39"/>
  <c r="AD91" i="39"/>
  <c r="U93" i="39"/>
  <c r="AD95" i="39"/>
  <c r="AD99" i="39"/>
  <c r="AD67" i="39"/>
  <c r="AD65" i="38"/>
  <c r="U72" i="38"/>
  <c r="AD73" i="38"/>
  <c r="U75" i="38"/>
  <c r="AD81" i="38"/>
  <c r="AD89" i="38"/>
  <c r="U91" i="38"/>
  <c r="U96" i="38"/>
  <c r="AD97" i="38"/>
  <c r="U99" i="38"/>
  <c r="AD59" i="38"/>
  <c r="U66" i="38"/>
  <c r="AD67" i="38"/>
  <c r="U69" i="38"/>
  <c r="U74" i="38"/>
  <c r="AD75" i="38"/>
  <c r="U77" i="38"/>
  <c r="AD83" i="38"/>
  <c r="U85" i="38"/>
  <c r="AD91" i="38"/>
  <c r="U93" i="38"/>
  <c r="U98" i="38"/>
  <c r="AD99" i="38"/>
  <c r="U61" i="37"/>
  <c r="AD67" i="37"/>
  <c r="AD71" i="37"/>
  <c r="AD75" i="37"/>
  <c r="AD81" i="37"/>
  <c r="AD85" i="37"/>
  <c r="AD89" i="37"/>
  <c r="AD93" i="37"/>
  <c r="AD97" i="37"/>
  <c r="U99" i="37"/>
  <c r="U62" i="37"/>
  <c r="AD63" i="37"/>
  <c r="AD69" i="37"/>
  <c r="AD73" i="37"/>
  <c r="AD77" i="37"/>
  <c r="AD83" i="37"/>
  <c r="AD87" i="37"/>
  <c r="AD91" i="37"/>
  <c r="AD95" i="37"/>
  <c r="AD99" i="37"/>
  <c r="U88" i="36"/>
  <c r="AD63" i="36"/>
  <c r="AD87" i="36"/>
  <c r="AD97" i="36"/>
  <c r="AD65" i="36"/>
  <c r="AD71" i="36"/>
  <c r="AD75" i="36"/>
  <c r="AD81" i="36"/>
  <c r="AD85" i="36"/>
  <c r="AD89" i="36"/>
  <c r="AD93" i="36"/>
  <c r="AD99" i="36"/>
  <c r="AD59" i="34"/>
  <c r="U66" i="34"/>
  <c r="AD67" i="34"/>
  <c r="AD75" i="34"/>
  <c r="AD83" i="34"/>
  <c r="U90" i="34"/>
  <c r="AD91" i="34"/>
  <c r="AD99" i="34"/>
  <c r="AD63" i="34"/>
  <c r="U70" i="34"/>
  <c r="AD71" i="34"/>
  <c r="AD87" i="34"/>
  <c r="AD95" i="34"/>
  <c r="AD67" i="33"/>
  <c r="AD73" i="33"/>
  <c r="AD81" i="33"/>
  <c r="AD89" i="33"/>
  <c r="AD97" i="33"/>
  <c r="AD61" i="33"/>
  <c r="AD63" i="33"/>
  <c r="U70" i="33"/>
  <c r="AD77" i="33"/>
  <c r="AD85" i="33"/>
  <c r="AD93" i="33"/>
  <c r="U94" i="33"/>
  <c r="AD65" i="33"/>
  <c r="AD65" i="32"/>
  <c r="AD71" i="32"/>
  <c r="AD75" i="32"/>
  <c r="AD81" i="32"/>
  <c r="AD93" i="32"/>
  <c r="AD97" i="32"/>
  <c r="AD59" i="32"/>
  <c r="AD67" i="32"/>
  <c r="U73" i="32"/>
  <c r="U83" i="32"/>
  <c r="U87" i="32"/>
  <c r="AD59" i="31"/>
  <c r="U61" i="31"/>
  <c r="AD67" i="31"/>
  <c r="U74" i="31"/>
  <c r="AD75" i="31"/>
  <c r="U77" i="31"/>
  <c r="U82" i="31"/>
  <c r="AD83" i="31"/>
  <c r="U90" i="31"/>
  <c r="AD91" i="31"/>
  <c r="U93" i="31"/>
  <c r="AD63" i="31"/>
  <c r="U70" i="31"/>
  <c r="AD71" i="31"/>
  <c r="U73" i="31"/>
  <c r="U81" i="31"/>
  <c r="AD87" i="31"/>
  <c r="AD95" i="31"/>
  <c r="AD63" i="30"/>
  <c r="AD59" i="30"/>
  <c r="AD67" i="30"/>
  <c r="U68" i="30"/>
  <c r="U66" i="30"/>
  <c r="U92" i="22"/>
  <c r="U96" i="22"/>
  <c r="U69" i="32"/>
  <c r="U69" i="37"/>
  <c r="U67" i="31"/>
  <c r="U67" i="36"/>
  <c r="U67" i="39"/>
  <c r="U67" i="37"/>
  <c r="U64" i="38"/>
  <c r="U63" i="32"/>
  <c r="U63" i="38"/>
  <c r="U59" i="31"/>
  <c r="K71" i="47" l="1"/>
  <c r="N6" i="43"/>
  <c r="L6" i="19"/>
  <c r="V101" i="38"/>
  <c r="Q72" i="43" s="1"/>
  <c r="V101" i="36"/>
  <c r="O72" i="43" s="1"/>
  <c r="V101" i="39"/>
  <c r="R72" i="43" s="1"/>
  <c r="V101" i="30"/>
  <c r="I72" i="43" s="1"/>
  <c r="V101" i="33"/>
  <c r="L72" i="43" s="1"/>
  <c r="V101" i="31"/>
  <c r="J72" i="43" s="1"/>
  <c r="V101" i="37"/>
  <c r="P72" i="43" s="1"/>
  <c r="V101" i="34"/>
  <c r="M72" i="43" s="1"/>
  <c r="AD101" i="30"/>
  <c r="AE101" i="30"/>
  <c r="I77" i="43" s="1"/>
  <c r="AE78" i="39"/>
  <c r="R76" i="43" s="1"/>
  <c r="AE78" i="36"/>
  <c r="O76" i="43" s="1"/>
  <c r="AE78" i="33"/>
  <c r="L76" i="43" s="1"/>
  <c r="AE78" i="30"/>
  <c r="I76" i="43" s="1"/>
  <c r="V101" i="32"/>
  <c r="K72" i="43" s="1"/>
  <c r="AE78" i="32"/>
  <c r="K76" i="43" s="1"/>
  <c r="AE78" i="22"/>
  <c r="H76" i="43" s="1"/>
  <c r="AE78" i="38"/>
  <c r="Q76" i="43" s="1"/>
  <c r="AE78" i="34"/>
  <c r="M76" i="43" s="1"/>
  <c r="AE78" i="37"/>
  <c r="P76" i="43" s="1"/>
  <c r="AE78" i="31"/>
  <c r="J76" i="43" s="1"/>
  <c r="AE101" i="36"/>
  <c r="O77" i="43" s="1"/>
  <c r="AE101" i="37"/>
  <c r="P77" i="43" s="1"/>
  <c r="AE101" i="39"/>
  <c r="R77" i="43" s="1"/>
  <c r="AE101" i="38"/>
  <c r="Q77" i="43" s="1"/>
  <c r="AE101" i="33"/>
  <c r="L77" i="43" s="1"/>
  <c r="AE101" i="31"/>
  <c r="J77" i="43" s="1"/>
  <c r="AE101" i="32"/>
  <c r="K77" i="43" s="1"/>
  <c r="AE101" i="34"/>
  <c r="M77" i="43" s="1"/>
  <c r="AE101" i="22"/>
  <c r="H77" i="43" s="1"/>
  <c r="AD78" i="33"/>
  <c r="AD101" i="33"/>
  <c r="AD101" i="34"/>
  <c r="AD78" i="36"/>
  <c r="AD78" i="38"/>
  <c r="AD101" i="37"/>
  <c r="AD101" i="39"/>
  <c r="AD78" i="34"/>
  <c r="AD78" i="32"/>
  <c r="AD78" i="30"/>
  <c r="AD101" i="32"/>
  <c r="AD78" i="31"/>
  <c r="AD101" i="31"/>
  <c r="AD101" i="38"/>
  <c r="U101" i="32"/>
  <c r="U101" i="36"/>
  <c r="U101" i="38"/>
  <c r="AD101" i="36"/>
  <c r="AD78" i="37"/>
  <c r="U101" i="37"/>
  <c r="U101" i="30"/>
  <c r="U101" i="34"/>
  <c r="U101" i="33"/>
  <c r="U101" i="31"/>
  <c r="M6" i="19" l="1"/>
  <c r="L71" i="47"/>
  <c r="O6" i="43"/>
  <c r="Q78" i="43"/>
  <c r="M78" i="43"/>
  <c r="O78" i="43"/>
  <c r="J78" i="43"/>
  <c r="I78" i="43"/>
  <c r="R78" i="43"/>
  <c r="L78" i="43"/>
  <c r="K78" i="43"/>
  <c r="P78" i="43"/>
  <c r="H78" i="43"/>
  <c r="X42" i="40"/>
  <c r="W42" i="40"/>
  <c r="V42" i="40"/>
  <c r="U42" i="40"/>
  <c r="T42" i="40"/>
  <c r="S42" i="40"/>
  <c r="R42" i="40"/>
  <c r="Q42" i="40"/>
  <c r="R27" i="40"/>
  <c r="X10" i="40"/>
  <c r="W10" i="40"/>
  <c r="V10" i="40"/>
  <c r="U10" i="40"/>
  <c r="T10" i="40"/>
  <c r="S10" i="40"/>
  <c r="R10" i="40"/>
  <c r="Q10" i="40"/>
  <c r="X9" i="40"/>
  <c r="W9" i="40"/>
  <c r="V9" i="40"/>
  <c r="U9" i="40"/>
  <c r="T9" i="40"/>
  <c r="S9" i="40"/>
  <c r="R9" i="40"/>
  <c r="Q9" i="40"/>
  <c r="R26" i="40"/>
  <c r="X41" i="40"/>
  <c r="W41" i="40"/>
  <c r="V41" i="40"/>
  <c r="U41" i="40"/>
  <c r="T41" i="40"/>
  <c r="S41" i="40"/>
  <c r="R41" i="40"/>
  <c r="Q41" i="40"/>
  <c r="X40" i="40"/>
  <c r="W40" i="40"/>
  <c r="V40" i="40"/>
  <c r="U40" i="40"/>
  <c r="T40" i="40"/>
  <c r="S40" i="40"/>
  <c r="R40" i="40"/>
  <c r="Q40" i="40"/>
  <c r="R25" i="40"/>
  <c r="X8" i="40"/>
  <c r="W8" i="40"/>
  <c r="V8" i="40"/>
  <c r="U8" i="40"/>
  <c r="T8" i="40"/>
  <c r="S8" i="40"/>
  <c r="R8" i="40"/>
  <c r="Q8" i="40"/>
  <c r="X7" i="40"/>
  <c r="W7" i="40"/>
  <c r="V7" i="40"/>
  <c r="U7" i="40"/>
  <c r="T7" i="40"/>
  <c r="S7" i="40"/>
  <c r="R7" i="40"/>
  <c r="Q7" i="40"/>
  <c r="R24" i="40"/>
  <c r="X39" i="40"/>
  <c r="W39" i="40"/>
  <c r="V39" i="40"/>
  <c r="U39" i="40"/>
  <c r="T39" i="40"/>
  <c r="S39" i="40"/>
  <c r="R39" i="40"/>
  <c r="Q39" i="40"/>
  <c r="X38" i="40"/>
  <c r="W38" i="40"/>
  <c r="V38" i="40"/>
  <c r="U38" i="40"/>
  <c r="T38" i="40"/>
  <c r="S38" i="40"/>
  <c r="R38" i="40"/>
  <c r="Q38" i="40"/>
  <c r="R23" i="40"/>
  <c r="X6" i="40"/>
  <c r="W6" i="40"/>
  <c r="V6" i="40"/>
  <c r="U6" i="40"/>
  <c r="T6" i="40"/>
  <c r="S6" i="40"/>
  <c r="R6" i="40"/>
  <c r="Q6" i="40"/>
  <c r="Q60" i="40"/>
  <c r="R59" i="40"/>
  <c r="R58" i="40"/>
  <c r="R57" i="40"/>
  <c r="R56" i="40"/>
  <c r="R55" i="40"/>
  <c r="P10" i="40"/>
  <c r="U27" i="40" s="1"/>
  <c r="P9" i="40"/>
  <c r="P18" i="40" s="1"/>
  <c r="P8" i="40"/>
  <c r="P7" i="40"/>
  <c r="P16" i="40" s="1"/>
  <c r="P6" i="40"/>
  <c r="P38" i="40" s="1"/>
  <c r="X10" i="39"/>
  <c r="W10" i="39"/>
  <c r="V10" i="39"/>
  <c r="U10" i="39"/>
  <c r="T10" i="39"/>
  <c r="S10" i="39"/>
  <c r="R10" i="39"/>
  <c r="Q10" i="39"/>
  <c r="R27" i="39"/>
  <c r="X36" i="39"/>
  <c r="W36" i="39"/>
  <c r="V36" i="39"/>
  <c r="U36" i="39"/>
  <c r="T36" i="39"/>
  <c r="S36" i="39"/>
  <c r="R36" i="39"/>
  <c r="Q36" i="39"/>
  <c r="X35" i="39"/>
  <c r="W35" i="39"/>
  <c r="V35" i="39"/>
  <c r="U35" i="39"/>
  <c r="T35" i="39"/>
  <c r="S35" i="39"/>
  <c r="R35" i="39"/>
  <c r="Q35" i="39"/>
  <c r="R26" i="39"/>
  <c r="X9" i="39"/>
  <c r="W9" i="39"/>
  <c r="V9" i="39"/>
  <c r="U9" i="39"/>
  <c r="T9" i="39"/>
  <c r="S9" i="39"/>
  <c r="R9" i="39"/>
  <c r="Q9" i="39"/>
  <c r="X8" i="39"/>
  <c r="W8" i="39"/>
  <c r="V8" i="39"/>
  <c r="U8" i="39"/>
  <c r="T8" i="39"/>
  <c r="S8" i="39"/>
  <c r="R8" i="39"/>
  <c r="Q8" i="39"/>
  <c r="R25" i="39"/>
  <c r="X34" i="39"/>
  <c r="W34" i="39"/>
  <c r="V34" i="39"/>
  <c r="U34" i="39"/>
  <c r="T34" i="39"/>
  <c r="S34" i="39"/>
  <c r="R34" i="39"/>
  <c r="Q34" i="39"/>
  <c r="X33" i="39"/>
  <c r="W33" i="39"/>
  <c r="V33" i="39"/>
  <c r="U33" i="39"/>
  <c r="T33" i="39"/>
  <c r="S33" i="39"/>
  <c r="R33" i="39"/>
  <c r="Q33" i="39"/>
  <c r="X7" i="39"/>
  <c r="W7" i="39"/>
  <c r="V7" i="39"/>
  <c r="U7" i="39"/>
  <c r="T7" i="39"/>
  <c r="S7" i="39"/>
  <c r="R7" i="39"/>
  <c r="Q7" i="39"/>
  <c r="X32" i="39"/>
  <c r="W32" i="39"/>
  <c r="V32" i="39"/>
  <c r="U32" i="39"/>
  <c r="T32" i="39"/>
  <c r="S32" i="39"/>
  <c r="R32" i="39"/>
  <c r="Q32" i="39"/>
  <c r="R23" i="39"/>
  <c r="X6" i="39"/>
  <c r="W6" i="39"/>
  <c r="V6" i="39"/>
  <c r="U6" i="39"/>
  <c r="T6" i="39"/>
  <c r="S6" i="39"/>
  <c r="R6" i="39"/>
  <c r="Q6" i="39"/>
  <c r="Q54" i="39"/>
  <c r="R53" i="39"/>
  <c r="R52" i="39"/>
  <c r="R51" i="39"/>
  <c r="R50" i="39"/>
  <c r="R49" i="39"/>
  <c r="R24" i="39"/>
  <c r="P10" i="39"/>
  <c r="P9" i="39"/>
  <c r="P26" i="39" s="1"/>
  <c r="P8" i="39"/>
  <c r="U25" i="39" s="1"/>
  <c r="P7" i="39"/>
  <c r="U24" i="39" s="1"/>
  <c r="P6" i="39"/>
  <c r="P32" i="39" s="1"/>
  <c r="X36" i="38"/>
  <c r="W36" i="38"/>
  <c r="V36" i="38"/>
  <c r="U36" i="38"/>
  <c r="T36" i="38"/>
  <c r="S36" i="38"/>
  <c r="R36" i="38"/>
  <c r="Q36" i="38"/>
  <c r="R27" i="38"/>
  <c r="X10" i="38"/>
  <c r="W10" i="38"/>
  <c r="V10" i="38"/>
  <c r="U10" i="38"/>
  <c r="T10" i="38"/>
  <c r="S10" i="38"/>
  <c r="R10" i="38"/>
  <c r="Q10" i="38"/>
  <c r="X9" i="38"/>
  <c r="W9" i="38"/>
  <c r="V9" i="38"/>
  <c r="U9" i="38"/>
  <c r="T9" i="38"/>
  <c r="S9" i="38"/>
  <c r="R9" i="38"/>
  <c r="Q9" i="38"/>
  <c r="R26" i="38"/>
  <c r="X35" i="38"/>
  <c r="W35" i="38"/>
  <c r="V35" i="38"/>
  <c r="U35" i="38"/>
  <c r="T35" i="38"/>
  <c r="S35" i="38"/>
  <c r="R35" i="38"/>
  <c r="Q35" i="38"/>
  <c r="X34" i="38"/>
  <c r="W34" i="38"/>
  <c r="V34" i="38"/>
  <c r="U34" i="38"/>
  <c r="T34" i="38"/>
  <c r="S34" i="38"/>
  <c r="R34" i="38"/>
  <c r="Q34" i="38"/>
  <c r="X8" i="38"/>
  <c r="W8" i="38"/>
  <c r="V8" i="38"/>
  <c r="U8" i="38"/>
  <c r="T8" i="38"/>
  <c r="S8" i="38"/>
  <c r="R8" i="38"/>
  <c r="Q8" i="38"/>
  <c r="X7" i="38"/>
  <c r="W7" i="38"/>
  <c r="V7" i="38"/>
  <c r="U7" i="38"/>
  <c r="T7" i="38"/>
  <c r="S7" i="38"/>
  <c r="R7" i="38"/>
  <c r="Q7" i="38"/>
  <c r="R24" i="38"/>
  <c r="X33" i="38"/>
  <c r="W33" i="38"/>
  <c r="V33" i="38"/>
  <c r="U33" i="38"/>
  <c r="T33" i="38"/>
  <c r="S33" i="38"/>
  <c r="R33" i="38"/>
  <c r="Q33" i="38"/>
  <c r="X32" i="38"/>
  <c r="W32" i="38"/>
  <c r="V32" i="38"/>
  <c r="U32" i="38"/>
  <c r="T32" i="38"/>
  <c r="S32" i="38"/>
  <c r="R32" i="38"/>
  <c r="Q32" i="38"/>
  <c r="X6" i="38"/>
  <c r="W6" i="38"/>
  <c r="V6" i="38"/>
  <c r="U6" i="38"/>
  <c r="T6" i="38"/>
  <c r="S6" i="38"/>
  <c r="R6" i="38"/>
  <c r="Q6" i="38"/>
  <c r="Q54" i="38"/>
  <c r="R53" i="38"/>
  <c r="R52" i="38"/>
  <c r="R51" i="38"/>
  <c r="R50" i="38"/>
  <c r="R49" i="38"/>
  <c r="R25" i="38"/>
  <c r="P10" i="38"/>
  <c r="P9" i="38"/>
  <c r="P26" i="38" s="1"/>
  <c r="P8" i="38"/>
  <c r="P25" i="38" s="1"/>
  <c r="P7" i="38"/>
  <c r="U24" i="38" s="1"/>
  <c r="P6" i="38"/>
  <c r="X36" i="37"/>
  <c r="W36" i="37"/>
  <c r="V36" i="37"/>
  <c r="U36" i="37"/>
  <c r="T36" i="37"/>
  <c r="S36" i="37"/>
  <c r="R36" i="37"/>
  <c r="Q36" i="37"/>
  <c r="X10" i="37"/>
  <c r="W10" i="37"/>
  <c r="V10" i="37"/>
  <c r="U10" i="37"/>
  <c r="T10" i="37"/>
  <c r="S10" i="37"/>
  <c r="R10" i="37"/>
  <c r="Q10" i="37"/>
  <c r="X9" i="37"/>
  <c r="W9" i="37"/>
  <c r="V9" i="37"/>
  <c r="U9" i="37"/>
  <c r="T9" i="37"/>
  <c r="S9" i="37"/>
  <c r="R9" i="37"/>
  <c r="Q9" i="37"/>
  <c r="R26" i="37"/>
  <c r="X35" i="37"/>
  <c r="W35" i="37"/>
  <c r="V35" i="37"/>
  <c r="U35" i="37"/>
  <c r="T35" i="37"/>
  <c r="S35" i="37"/>
  <c r="R35" i="37"/>
  <c r="Q35" i="37"/>
  <c r="X34" i="37"/>
  <c r="W34" i="37"/>
  <c r="V34" i="37"/>
  <c r="U34" i="37"/>
  <c r="T34" i="37"/>
  <c r="S34" i="37"/>
  <c r="R34" i="37"/>
  <c r="Q34" i="37"/>
  <c r="X8" i="37"/>
  <c r="W8" i="37"/>
  <c r="V8" i="37"/>
  <c r="U8" i="37"/>
  <c r="T8" i="37"/>
  <c r="S8" i="37"/>
  <c r="R8" i="37"/>
  <c r="Q8" i="37"/>
  <c r="X7" i="37"/>
  <c r="W7" i="37"/>
  <c r="V7" i="37"/>
  <c r="U7" i="37"/>
  <c r="T7" i="37"/>
  <c r="S7" i="37"/>
  <c r="R7" i="37"/>
  <c r="Q7" i="37"/>
  <c r="R24" i="37"/>
  <c r="X33" i="37"/>
  <c r="W33" i="37"/>
  <c r="V33" i="37"/>
  <c r="U33" i="37"/>
  <c r="T33" i="37"/>
  <c r="S33" i="37"/>
  <c r="R33" i="37"/>
  <c r="Q33" i="37"/>
  <c r="X32" i="37"/>
  <c r="W32" i="37"/>
  <c r="W37" i="37" s="1"/>
  <c r="V32" i="37"/>
  <c r="U32" i="37"/>
  <c r="T32" i="37"/>
  <c r="S32" i="37"/>
  <c r="S37" i="37" s="1"/>
  <c r="R32" i="37"/>
  <c r="Q32" i="37"/>
  <c r="R23" i="37"/>
  <c r="X6" i="37"/>
  <c r="W6" i="37"/>
  <c r="V6" i="37"/>
  <c r="U6" i="37"/>
  <c r="T6" i="37"/>
  <c r="S6" i="37"/>
  <c r="R6" i="37"/>
  <c r="Q6" i="37"/>
  <c r="Q54" i="37"/>
  <c r="R53" i="37"/>
  <c r="R52" i="37"/>
  <c r="R51" i="37"/>
  <c r="R50" i="37"/>
  <c r="R49" i="37"/>
  <c r="R27" i="37"/>
  <c r="R25" i="37"/>
  <c r="P10" i="37"/>
  <c r="U27" i="37" s="1"/>
  <c r="P9" i="37"/>
  <c r="P8" i="37"/>
  <c r="P17" i="37" s="1"/>
  <c r="P7" i="37"/>
  <c r="U24" i="37" s="1"/>
  <c r="P6" i="37"/>
  <c r="U23" i="37" s="1"/>
  <c r="X36" i="36"/>
  <c r="W36" i="36"/>
  <c r="V36" i="36"/>
  <c r="U36" i="36"/>
  <c r="T36" i="36"/>
  <c r="S36" i="36"/>
  <c r="R36" i="36"/>
  <c r="Q36" i="36"/>
  <c r="R27" i="36"/>
  <c r="X10" i="36"/>
  <c r="W10" i="36"/>
  <c r="V10" i="36"/>
  <c r="U10" i="36"/>
  <c r="T10" i="36"/>
  <c r="S10" i="36"/>
  <c r="R10" i="36"/>
  <c r="Q10" i="36"/>
  <c r="X9" i="36"/>
  <c r="W9" i="36"/>
  <c r="V9" i="36"/>
  <c r="U9" i="36"/>
  <c r="T9" i="36"/>
  <c r="S9" i="36"/>
  <c r="R9" i="36"/>
  <c r="Q9" i="36"/>
  <c r="X35" i="36"/>
  <c r="W35" i="36"/>
  <c r="V35" i="36"/>
  <c r="U35" i="36"/>
  <c r="T35" i="36"/>
  <c r="S35" i="36"/>
  <c r="R35" i="36"/>
  <c r="Q35" i="36"/>
  <c r="X34" i="36"/>
  <c r="W34" i="36"/>
  <c r="V34" i="36"/>
  <c r="U34" i="36"/>
  <c r="T34" i="36"/>
  <c r="S34" i="36"/>
  <c r="R34" i="36"/>
  <c r="Q34" i="36"/>
  <c r="R25" i="36"/>
  <c r="X8" i="36"/>
  <c r="W8" i="36"/>
  <c r="V8" i="36"/>
  <c r="U8" i="36"/>
  <c r="T8" i="36"/>
  <c r="S8" i="36"/>
  <c r="R8" i="36"/>
  <c r="Q8" i="36"/>
  <c r="X7" i="36"/>
  <c r="W7" i="36"/>
  <c r="V7" i="36"/>
  <c r="U7" i="36"/>
  <c r="T7" i="36"/>
  <c r="S7" i="36"/>
  <c r="R7" i="36"/>
  <c r="Q7" i="36"/>
  <c r="X33" i="36"/>
  <c r="W33" i="36"/>
  <c r="V33" i="36"/>
  <c r="U33" i="36"/>
  <c r="T33" i="36"/>
  <c r="S33" i="36"/>
  <c r="R33" i="36"/>
  <c r="Q33" i="36"/>
  <c r="X32" i="36"/>
  <c r="W32" i="36"/>
  <c r="V32" i="36"/>
  <c r="U32" i="36"/>
  <c r="T32" i="36"/>
  <c r="S32" i="36"/>
  <c r="R32" i="36"/>
  <c r="Q32" i="36"/>
  <c r="R23" i="36"/>
  <c r="X6" i="36"/>
  <c r="W6" i="36"/>
  <c r="V6" i="36"/>
  <c r="U6" i="36"/>
  <c r="T6" i="36"/>
  <c r="S6" i="36"/>
  <c r="R6" i="36"/>
  <c r="Q6" i="36"/>
  <c r="Q54" i="36"/>
  <c r="R53" i="36"/>
  <c r="R52" i="36"/>
  <c r="R51" i="36"/>
  <c r="R50" i="36"/>
  <c r="R49" i="36"/>
  <c r="R26" i="36"/>
  <c r="R24" i="36"/>
  <c r="P10" i="36"/>
  <c r="P9" i="36"/>
  <c r="P26" i="36" s="1"/>
  <c r="P8" i="36"/>
  <c r="P25" i="36" s="1"/>
  <c r="P7" i="36"/>
  <c r="U24" i="36" s="1"/>
  <c r="P6" i="36"/>
  <c r="P23" i="36" s="1"/>
  <c r="X36" i="35"/>
  <c r="W36" i="35"/>
  <c r="V36" i="35"/>
  <c r="U36" i="35"/>
  <c r="T36" i="35"/>
  <c r="S36" i="35"/>
  <c r="R36" i="35"/>
  <c r="Q36" i="35"/>
  <c r="Y36" i="35" s="1"/>
  <c r="X10" i="35"/>
  <c r="W10" i="35"/>
  <c r="V10" i="35"/>
  <c r="U10" i="35"/>
  <c r="T10" i="35"/>
  <c r="S10" i="35"/>
  <c r="R10" i="35"/>
  <c r="Q10" i="35"/>
  <c r="X9" i="35"/>
  <c r="W9" i="35"/>
  <c r="V9" i="35"/>
  <c r="U9" i="35"/>
  <c r="T9" i="35"/>
  <c r="S9" i="35"/>
  <c r="R9" i="35"/>
  <c r="Q9" i="35"/>
  <c r="R26" i="35"/>
  <c r="X35" i="35"/>
  <c r="W35" i="35"/>
  <c r="V35" i="35"/>
  <c r="U35" i="35"/>
  <c r="T35" i="35"/>
  <c r="S35" i="35"/>
  <c r="R35" i="35"/>
  <c r="Q35" i="35"/>
  <c r="X34" i="35"/>
  <c r="W34" i="35"/>
  <c r="V34" i="35"/>
  <c r="U34" i="35"/>
  <c r="T34" i="35"/>
  <c r="S34" i="35"/>
  <c r="R34" i="35"/>
  <c r="Q34" i="35"/>
  <c r="X8" i="35"/>
  <c r="W8" i="35"/>
  <c r="V8" i="35"/>
  <c r="U8" i="35"/>
  <c r="T8" i="35"/>
  <c r="S8" i="35"/>
  <c r="R8" i="35"/>
  <c r="Q8" i="35"/>
  <c r="X7" i="35"/>
  <c r="W7" i="35"/>
  <c r="V7" i="35"/>
  <c r="U7" i="35"/>
  <c r="T7" i="35"/>
  <c r="S7" i="35"/>
  <c r="R7" i="35"/>
  <c r="Q7" i="35"/>
  <c r="R24" i="35"/>
  <c r="X33" i="35"/>
  <c r="W33" i="35"/>
  <c r="V33" i="35"/>
  <c r="U33" i="35"/>
  <c r="T33" i="35"/>
  <c r="S33" i="35"/>
  <c r="R33" i="35"/>
  <c r="Q33" i="35"/>
  <c r="X32" i="35"/>
  <c r="W32" i="35"/>
  <c r="V32" i="35"/>
  <c r="U32" i="35"/>
  <c r="T32" i="35"/>
  <c r="S32" i="35"/>
  <c r="R32" i="35"/>
  <c r="Q32" i="35"/>
  <c r="R23" i="35"/>
  <c r="X6" i="35"/>
  <c r="W6" i="35"/>
  <c r="V6" i="35"/>
  <c r="U6" i="35"/>
  <c r="T6" i="35"/>
  <c r="S6" i="35"/>
  <c r="R6" i="35"/>
  <c r="Q6" i="35"/>
  <c r="Q54" i="35"/>
  <c r="R53" i="35"/>
  <c r="R52" i="35"/>
  <c r="R51" i="35"/>
  <c r="R50" i="35"/>
  <c r="R49" i="35"/>
  <c r="R27" i="35"/>
  <c r="R25" i="35"/>
  <c r="P10" i="35"/>
  <c r="P9" i="35"/>
  <c r="P8" i="35"/>
  <c r="U25" i="35" s="1"/>
  <c r="P7" i="35"/>
  <c r="P16" i="35" s="1"/>
  <c r="P6" i="35"/>
  <c r="P32" i="35" s="1"/>
  <c r="U49" i="35" s="1"/>
  <c r="X10" i="34"/>
  <c r="W10" i="34"/>
  <c r="V10" i="34"/>
  <c r="U10" i="34"/>
  <c r="T10" i="34"/>
  <c r="S10" i="34"/>
  <c r="R10" i="34"/>
  <c r="Q10" i="34"/>
  <c r="R27" i="34"/>
  <c r="X36" i="34"/>
  <c r="W36" i="34"/>
  <c r="V36" i="34"/>
  <c r="U36" i="34"/>
  <c r="T36" i="34"/>
  <c r="S36" i="34"/>
  <c r="R36" i="34"/>
  <c r="Q36" i="34"/>
  <c r="X35" i="34"/>
  <c r="W35" i="34"/>
  <c r="V35" i="34"/>
  <c r="U35" i="34"/>
  <c r="T35" i="34"/>
  <c r="S35" i="34"/>
  <c r="R35" i="34"/>
  <c r="Q35" i="34"/>
  <c r="R26" i="34"/>
  <c r="X9" i="34"/>
  <c r="W9" i="34"/>
  <c r="V9" i="34"/>
  <c r="U9" i="34"/>
  <c r="T9" i="34"/>
  <c r="S9" i="34"/>
  <c r="R9" i="34"/>
  <c r="Q9" i="34"/>
  <c r="X34" i="34"/>
  <c r="W34" i="34"/>
  <c r="V34" i="34"/>
  <c r="U34" i="34"/>
  <c r="T34" i="34"/>
  <c r="S34" i="34"/>
  <c r="R34" i="34"/>
  <c r="Q34" i="34"/>
  <c r="R25" i="34"/>
  <c r="X8" i="34"/>
  <c r="W8" i="34"/>
  <c r="V8" i="34"/>
  <c r="U8" i="34"/>
  <c r="T8" i="34"/>
  <c r="S8" i="34"/>
  <c r="R8" i="34"/>
  <c r="Q8" i="34"/>
  <c r="X7" i="34"/>
  <c r="W7" i="34"/>
  <c r="V7" i="34"/>
  <c r="U7" i="34"/>
  <c r="T7" i="34"/>
  <c r="S7" i="34"/>
  <c r="R7" i="34"/>
  <c r="Q7" i="34"/>
  <c r="R24" i="34"/>
  <c r="X33" i="34"/>
  <c r="W33" i="34"/>
  <c r="V33" i="34"/>
  <c r="U33" i="34"/>
  <c r="T33" i="34"/>
  <c r="S33" i="34"/>
  <c r="R33" i="34"/>
  <c r="Q33" i="34"/>
  <c r="X32" i="34"/>
  <c r="W32" i="34"/>
  <c r="V32" i="34"/>
  <c r="U32" i="34"/>
  <c r="T32" i="34"/>
  <c r="S32" i="34"/>
  <c r="R32" i="34"/>
  <c r="Q32" i="34"/>
  <c r="R23" i="34"/>
  <c r="X6" i="34"/>
  <c r="W6" i="34"/>
  <c r="V6" i="34"/>
  <c r="U6" i="34"/>
  <c r="T6" i="34"/>
  <c r="S6" i="34"/>
  <c r="R6" i="34"/>
  <c r="Q6" i="34"/>
  <c r="Q54" i="34"/>
  <c r="R53" i="34"/>
  <c r="R52" i="34"/>
  <c r="R51" i="34"/>
  <c r="R50" i="34"/>
  <c r="R49" i="34"/>
  <c r="P10" i="34"/>
  <c r="P36" i="34" s="1"/>
  <c r="P9" i="34"/>
  <c r="P26" i="34" s="1"/>
  <c r="P8" i="34"/>
  <c r="P7" i="34"/>
  <c r="P6" i="34"/>
  <c r="X36" i="33"/>
  <c r="W36" i="33"/>
  <c r="V36" i="33"/>
  <c r="U36" i="33"/>
  <c r="T36" i="33"/>
  <c r="S36" i="33"/>
  <c r="R36" i="33"/>
  <c r="Q36" i="33"/>
  <c r="X10" i="33"/>
  <c r="W10" i="33"/>
  <c r="V10" i="33"/>
  <c r="U10" i="33"/>
  <c r="T10" i="33"/>
  <c r="S10" i="33"/>
  <c r="R10" i="33"/>
  <c r="Q10" i="33"/>
  <c r="X9" i="33"/>
  <c r="W9" i="33"/>
  <c r="V9" i="33"/>
  <c r="U9" i="33"/>
  <c r="T9" i="33"/>
  <c r="S9" i="33"/>
  <c r="R9" i="33"/>
  <c r="Q9" i="33"/>
  <c r="R26" i="33"/>
  <c r="X35" i="33"/>
  <c r="W35" i="33"/>
  <c r="V35" i="33"/>
  <c r="U35" i="33"/>
  <c r="T35" i="33"/>
  <c r="S35" i="33"/>
  <c r="R35" i="33"/>
  <c r="Q35" i="33"/>
  <c r="X34" i="33"/>
  <c r="W34" i="33"/>
  <c r="V34" i="33"/>
  <c r="U34" i="33"/>
  <c r="T34" i="33"/>
  <c r="S34" i="33"/>
  <c r="R34" i="33"/>
  <c r="Q34" i="33"/>
  <c r="X8" i="33"/>
  <c r="W8" i="33"/>
  <c r="V8" i="33"/>
  <c r="U8" i="33"/>
  <c r="T8" i="33"/>
  <c r="S8" i="33"/>
  <c r="R8" i="33"/>
  <c r="Q8" i="33"/>
  <c r="X7" i="33"/>
  <c r="W7" i="33"/>
  <c r="V7" i="33"/>
  <c r="U7" i="33"/>
  <c r="T7" i="33"/>
  <c r="S7" i="33"/>
  <c r="R7" i="33"/>
  <c r="Q7" i="33"/>
  <c r="R24" i="33"/>
  <c r="X33" i="33"/>
  <c r="W33" i="33"/>
  <c r="V33" i="33"/>
  <c r="U33" i="33"/>
  <c r="T33" i="33"/>
  <c r="S33" i="33"/>
  <c r="R33" i="33"/>
  <c r="Q33" i="33"/>
  <c r="X32" i="33"/>
  <c r="W32" i="33"/>
  <c r="V32" i="33"/>
  <c r="U32" i="33"/>
  <c r="T32" i="33"/>
  <c r="S32" i="33"/>
  <c r="R32" i="33"/>
  <c r="Q32" i="33"/>
  <c r="R23" i="33"/>
  <c r="X6" i="33"/>
  <c r="W6" i="33"/>
  <c r="V6" i="33"/>
  <c r="U6" i="33"/>
  <c r="T6" i="33"/>
  <c r="S6" i="33"/>
  <c r="R6" i="33"/>
  <c r="Q6" i="33"/>
  <c r="Q54" i="33"/>
  <c r="R53" i="33"/>
  <c r="R52" i="33"/>
  <c r="R51" i="33"/>
  <c r="R50" i="33"/>
  <c r="R49" i="33"/>
  <c r="R27" i="33"/>
  <c r="R25" i="33"/>
  <c r="P10" i="33"/>
  <c r="P36" i="33" s="1"/>
  <c r="P9" i="33"/>
  <c r="P26" i="33" s="1"/>
  <c r="P8" i="33"/>
  <c r="P7" i="33"/>
  <c r="P16" i="33" s="1"/>
  <c r="P6" i="33"/>
  <c r="P32" i="33" s="1"/>
  <c r="P41" i="33" s="1"/>
  <c r="X10" i="32"/>
  <c r="W10" i="32"/>
  <c r="V10" i="32"/>
  <c r="U10" i="32"/>
  <c r="T10" i="32"/>
  <c r="S10" i="32"/>
  <c r="R10" i="32"/>
  <c r="Q10" i="32"/>
  <c r="X36" i="32"/>
  <c r="W36" i="32"/>
  <c r="V36" i="32"/>
  <c r="U36" i="32"/>
  <c r="T36" i="32"/>
  <c r="S36" i="32"/>
  <c r="R36" i="32"/>
  <c r="Q36" i="32"/>
  <c r="X35" i="32"/>
  <c r="W35" i="32"/>
  <c r="V35" i="32"/>
  <c r="U35" i="32"/>
  <c r="T35" i="32"/>
  <c r="S35" i="32"/>
  <c r="R35" i="32"/>
  <c r="Q35" i="32"/>
  <c r="Y35" i="32" s="1"/>
  <c r="X9" i="32"/>
  <c r="W9" i="32"/>
  <c r="V9" i="32"/>
  <c r="U9" i="32"/>
  <c r="T9" i="32"/>
  <c r="S9" i="32"/>
  <c r="R9" i="32"/>
  <c r="Q9" i="32"/>
  <c r="X8" i="32"/>
  <c r="W8" i="32"/>
  <c r="V8" i="32"/>
  <c r="U8" i="32"/>
  <c r="T8" i="32"/>
  <c r="S8" i="32"/>
  <c r="R8" i="32"/>
  <c r="Q8" i="32"/>
  <c r="X34" i="32"/>
  <c r="W34" i="32"/>
  <c r="V34" i="32"/>
  <c r="U34" i="32"/>
  <c r="T34" i="32"/>
  <c r="S34" i="32"/>
  <c r="R34" i="32"/>
  <c r="Q34" i="32"/>
  <c r="X33" i="32"/>
  <c r="W33" i="32"/>
  <c r="V33" i="32"/>
  <c r="U33" i="32"/>
  <c r="T33" i="32"/>
  <c r="S33" i="32"/>
  <c r="R33" i="32"/>
  <c r="Q33" i="32"/>
  <c r="R24" i="32"/>
  <c r="X7" i="32"/>
  <c r="W7" i="32"/>
  <c r="V7" i="32"/>
  <c r="U7" i="32"/>
  <c r="T7" i="32"/>
  <c r="S7" i="32"/>
  <c r="R7" i="32"/>
  <c r="Q7" i="32"/>
  <c r="X32" i="32"/>
  <c r="W32" i="32"/>
  <c r="V32" i="32"/>
  <c r="U32" i="32"/>
  <c r="T32" i="32"/>
  <c r="S32" i="32"/>
  <c r="R32" i="32"/>
  <c r="Q32" i="32"/>
  <c r="X6" i="32"/>
  <c r="W6" i="32"/>
  <c r="V6" i="32"/>
  <c r="U6" i="32"/>
  <c r="T6" i="32"/>
  <c r="S6" i="32"/>
  <c r="R6" i="32"/>
  <c r="Q6" i="32"/>
  <c r="Q54" i="32"/>
  <c r="R53" i="32"/>
  <c r="R52" i="32"/>
  <c r="R51" i="32"/>
  <c r="R50" i="32"/>
  <c r="R49" i="32"/>
  <c r="R27" i="32"/>
  <c r="R26" i="32"/>
  <c r="R25" i="32"/>
  <c r="P10" i="32"/>
  <c r="U27" i="32" s="1"/>
  <c r="P9" i="32"/>
  <c r="P8" i="32"/>
  <c r="P7" i="32"/>
  <c r="P6" i="32"/>
  <c r="P32" i="32" s="1"/>
  <c r="R27" i="31"/>
  <c r="R25" i="31"/>
  <c r="Q24" i="30"/>
  <c r="X10" i="31"/>
  <c r="W10" i="31"/>
  <c r="V10" i="31"/>
  <c r="U10" i="31"/>
  <c r="T10" i="31"/>
  <c r="S10" i="31"/>
  <c r="R10" i="31"/>
  <c r="Q10" i="31"/>
  <c r="X36" i="31"/>
  <c r="W36" i="31"/>
  <c r="V36" i="31"/>
  <c r="U36" i="31"/>
  <c r="T36" i="31"/>
  <c r="S36" i="31"/>
  <c r="R36" i="31"/>
  <c r="Q36" i="31"/>
  <c r="X35" i="31"/>
  <c r="W35" i="31"/>
  <c r="V35" i="31"/>
  <c r="U35" i="31"/>
  <c r="T35" i="31"/>
  <c r="S35" i="31"/>
  <c r="R35" i="31"/>
  <c r="Q35" i="31"/>
  <c r="X9" i="31"/>
  <c r="W9" i="31"/>
  <c r="V9" i="31"/>
  <c r="U9" i="31"/>
  <c r="T9" i="31"/>
  <c r="S9" i="31"/>
  <c r="R9" i="31"/>
  <c r="Q9" i="31"/>
  <c r="X8" i="31"/>
  <c r="W8" i="31"/>
  <c r="V8" i="31"/>
  <c r="U8" i="31"/>
  <c r="T8" i="31"/>
  <c r="S8" i="31"/>
  <c r="R8" i="31"/>
  <c r="Q8" i="31"/>
  <c r="X34" i="31"/>
  <c r="W34" i="31"/>
  <c r="V34" i="31"/>
  <c r="U34" i="31"/>
  <c r="T34" i="31"/>
  <c r="S34" i="31"/>
  <c r="R34" i="31"/>
  <c r="Q34" i="31"/>
  <c r="X32" i="31"/>
  <c r="W32" i="31"/>
  <c r="V32" i="31"/>
  <c r="U32" i="31"/>
  <c r="T32" i="31"/>
  <c r="S32" i="31"/>
  <c r="R32" i="31"/>
  <c r="Q32" i="31"/>
  <c r="X7" i="31"/>
  <c r="W7" i="31"/>
  <c r="V7" i="31"/>
  <c r="U7" i="31"/>
  <c r="T7" i="31"/>
  <c r="S7" i="31"/>
  <c r="R7" i="31"/>
  <c r="Q7" i="31"/>
  <c r="X33" i="31"/>
  <c r="W33" i="31"/>
  <c r="W37" i="31" s="1"/>
  <c r="V33" i="31"/>
  <c r="U33" i="31"/>
  <c r="T33" i="31"/>
  <c r="S33" i="31"/>
  <c r="S37" i="31" s="1"/>
  <c r="R33" i="31"/>
  <c r="Q33" i="31"/>
  <c r="X6" i="31"/>
  <c r="W6" i="31"/>
  <c r="V6" i="31"/>
  <c r="U6" i="31"/>
  <c r="T6" i="31"/>
  <c r="S6" i="31"/>
  <c r="S11" i="31" s="1"/>
  <c r="R6" i="31"/>
  <c r="R11" i="31" s="1"/>
  <c r="Q6" i="31"/>
  <c r="R53" i="31"/>
  <c r="R52" i="31"/>
  <c r="R51" i="31"/>
  <c r="R50" i="31"/>
  <c r="R49" i="31"/>
  <c r="R24" i="31"/>
  <c r="P10" i="31"/>
  <c r="P19" i="31" s="1"/>
  <c r="P9" i="31"/>
  <c r="P8" i="31"/>
  <c r="P34" i="31" s="1"/>
  <c r="P7" i="31"/>
  <c r="P16" i="31" s="1"/>
  <c r="V11" i="31"/>
  <c r="P6" i="31"/>
  <c r="P23" i="31" s="1"/>
  <c r="X36" i="30"/>
  <c r="W36" i="30"/>
  <c r="V36" i="30"/>
  <c r="U36" i="30"/>
  <c r="T36" i="30"/>
  <c r="S36" i="30"/>
  <c r="R36" i="30"/>
  <c r="Q36" i="30"/>
  <c r="X35" i="30"/>
  <c r="W35" i="30"/>
  <c r="V35" i="30"/>
  <c r="U35" i="30"/>
  <c r="T35" i="30"/>
  <c r="S35" i="30"/>
  <c r="R35" i="30"/>
  <c r="Q35" i="30"/>
  <c r="X34" i="30"/>
  <c r="W34" i="30"/>
  <c r="V34" i="30"/>
  <c r="U34" i="30"/>
  <c r="T34" i="30"/>
  <c r="S34" i="30"/>
  <c r="R34" i="30"/>
  <c r="Q34" i="30"/>
  <c r="X33" i="30"/>
  <c r="W33" i="30"/>
  <c r="V33" i="30"/>
  <c r="U33" i="30"/>
  <c r="T33" i="30"/>
  <c r="S33" i="30"/>
  <c r="R33" i="30"/>
  <c r="Q33" i="30"/>
  <c r="X32" i="30"/>
  <c r="W32" i="30"/>
  <c r="V32" i="30"/>
  <c r="U32" i="30"/>
  <c r="T32" i="30"/>
  <c r="S32" i="30"/>
  <c r="R32" i="30"/>
  <c r="Q32" i="30"/>
  <c r="Q37" i="30" s="1"/>
  <c r="X10" i="30"/>
  <c r="W10" i="30"/>
  <c r="V10" i="30"/>
  <c r="U10" i="30"/>
  <c r="T10" i="30"/>
  <c r="S10" i="30"/>
  <c r="X9" i="30"/>
  <c r="W9" i="30"/>
  <c r="V9" i="30"/>
  <c r="U9" i="30"/>
  <c r="T9" i="30"/>
  <c r="S9" i="30"/>
  <c r="X8" i="30"/>
  <c r="W8" i="30"/>
  <c r="V8" i="30"/>
  <c r="U8" i="30"/>
  <c r="T8" i="30"/>
  <c r="S8" i="30"/>
  <c r="X7" i="30"/>
  <c r="W7" i="30"/>
  <c r="V7" i="30"/>
  <c r="U7" i="30"/>
  <c r="T7" i="30"/>
  <c r="S7" i="30"/>
  <c r="X6" i="30"/>
  <c r="W6" i="30"/>
  <c r="V6" i="30"/>
  <c r="U6" i="30"/>
  <c r="T6" i="30"/>
  <c r="S6" i="30"/>
  <c r="R10" i="30"/>
  <c r="R9" i="30"/>
  <c r="R8" i="30"/>
  <c r="R7" i="30"/>
  <c r="R6" i="30"/>
  <c r="Q10" i="30"/>
  <c r="Q9" i="30"/>
  <c r="Q8" i="30"/>
  <c r="Q7" i="30"/>
  <c r="Q6" i="30"/>
  <c r="R53" i="30"/>
  <c r="P10" i="30"/>
  <c r="P9" i="30"/>
  <c r="P8" i="30"/>
  <c r="P7" i="30"/>
  <c r="P16" i="30" s="1"/>
  <c r="P6" i="30"/>
  <c r="P15" i="30" s="1"/>
  <c r="P6" i="43" l="1"/>
  <c r="N6" i="19"/>
  <c r="M71" i="47"/>
  <c r="V37" i="34"/>
  <c r="W37" i="39"/>
  <c r="X11" i="35"/>
  <c r="S11" i="35"/>
  <c r="X11" i="37"/>
  <c r="W11" i="35"/>
  <c r="X11" i="34"/>
  <c r="T11" i="35"/>
  <c r="S37" i="32"/>
  <c r="R54" i="39"/>
  <c r="AQ54" i="39" s="1"/>
  <c r="CP55" i="47" s="1"/>
  <c r="R54" i="38"/>
  <c r="AQ54" i="38" s="1"/>
  <c r="CO55" i="47" s="1"/>
  <c r="R54" i="34"/>
  <c r="AQ54" i="34" s="1"/>
  <c r="CK55" i="47" s="1"/>
  <c r="X37" i="33"/>
  <c r="Y35" i="34"/>
  <c r="Y10" i="34"/>
  <c r="Y9" i="31"/>
  <c r="Y36" i="30"/>
  <c r="Y7" i="33"/>
  <c r="Y34" i="33"/>
  <c r="W11" i="36"/>
  <c r="Y33" i="36"/>
  <c r="Y10" i="38"/>
  <c r="Y36" i="38"/>
  <c r="P34" i="36"/>
  <c r="U51" i="36" s="1"/>
  <c r="U25" i="36"/>
  <c r="P34" i="38"/>
  <c r="P27" i="37"/>
  <c r="P17" i="38"/>
  <c r="P36" i="37"/>
  <c r="T37" i="36"/>
  <c r="P34" i="39"/>
  <c r="U51" i="39" s="1"/>
  <c r="X11" i="39"/>
  <c r="U26" i="38"/>
  <c r="P24" i="38"/>
  <c r="U25" i="38"/>
  <c r="Y34" i="38"/>
  <c r="R54" i="37"/>
  <c r="AQ54" i="37" s="1"/>
  <c r="CN55" i="47" s="1"/>
  <c r="Y8" i="37"/>
  <c r="X37" i="36"/>
  <c r="P15" i="36"/>
  <c r="P24" i="36"/>
  <c r="R54" i="36"/>
  <c r="AQ54" i="36" s="1"/>
  <c r="CM55" i="47" s="1"/>
  <c r="P17" i="36"/>
  <c r="Y35" i="36"/>
  <c r="U26" i="36"/>
  <c r="Y36" i="36"/>
  <c r="U23" i="35"/>
  <c r="R54" i="35"/>
  <c r="AQ54" i="35" s="1"/>
  <c r="CL55" i="47" s="1"/>
  <c r="U27" i="34"/>
  <c r="U27" i="33"/>
  <c r="Y7" i="32"/>
  <c r="S11" i="32"/>
  <c r="R54" i="32"/>
  <c r="AQ54" i="32" s="1"/>
  <c r="CI55" i="47" s="1"/>
  <c r="W37" i="32"/>
  <c r="P25" i="31"/>
  <c r="Q28" i="31"/>
  <c r="X37" i="30"/>
  <c r="T37" i="33"/>
  <c r="Y32" i="36"/>
  <c r="W11" i="31"/>
  <c r="T11" i="37"/>
  <c r="Y6" i="32"/>
  <c r="T11" i="32"/>
  <c r="T11" i="31"/>
  <c r="Y6" i="37"/>
  <c r="Y7" i="31"/>
  <c r="S11" i="36"/>
  <c r="S11" i="33"/>
  <c r="Y7" i="37"/>
  <c r="Y7" i="35"/>
  <c r="Y7" i="36"/>
  <c r="U11" i="31"/>
  <c r="W11" i="32"/>
  <c r="Y33" i="39"/>
  <c r="Y33" i="37"/>
  <c r="Y33" i="35"/>
  <c r="Q37" i="31"/>
  <c r="Y33" i="32"/>
  <c r="Y33" i="33"/>
  <c r="U37" i="31"/>
  <c r="U37" i="30"/>
  <c r="X37" i="31"/>
  <c r="Y34" i="31"/>
  <c r="Y34" i="34"/>
  <c r="T37" i="31"/>
  <c r="Y8" i="31"/>
  <c r="U11" i="33"/>
  <c r="Y8" i="35"/>
  <c r="S11" i="37"/>
  <c r="T11" i="39"/>
  <c r="Y8" i="36"/>
  <c r="Y9" i="37"/>
  <c r="Y9" i="39"/>
  <c r="Y9" i="30"/>
  <c r="Y9" i="33"/>
  <c r="Y9" i="32"/>
  <c r="Y9" i="35"/>
  <c r="Y9" i="36"/>
  <c r="X11" i="31"/>
  <c r="X11" i="38"/>
  <c r="X11" i="32"/>
  <c r="W11" i="37"/>
  <c r="Y9" i="38"/>
  <c r="Y35" i="37"/>
  <c r="S37" i="33"/>
  <c r="Y35" i="33"/>
  <c r="W37" i="33"/>
  <c r="R26" i="31"/>
  <c r="Q28" i="35"/>
  <c r="Y36" i="34"/>
  <c r="Y36" i="33"/>
  <c r="Y36" i="39"/>
  <c r="S37" i="39"/>
  <c r="Y10" i="37"/>
  <c r="W11" i="33"/>
  <c r="Y10" i="39"/>
  <c r="Y10" i="35"/>
  <c r="Y10" i="32"/>
  <c r="Y10" i="31"/>
  <c r="Y10" i="33"/>
  <c r="T11" i="40"/>
  <c r="S43" i="40"/>
  <c r="W43" i="40"/>
  <c r="Y10" i="40"/>
  <c r="Y42" i="40"/>
  <c r="U23" i="40"/>
  <c r="S11" i="40"/>
  <c r="W11" i="40"/>
  <c r="Y7" i="40"/>
  <c r="X11" i="40"/>
  <c r="R60" i="40"/>
  <c r="AQ66" i="40" s="1"/>
  <c r="CQ55" i="47" s="1"/>
  <c r="Y9" i="40"/>
  <c r="Q28" i="40"/>
  <c r="Q43" i="40"/>
  <c r="U11" i="40"/>
  <c r="T43" i="40"/>
  <c r="X43" i="40"/>
  <c r="R11" i="40"/>
  <c r="V11" i="40"/>
  <c r="U43" i="40"/>
  <c r="Q11" i="40"/>
  <c r="Y6" i="40"/>
  <c r="P39" i="40"/>
  <c r="P24" i="40"/>
  <c r="U24" i="40"/>
  <c r="Y8" i="40"/>
  <c r="P40" i="40"/>
  <c r="P25" i="40"/>
  <c r="P17" i="40"/>
  <c r="U25" i="40"/>
  <c r="X55" i="40"/>
  <c r="P55" i="40"/>
  <c r="U55" i="40"/>
  <c r="P47" i="40"/>
  <c r="P26" i="40"/>
  <c r="P41" i="40"/>
  <c r="U26" i="40"/>
  <c r="Y38" i="40"/>
  <c r="P23" i="40"/>
  <c r="R43" i="40"/>
  <c r="V43" i="40"/>
  <c r="Y39" i="40"/>
  <c r="Y41" i="40"/>
  <c r="P42" i="40"/>
  <c r="P15" i="40"/>
  <c r="P19" i="40"/>
  <c r="R28" i="40"/>
  <c r="P27" i="40"/>
  <c r="Y40" i="40"/>
  <c r="R37" i="39"/>
  <c r="Q11" i="39"/>
  <c r="U11" i="39"/>
  <c r="V37" i="39"/>
  <c r="R11" i="39"/>
  <c r="V11" i="39"/>
  <c r="Q37" i="39"/>
  <c r="U37" i="39"/>
  <c r="Y6" i="39"/>
  <c r="Y8" i="39"/>
  <c r="S11" i="39"/>
  <c r="W11" i="39"/>
  <c r="Y7" i="39"/>
  <c r="R28" i="39"/>
  <c r="P43" i="39"/>
  <c r="X51" i="39"/>
  <c r="P51" i="39"/>
  <c r="P16" i="39"/>
  <c r="P18" i="39"/>
  <c r="U23" i="39"/>
  <c r="P25" i="39"/>
  <c r="U26" i="39"/>
  <c r="Y34" i="39"/>
  <c r="P35" i="39"/>
  <c r="P23" i="39"/>
  <c r="T37" i="39"/>
  <c r="X37" i="39"/>
  <c r="Y35" i="39"/>
  <c r="P41" i="39"/>
  <c r="X49" i="39"/>
  <c r="P49" i="39"/>
  <c r="U49" i="39"/>
  <c r="P36" i="39"/>
  <c r="P27" i="39"/>
  <c r="U27" i="39"/>
  <c r="P15" i="39"/>
  <c r="P17" i="39"/>
  <c r="P19" i="39"/>
  <c r="Q28" i="39"/>
  <c r="P24" i="39"/>
  <c r="Y32" i="39"/>
  <c r="P33" i="39"/>
  <c r="T37" i="38"/>
  <c r="X37" i="38"/>
  <c r="V11" i="38"/>
  <c r="Q37" i="38"/>
  <c r="T11" i="38"/>
  <c r="Q11" i="38"/>
  <c r="U11" i="38"/>
  <c r="R11" i="38"/>
  <c r="U37" i="38"/>
  <c r="Y6" i="38"/>
  <c r="Y32" i="38"/>
  <c r="Y8" i="38"/>
  <c r="S11" i="38"/>
  <c r="W11" i="38"/>
  <c r="Y7" i="38"/>
  <c r="Q28" i="38"/>
  <c r="R23" i="38"/>
  <c r="R28" i="38" s="1"/>
  <c r="AQ27" i="38" s="1"/>
  <c r="CO30" i="47" s="1"/>
  <c r="P16" i="38"/>
  <c r="P18" i="38"/>
  <c r="R37" i="38"/>
  <c r="V37" i="38"/>
  <c r="P33" i="38"/>
  <c r="P35" i="38"/>
  <c r="S37" i="38"/>
  <c r="W37" i="38"/>
  <c r="Y33" i="38"/>
  <c r="Y35" i="38"/>
  <c r="P32" i="38"/>
  <c r="P23" i="38"/>
  <c r="U23" i="38"/>
  <c r="P36" i="38"/>
  <c r="P27" i="38"/>
  <c r="U27" i="38"/>
  <c r="P15" i="38"/>
  <c r="P19" i="38"/>
  <c r="P43" i="38"/>
  <c r="X51" i="38"/>
  <c r="P51" i="38"/>
  <c r="U51" i="38"/>
  <c r="Q37" i="37"/>
  <c r="U11" i="37"/>
  <c r="R28" i="37"/>
  <c r="V11" i="37"/>
  <c r="U37" i="37"/>
  <c r="R11" i="37"/>
  <c r="P33" i="37"/>
  <c r="P24" i="37"/>
  <c r="P34" i="37"/>
  <c r="P25" i="37"/>
  <c r="U25" i="37"/>
  <c r="P26" i="37"/>
  <c r="P35" i="37"/>
  <c r="U26" i="37"/>
  <c r="Q11" i="37"/>
  <c r="P16" i="37"/>
  <c r="P18" i="37"/>
  <c r="P23" i="37"/>
  <c r="R37" i="37"/>
  <c r="V37" i="37"/>
  <c r="Y34" i="37"/>
  <c r="Y36" i="37"/>
  <c r="X53" i="37"/>
  <c r="P53" i="37"/>
  <c r="U53" i="37"/>
  <c r="P45" i="37"/>
  <c r="P15" i="37"/>
  <c r="P19" i="37"/>
  <c r="P32" i="37"/>
  <c r="T37" i="37"/>
  <c r="X37" i="37"/>
  <c r="Q28" i="37"/>
  <c r="Y32" i="37"/>
  <c r="R28" i="36"/>
  <c r="AQ27" i="36" s="1"/>
  <c r="CM30" i="47" s="1"/>
  <c r="V11" i="36"/>
  <c r="U37" i="36"/>
  <c r="R11" i="36"/>
  <c r="Q11" i="36"/>
  <c r="U11" i="36"/>
  <c r="Y6" i="36"/>
  <c r="Q37" i="36"/>
  <c r="P36" i="36"/>
  <c r="P27" i="36"/>
  <c r="U27" i="36"/>
  <c r="Y10" i="36"/>
  <c r="P43" i="36"/>
  <c r="X51" i="36"/>
  <c r="P51" i="36"/>
  <c r="P32" i="36"/>
  <c r="U23" i="36"/>
  <c r="T11" i="36"/>
  <c r="X11" i="36"/>
  <c r="P19" i="36"/>
  <c r="Q28" i="36"/>
  <c r="S37" i="36"/>
  <c r="W37" i="36"/>
  <c r="Y34" i="36"/>
  <c r="P16" i="36"/>
  <c r="P18" i="36"/>
  <c r="R37" i="36"/>
  <c r="V37" i="36"/>
  <c r="P33" i="36"/>
  <c r="P35" i="36"/>
  <c r="R37" i="35"/>
  <c r="V37" i="35"/>
  <c r="T37" i="35"/>
  <c r="X37" i="35"/>
  <c r="R11" i="35"/>
  <c r="V11" i="35"/>
  <c r="Q11" i="35"/>
  <c r="U11" i="35"/>
  <c r="Y6" i="35"/>
  <c r="P26" i="35"/>
  <c r="P35" i="35"/>
  <c r="U26" i="35"/>
  <c r="P18" i="35"/>
  <c r="P23" i="35"/>
  <c r="S37" i="35"/>
  <c r="W37" i="35"/>
  <c r="Y34" i="35"/>
  <c r="U24" i="35"/>
  <c r="P33" i="35"/>
  <c r="P41" i="35"/>
  <c r="X49" i="35"/>
  <c r="P49" i="35"/>
  <c r="P36" i="35"/>
  <c r="P27" i="35"/>
  <c r="U27" i="35"/>
  <c r="P15" i="35"/>
  <c r="P17" i="35"/>
  <c r="P19" i="35"/>
  <c r="P24" i="35"/>
  <c r="Y35" i="35"/>
  <c r="P34" i="35"/>
  <c r="P25" i="35"/>
  <c r="R28" i="35"/>
  <c r="Q37" i="35"/>
  <c r="U37" i="35"/>
  <c r="Y32" i="35"/>
  <c r="T11" i="34"/>
  <c r="R37" i="34"/>
  <c r="T37" i="34"/>
  <c r="X37" i="34"/>
  <c r="Q28" i="34"/>
  <c r="P15" i="34"/>
  <c r="P23" i="34"/>
  <c r="U23" i="34"/>
  <c r="Q11" i="34"/>
  <c r="U11" i="34"/>
  <c r="Y6" i="34"/>
  <c r="Y9" i="34"/>
  <c r="P45" i="34"/>
  <c r="P53" i="34"/>
  <c r="X53" i="34"/>
  <c r="U53" i="34"/>
  <c r="R28" i="34"/>
  <c r="P32" i="34"/>
  <c r="R11" i="34"/>
  <c r="V11" i="34"/>
  <c r="P33" i="34"/>
  <c r="P24" i="34"/>
  <c r="U24" i="34"/>
  <c r="P16" i="34"/>
  <c r="Y8" i="34"/>
  <c r="Y33" i="34"/>
  <c r="S11" i="34"/>
  <c r="W11" i="34"/>
  <c r="Y7" i="34"/>
  <c r="P34" i="34"/>
  <c r="P25" i="34"/>
  <c r="P35" i="34"/>
  <c r="U26" i="34"/>
  <c r="P18" i="34"/>
  <c r="U25" i="34"/>
  <c r="Q37" i="34"/>
  <c r="U37" i="34"/>
  <c r="Y32" i="34"/>
  <c r="P27" i="34"/>
  <c r="P17" i="34"/>
  <c r="P19" i="34"/>
  <c r="S37" i="34"/>
  <c r="W37" i="34"/>
  <c r="R11" i="33"/>
  <c r="V11" i="33"/>
  <c r="Q11" i="33"/>
  <c r="U23" i="33"/>
  <c r="P15" i="33"/>
  <c r="P23" i="33"/>
  <c r="T11" i="33"/>
  <c r="X11" i="33"/>
  <c r="Y8" i="33"/>
  <c r="Y6" i="33"/>
  <c r="P33" i="33"/>
  <c r="P24" i="33"/>
  <c r="U24" i="33"/>
  <c r="P35" i="33"/>
  <c r="U26" i="33"/>
  <c r="P18" i="33"/>
  <c r="R54" i="33"/>
  <c r="AQ54" i="33" s="1"/>
  <c r="CJ55" i="47" s="1"/>
  <c r="X53" i="33"/>
  <c r="P53" i="33"/>
  <c r="U53" i="33"/>
  <c r="P45" i="33"/>
  <c r="X49" i="33"/>
  <c r="P49" i="33"/>
  <c r="U49" i="33"/>
  <c r="P34" i="33"/>
  <c r="P25" i="33"/>
  <c r="P17" i="33"/>
  <c r="U25" i="33"/>
  <c r="Q37" i="33"/>
  <c r="U37" i="33"/>
  <c r="Y32" i="33"/>
  <c r="P19" i="33"/>
  <c r="R28" i="33"/>
  <c r="P27" i="33"/>
  <c r="Q28" i="33"/>
  <c r="R37" i="33"/>
  <c r="V37" i="33"/>
  <c r="U11" i="32"/>
  <c r="U37" i="32"/>
  <c r="Y8" i="32"/>
  <c r="R11" i="32"/>
  <c r="V11" i="32"/>
  <c r="Q37" i="32"/>
  <c r="Q11" i="32"/>
  <c r="X49" i="32"/>
  <c r="P49" i="32"/>
  <c r="U49" i="32"/>
  <c r="P41" i="32"/>
  <c r="P33" i="32"/>
  <c r="P24" i="32"/>
  <c r="P26" i="32"/>
  <c r="P35" i="32"/>
  <c r="U26" i="32"/>
  <c r="P16" i="32"/>
  <c r="P18" i="32"/>
  <c r="U23" i="32"/>
  <c r="U24" i="32"/>
  <c r="P27" i="32"/>
  <c r="P36" i="32"/>
  <c r="R37" i="32"/>
  <c r="V37" i="32"/>
  <c r="Y34" i="32"/>
  <c r="Y36" i="32"/>
  <c r="P34" i="32"/>
  <c r="P25" i="32"/>
  <c r="U25" i="32"/>
  <c r="P15" i="32"/>
  <c r="P17" i="32"/>
  <c r="P19" i="32"/>
  <c r="P23" i="32"/>
  <c r="R23" i="32"/>
  <c r="R28" i="32" s="1"/>
  <c r="Q28" i="32"/>
  <c r="T37" i="32"/>
  <c r="X37" i="32"/>
  <c r="Y32" i="32"/>
  <c r="Y6" i="31"/>
  <c r="U24" i="31"/>
  <c r="P33" i="31"/>
  <c r="P51" i="31"/>
  <c r="U51" i="31"/>
  <c r="P43" i="31"/>
  <c r="P26" i="31"/>
  <c r="U26" i="31"/>
  <c r="P35" i="31"/>
  <c r="Q11" i="31"/>
  <c r="P17" i="31"/>
  <c r="P32" i="31"/>
  <c r="P15" i="31"/>
  <c r="R23" i="31"/>
  <c r="R28" i="31" s="1"/>
  <c r="AQ27" i="31" s="1"/>
  <c r="CH30" i="47" s="1"/>
  <c r="P24" i="31"/>
  <c r="U25" i="31"/>
  <c r="X51" i="31"/>
  <c r="U27" i="31"/>
  <c r="P27" i="31"/>
  <c r="P36" i="31"/>
  <c r="P18" i="31"/>
  <c r="U23" i="31"/>
  <c r="Y32" i="31"/>
  <c r="R37" i="31"/>
  <c r="V37" i="31"/>
  <c r="Y33" i="31"/>
  <c r="Y35" i="31"/>
  <c r="R54" i="31"/>
  <c r="AQ54" i="31" s="1"/>
  <c r="CH55" i="47" s="1"/>
  <c r="Q54" i="31"/>
  <c r="Y36" i="31"/>
  <c r="V11" i="30"/>
  <c r="W11" i="30"/>
  <c r="Y10" i="30"/>
  <c r="Y35" i="30"/>
  <c r="X11" i="30"/>
  <c r="Y8" i="30"/>
  <c r="U11" i="30"/>
  <c r="T11" i="30"/>
  <c r="R11" i="30"/>
  <c r="Y7" i="30"/>
  <c r="S11" i="30"/>
  <c r="W37" i="30"/>
  <c r="Y6" i="30"/>
  <c r="S37" i="30"/>
  <c r="T37" i="30"/>
  <c r="P33" i="30"/>
  <c r="P24" i="30"/>
  <c r="U24" i="30"/>
  <c r="P26" i="30"/>
  <c r="P35" i="30"/>
  <c r="U26" i="30"/>
  <c r="Q11" i="30"/>
  <c r="P18" i="30"/>
  <c r="Y32" i="30"/>
  <c r="U25" i="30"/>
  <c r="P17" i="30"/>
  <c r="P34" i="30"/>
  <c r="U23" i="30"/>
  <c r="P32" i="30"/>
  <c r="P23" i="30"/>
  <c r="U27" i="30"/>
  <c r="P27" i="30"/>
  <c r="P19" i="30"/>
  <c r="P36" i="30"/>
  <c r="P25" i="30"/>
  <c r="Y33" i="30"/>
  <c r="R37" i="30"/>
  <c r="V37" i="30"/>
  <c r="Y34" i="30"/>
  <c r="N71" i="47" l="1"/>
  <c r="Q6" i="43"/>
  <c r="O6" i="19"/>
  <c r="G9" i="16"/>
  <c r="AQ27" i="32"/>
  <c r="CI30" i="47" s="1"/>
  <c r="N9" i="16"/>
  <c r="AQ27" i="39"/>
  <c r="CP30" i="47" s="1"/>
  <c r="O9" i="16"/>
  <c r="AQ33" i="40"/>
  <c r="CQ30" i="47" s="1"/>
  <c r="I9" i="16"/>
  <c r="AQ27" i="34"/>
  <c r="CK30" i="47" s="1"/>
  <c r="J9" i="16"/>
  <c r="AQ27" i="35"/>
  <c r="CL30" i="47" s="1"/>
  <c r="H9" i="16"/>
  <c r="AQ27" i="33"/>
  <c r="CJ30" i="47" s="1"/>
  <c r="L9" i="16"/>
  <c r="AQ27" i="37"/>
  <c r="CN30" i="47" s="1"/>
  <c r="K9" i="16"/>
  <c r="M9" i="16"/>
  <c r="F9" i="16"/>
  <c r="Y11" i="32"/>
  <c r="Y11" i="31"/>
  <c r="Y11" i="37"/>
  <c r="Y37" i="36"/>
  <c r="Y37" i="33"/>
  <c r="Y11" i="35"/>
  <c r="Y11" i="40"/>
  <c r="Y43" i="40"/>
  <c r="U58" i="40"/>
  <c r="P50" i="40"/>
  <c r="P58" i="40"/>
  <c r="X58" i="40"/>
  <c r="X57" i="40"/>
  <c r="P57" i="40"/>
  <c r="U57" i="40"/>
  <c r="P49" i="40"/>
  <c r="P51" i="40"/>
  <c r="X59" i="40"/>
  <c r="P59" i="40"/>
  <c r="U59" i="40"/>
  <c r="U56" i="40"/>
  <c r="P48" i="40"/>
  <c r="P56" i="40"/>
  <c r="X56" i="40"/>
  <c r="U52" i="39"/>
  <c r="X52" i="39"/>
  <c r="P52" i="39"/>
  <c r="P44" i="39"/>
  <c r="P45" i="39"/>
  <c r="X53" i="39"/>
  <c r="P53" i="39"/>
  <c r="U53" i="39"/>
  <c r="U50" i="39"/>
  <c r="X50" i="39"/>
  <c r="P50" i="39"/>
  <c r="P42" i="39"/>
  <c r="Y11" i="39"/>
  <c r="Y37" i="39"/>
  <c r="U50" i="38"/>
  <c r="P50" i="38"/>
  <c r="P42" i="38"/>
  <c r="X50" i="38"/>
  <c r="P45" i="38"/>
  <c r="X53" i="38"/>
  <c r="P53" i="38"/>
  <c r="U53" i="38"/>
  <c r="P41" i="38"/>
  <c r="X49" i="38"/>
  <c r="P49" i="38"/>
  <c r="U49" i="38"/>
  <c r="Y11" i="38"/>
  <c r="Y37" i="38"/>
  <c r="U52" i="38"/>
  <c r="X52" i="38"/>
  <c r="P44" i="38"/>
  <c r="P52" i="38"/>
  <c r="X49" i="37"/>
  <c r="P49" i="37"/>
  <c r="U49" i="37"/>
  <c r="P41" i="37"/>
  <c r="U50" i="37"/>
  <c r="P42" i="37"/>
  <c r="X50" i="37"/>
  <c r="P50" i="37"/>
  <c r="Y37" i="37"/>
  <c r="U52" i="37"/>
  <c r="P44" i="37"/>
  <c r="X52" i="37"/>
  <c r="P52" i="37"/>
  <c r="X51" i="37"/>
  <c r="P51" i="37"/>
  <c r="U51" i="37"/>
  <c r="P43" i="37"/>
  <c r="Y11" i="36"/>
  <c r="P41" i="36"/>
  <c r="X49" i="36"/>
  <c r="P49" i="36"/>
  <c r="U49" i="36"/>
  <c r="P45" i="36"/>
  <c r="X53" i="36"/>
  <c r="P53" i="36"/>
  <c r="U53" i="36"/>
  <c r="U50" i="36"/>
  <c r="P42" i="36"/>
  <c r="X50" i="36"/>
  <c r="P50" i="36"/>
  <c r="U52" i="36"/>
  <c r="P52" i="36"/>
  <c r="X52" i="36"/>
  <c r="P44" i="36"/>
  <c r="P43" i="35"/>
  <c r="X51" i="35"/>
  <c r="P51" i="35"/>
  <c r="U51" i="35"/>
  <c r="Y37" i="35"/>
  <c r="U50" i="35"/>
  <c r="P42" i="35"/>
  <c r="X50" i="35"/>
  <c r="P50" i="35"/>
  <c r="U52" i="35"/>
  <c r="P44" i="35"/>
  <c r="X52" i="35"/>
  <c r="P52" i="35"/>
  <c r="P45" i="35"/>
  <c r="X53" i="35"/>
  <c r="P53" i="35"/>
  <c r="U53" i="35"/>
  <c r="P41" i="34"/>
  <c r="P49" i="34"/>
  <c r="X49" i="34"/>
  <c r="U49" i="34"/>
  <c r="P44" i="34"/>
  <c r="P52" i="34"/>
  <c r="X52" i="34"/>
  <c r="U52" i="34"/>
  <c r="P42" i="34"/>
  <c r="P50" i="34"/>
  <c r="X50" i="34"/>
  <c r="U50" i="34"/>
  <c r="Y11" i="34"/>
  <c r="P43" i="34"/>
  <c r="P51" i="34"/>
  <c r="X51" i="34"/>
  <c r="U51" i="34"/>
  <c r="Y37" i="34"/>
  <c r="Y11" i="33"/>
  <c r="X51" i="33"/>
  <c r="P51" i="33"/>
  <c r="U51" i="33"/>
  <c r="P43" i="33"/>
  <c r="U50" i="33"/>
  <c r="P42" i="33"/>
  <c r="X50" i="33"/>
  <c r="P50" i="33"/>
  <c r="U52" i="33"/>
  <c r="P44" i="33"/>
  <c r="X52" i="33"/>
  <c r="P52" i="33"/>
  <c r="Y37" i="32"/>
  <c r="U50" i="32"/>
  <c r="P42" i="32"/>
  <c r="X50" i="32"/>
  <c r="P50" i="32"/>
  <c r="X51" i="32"/>
  <c r="P51" i="32"/>
  <c r="U51" i="32"/>
  <c r="P43" i="32"/>
  <c r="X53" i="32"/>
  <c r="P53" i="32"/>
  <c r="U53" i="32"/>
  <c r="P45" i="32"/>
  <c r="U52" i="32"/>
  <c r="P44" i="32"/>
  <c r="X52" i="32"/>
  <c r="P52" i="32"/>
  <c r="X52" i="31"/>
  <c r="U52" i="31"/>
  <c r="P44" i="31"/>
  <c r="P52" i="31"/>
  <c r="X53" i="31"/>
  <c r="P53" i="31"/>
  <c r="U53" i="31"/>
  <c r="P45" i="31"/>
  <c r="Y37" i="31"/>
  <c r="P49" i="31"/>
  <c r="U49" i="31"/>
  <c r="X49" i="31"/>
  <c r="P41" i="31"/>
  <c r="U50" i="31"/>
  <c r="X50" i="31"/>
  <c r="P50" i="31"/>
  <c r="P42" i="31"/>
  <c r="Y11" i="30"/>
  <c r="X53" i="30"/>
  <c r="P53" i="30"/>
  <c r="U53" i="30"/>
  <c r="P45" i="30"/>
  <c r="Y37" i="30"/>
  <c r="P52" i="30"/>
  <c r="U52" i="30"/>
  <c r="X52" i="30"/>
  <c r="P44" i="30"/>
  <c r="X50" i="30"/>
  <c r="P50" i="30"/>
  <c r="U50" i="30"/>
  <c r="P42" i="30"/>
  <c r="X49" i="30"/>
  <c r="P49" i="30"/>
  <c r="U49" i="30"/>
  <c r="P41" i="30"/>
  <c r="U51" i="30"/>
  <c r="X51" i="30"/>
  <c r="P51" i="30"/>
  <c r="P43" i="30"/>
  <c r="R6" i="43" l="1"/>
  <c r="P6" i="19"/>
  <c r="O71" i="47"/>
  <c r="U18" i="19"/>
  <c r="CB64" i="29" l="1"/>
  <c r="CC64" i="29"/>
  <c r="S6" i="43"/>
  <c r="P71" i="47"/>
  <c r="F25" i="30"/>
  <c r="F25" i="40"/>
  <c r="F25" i="39"/>
  <c r="F25" i="33"/>
  <c r="F25" i="38"/>
  <c r="F25" i="37"/>
  <c r="F25" i="36"/>
  <c r="F25" i="35"/>
  <c r="F25" i="34"/>
  <c r="F25" i="32"/>
  <c r="F25" i="31"/>
  <c r="AT128" i="29"/>
  <c r="AX128" i="29" s="1"/>
  <c r="AS128" i="29"/>
  <c r="CC71" i="29" l="1"/>
  <c r="CC79" i="29"/>
  <c r="CC70" i="29"/>
  <c r="CC78" i="29"/>
  <c r="CC73" i="29"/>
  <c r="CC65" i="29"/>
  <c r="CC72" i="29"/>
  <c r="CC67" i="29"/>
  <c r="CC66" i="29"/>
  <c r="CC75" i="29"/>
  <c r="CC74" i="29"/>
  <c r="CC69" i="29"/>
  <c r="CC77" i="29"/>
  <c r="CC68" i="29"/>
  <c r="CC76" i="29"/>
  <c r="CB66" i="29"/>
  <c r="CB73" i="29"/>
  <c r="CB79" i="29"/>
  <c r="CB75" i="29"/>
  <c r="CB65" i="29"/>
  <c r="CB72" i="29"/>
  <c r="CB71" i="29"/>
  <c r="CB67" i="29"/>
  <c r="CB78" i="29"/>
  <c r="CB70" i="29"/>
  <c r="CB77" i="29"/>
  <c r="CB76" i="29"/>
  <c r="CB68" i="29"/>
  <c r="CB69" i="29"/>
  <c r="CB74" i="29"/>
  <c r="M79" i="47"/>
  <c r="J79" i="47"/>
  <c r="I79" i="47"/>
  <c r="G79" i="47"/>
  <c r="N79" i="47"/>
  <c r="L79" i="47"/>
  <c r="K79" i="47"/>
  <c r="H79" i="47"/>
  <c r="O79" i="47"/>
  <c r="P79" i="47"/>
  <c r="E79" i="47"/>
  <c r="F79" i="47"/>
  <c r="G25" i="39"/>
  <c r="F52" i="39"/>
  <c r="G25" i="35"/>
  <c r="F52" i="35"/>
  <c r="F52" i="31"/>
  <c r="G25" i="31"/>
  <c r="G25" i="37"/>
  <c r="F52" i="37"/>
  <c r="F58" i="40"/>
  <c r="G25" i="40"/>
  <c r="G25" i="33"/>
  <c r="F52" i="33"/>
  <c r="F52" i="36"/>
  <c r="G25" i="36"/>
  <c r="G25" i="32"/>
  <c r="F52" i="32"/>
  <c r="F52" i="34"/>
  <c r="G25" i="34"/>
  <c r="G25" i="38"/>
  <c r="F52" i="38"/>
  <c r="F52" i="30"/>
  <c r="G25" i="30"/>
  <c r="AU128" i="29"/>
  <c r="AV128" i="29"/>
  <c r="AW128" i="29"/>
  <c r="P82" i="47" l="1"/>
  <c r="O82" i="47"/>
  <c r="P77" i="47"/>
  <c r="O77" i="47"/>
  <c r="K52" i="39"/>
  <c r="H52" i="39"/>
  <c r="L52" i="39"/>
  <c r="I52" i="39"/>
  <c r="M52" i="39"/>
  <c r="J52" i="39"/>
  <c r="G52" i="39"/>
  <c r="K52" i="30"/>
  <c r="G52" i="30"/>
  <c r="J52" i="30"/>
  <c r="M52" i="30"/>
  <c r="I52" i="30"/>
  <c r="L52" i="30"/>
  <c r="H52" i="30"/>
  <c r="J52" i="34"/>
  <c r="G52" i="34"/>
  <c r="K52" i="34"/>
  <c r="H52" i="34"/>
  <c r="L52" i="34"/>
  <c r="I52" i="34"/>
  <c r="M52" i="34"/>
  <c r="K52" i="36"/>
  <c r="H52" i="36"/>
  <c r="L52" i="36"/>
  <c r="I52" i="36"/>
  <c r="M52" i="36"/>
  <c r="J52" i="36"/>
  <c r="G52" i="36"/>
  <c r="J58" i="40"/>
  <c r="G58" i="40"/>
  <c r="K58" i="40"/>
  <c r="H58" i="40"/>
  <c r="L58" i="40"/>
  <c r="I58" i="40"/>
  <c r="M58" i="40"/>
  <c r="K52" i="31"/>
  <c r="H52" i="31"/>
  <c r="L52" i="31"/>
  <c r="I52" i="31"/>
  <c r="M52" i="31"/>
  <c r="J52" i="31"/>
  <c r="G52" i="31"/>
  <c r="H52" i="38"/>
  <c r="L52" i="38"/>
  <c r="I52" i="38"/>
  <c r="M52" i="38"/>
  <c r="J52" i="38"/>
  <c r="G52" i="38"/>
  <c r="K52" i="38"/>
  <c r="I52" i="32"/>
  <c r="M52" i="32"/>
  <c r="J52" i="32"/>
  <c r="G52" i="32"/>
  <c r="K52" i="32"/>
  <c r="H52" i="32"/>
  <c r="L52" i="32"/>
  <c r="J52" i="33"/>
  <c r="G52" i="33"/>
  <c r="K52" i="33"/>
  <c r="H52" i="33"/>
  <c r="L52" i="33"/>
  <c r="I52" i="33"/>
  <c r="M52" i="33"/>
  <c r="I52" i="37"/>
  <c r="M52" i="37"/>
  <c r="G52" i="37"/>
  <c r="J52" i="37"/>
  <c r="K52" i="37"/>
  <c r="H52" i="37"/>
  <c r="L52" i="37"/>
  <c r="J52" i="35"/>
  <c r="G52" i="35"/>
  <c r="K52" i="35"/>
  <c r="H52" i="35"/>
  <c r="L52" i="35"/>
  <c r="I52" i="35"/>
  <c r="M52" i="35"/>
  <c r="F77" i="47"/>
  <c r="K77" i="47"/>
  <c r="J77" i="47"/>
  <c r="G77" i="47"/>
  <c r="I77" i="47"/>
  <c r="L77" i="47"/>
  <c r="E77" i="47"/>
  <c r="H77" i="47"/>
  <c r="N77" i="47"/>
  <c r="M77" i="47"/>
  <c r="O78" i="47"/>
  <c r="L78" i="47"/>
  <c r="G78" i="47"/>
  <c r="N78" i="47"/>
  <c r="J78" i="47"/>
  <c r="M78" i="47"/>
  <c r="E78" i="47"/>
  <c r="F78" i="47"/>
  <c r="I78" i="47"/>
  <c r="K78" i="47"/>
  <c r="P78" i="47"/>
  <c r="H78" i="47"/>
  <c r="N82" i="47"/>
  <c r="M82" i="47"/>
  <c r="F82" i="47"/>
  <c r="E82" i="47"/>
  <c r="I82" i="47"/>
  <c r="L82" i="47"/>
  <c r="G82" i="47"/>
  <c r="J82" i="47"/>
  <c r="H82" i="47"/>
  <c r="K82" i="47"/>
  <c r="AY45" i="29"/>
  <c r="D6" i="43"/>
  <c r="AX45" i="29"/>
  <c r="C6" i="43"/>
  <c r="H25" i="32"/>
  <c r="H25" i="33"/>
  <c r="H25" i="37"/>
  <c r="H25" i="35"/>
  <c r="H25" i="38"/>
  <c r="H25" i="30"/>
  <c r="H25" i="34"/>
  <c r="H25" i="36"/>
  <c r="H25" i="40"/>
  <c r="H25" i="31"/>
  <c r="H25" i="39"/>
  <c r="AY39" i="29"/>
  <c r="S6" i="19" s="1"/>
  <c r="X6" i="19" s="1"/>
  <c r="AX39" i="29"/>
  <c r="R6" i="19" s="1"/>
  <c r="W6" i="19" s="1"/>
  <c r="AY41" i="29"/>
  <c r="AX43" i="29"/>
  <c r="AY43" i="29"/>
  <c r="AX41" i="29"/>
  <c r="AS7" i="29"/>
  <c r="AS9" i="29" s="1"/>
  <c r="AS23" i="29"/>
  <c r="AS25" i="29" s="1"/>
  <c r="AS39" i="29"/>
  <c r="AQ52" i="37" l="1"/>
  <c r="CN47" i="47" s="1"/>
  <c r="AQ52" i="35"/>
  <c r="CL47" i="47" s="1"/>
  <c r="AQ52" i="33"/>
  <c r="CJ47" i="47" s="1"/>
  <c r="AQ58" i="40"/>
  <c r="CQ47" i="47" s="1"/>
  <c r="AQ52" i="30"/>
  <c r="CG47" i="47" s="1"/>
  <c r="AQ52" i="39"/>
  <c r="CP47" i="47" s="1"/>
  <c r="AQ52" i="38"/>
  <c r="CO47" i="47" s="1"/>
  <c r="AQ52" i="31"/>
  <c r="CH47" i="47" s="1"/>
  <c r="AQ52" i="34"/>
  <c r="CK47" i="47" s="1"/>
  <c r="AQ52" i="32"/>
  <c r="CI47" i="47" s="1"/>
  <c r="AQ52" i="36"/>
  <c r="CM47" i="47" s="1"/>
  <c r="O80" i="47"/>
  <c r="E80" i="47"/>
  <c r="M80" i="47"/>
  <c r="L80" i="47"/>
  <c r="K80" i="47"/>
  <c r="P80" i="47"/>
  <c r="N80" i="47"/>
  <c r="I80" i="47"/>
  <c r="F80" i="47"/>
  <c r="J80" i="47"/>
  <c r="H80" i="47"/>
  <c r="G80" i="47"/>
  <c r="I25" i="33"/>
  <c r="I25" i="31"/>
  <c r="I25" i="36"/>
  <c r="I25" i="30"/>
  <c r="I25" i="35"/>
  <c r="I25" i="39"/>
  <c r="I25" i="40"/>
  <c r="I25" i="34"/>
  <c r="I25" i="37"/>
  <c r="I25" i="32"/>
  <c r="I25" i="38"/>
  <c r="AS11" i="29"/>
  <c r="AS13" i="29"/>
  <c r="AS43" i="29"/>
  <c r="AS45" i="29"/>
  <c r="AS41" i="29"/>
  <c r="AS29" i="29"/>
  <c r="AS27" i="29"/>
  <c r="J25" i="32" l="1"/>
  <c r="J25" i="39"/>
  <c r="J25" i="30"/>
  <c r="J25" i="31"/>
  <c r="J25" i="34"/>
  <c r="J25" i="38"/>
  <c r="J25" i="37"/>
  <c r="J25" i="40"/>
  <c r="J25" i="35"/>
  <c r="J25" i="36"/>
  <c r="J25" i="33"/>
  <c r="K25" i="36" l="1"/>
  <c r="K25" i="38"/>
  <c r="K25" i="31"/>
  <c r="K25" i="39"/>
  <c r="K25" i="40"/>
  <c r="K25" i="33"/>
  <c r="K25" i="35"/>
  <c r="K25" i="34"/>
  <c r="K25" i="30"/>
  <c r="K25" i="37"/>
  <c r="K25" i="32"/>
  <c r="AC4" i="1"/>
  <c r="AB4" i="1"/>
  <c r="H41" i="47" l="1"/>
  <c r="H35" i="47"/>
  <c r="H40" i="47"/>
  <c r="H34" i="47"/>
  <c r="H39" i="47"/>
  <c r="H33" i="47"/>
  <c r="H38" i="47"/>
  <c r="H32" i="47"/>
  <c r="AS92" i="29"/>
  <c r="AS90" i="29"/>
  <c r="AT39" i="29"/>
  <c r="AT41" i="29" s="1"/>
  <c r="L25" i="38"/>
  <c r="L25" i="33"/>
  <c r="L25" i="34"/>
  <c r="L25" i="31"/>
  <c r="L25" i="39"/>
  <c r="L25" i="37"/>
  <c r="L25" i="32"/>
  <c r="L25" i="30"/>
  <c r="L25" i="35"/>
  <c r="L25" i="40"/>
  <c r="L25" i="36"/>
  <c r="C3" i="27"/>
  <c r="AT23" i="29"/>
  <c r="BD78" i="29" l="1"/>
  <c r="H53" i="47"/>
  <c r="BD76" i="29"/>
  <c r="H51" i="47"/>
  <c r="H48" i="47"/>
  <c r="BD75" i="29"/>
  <c r="BD72" i="29"/>
  <c r="H45" i="47"/>
  <c r="H47" i="47"/>
  <c r="BD74" i="29"/>
  <c r="AX90" i="29"/>
  <c r="AU90" i="29"/>
  <c r="AW90" i="29"/>
  <c r="AV90" i="29"/>
  <c r="H54" i="47"/>
  <c r="BD79" i="29"/>
  <c r="BD77" i="29"/>
  <c r="H52" i="47"/>
  <c r="BD73" i="29"/>
  <c r="H46" i="47"/>
  <c r="AX92" i="29"/>
  <c r="BO66" i="29" s="1"/>
  <c r="AW92" i="29"/>
  <c r="AU92" i="29"/>
  <c r="AV92" i="29"/>
  <c r="BE39" i="29"/>
  <c r="BC39" i="29"/>
  <c r="BC43" i="29" s="1"/>
  <c r="BG39" i="29"/>
  <c r="BG41" i="29" s="1"/>
  <c r="BF39" i="29"/>
  <c r="BI39" i="29"/>
  <c r="BB39" i="29"/>
  <c r="R8" i="19" s="1"/>
  <c r="W8" i="19" s="1"/>
  <c r="AT43" i="29"/>
  <c r="BE43" i="29" s="1"/>
  <c r="AT45" i="29"/>
  <c r="BE45" i="29" s="1"/>
  <c r="W2" i="38"/>
  <c r="W2" i="35"/>
  <c r="W2" i="34"/>
  <c r="W2" i="33"/>
  <c r="W2" i="32"/>
  <c r="W2" i="30"/>
  <c r="W2" i="40"/>
  <c r="W2" i="39"/>
  <c r="W2" i="36"/>
  <c r="W2" i="31"/>
  <c r="W2" i="37"/>
  <c r="W2" i="22"/>
  <c r="M25" i="40"/>
  <c r="AQ25" i="40" s="1"/>
  <c r="CQ22" i="47" s="1"/>
  <c r="M25" i="30"/>
  <c r="AQ25" i="30" s="1"/>
  <c r="CG22" i="47" s="1"/>
  <c r="M25" i="31"/>
  <c r="AQ25" i="31" s="1"/>
  <c r="CH22" i="47" s="1"/>
  <c r="M25" i="37"/>
  <c r="AQ25" i="37" s="1"/>
  <c r="CN22" i="47" s="1"/>
  <c r="M25" i="33"/>
  <c r="AQ25" i="33" s="1"/>
  <c r="CJ22" i="47" s="1"/>
  <c r="M25" i="39"/>
  <c r="AQ25" i="39" s="1"/>
  <c r="CP22" i="47" s="1"/>
  <c r="M25" i="34"/>
  <c r="AQ25" i="34" s="1"/>
  <c r="CK22" i="47" s="1"/>
  <c r="M25" i="32"/>
  <c r="AQ25" i="32" s="1"/>
  <c r="CI22" i="47" s="1"/>
  <c r="M25" i="36"/>
  <c r="AQ25" i="36" s="1"/>
  <c r="CM22" i="47" s="1"/>
  <c r="M25" i="35"/>
  <c r="AQ25" i="35" s="1"/>
  <c r="CL22" i="47" s="1"/>
  <c r="M25" i="38"/>
  <c r="AQ25" i="38" s="1"/>
  <c r="CO22" i="47" s="1"/>
  <c r="BA23" i="29"/>
  <c r="AZ23" i="29"/>
  <c r="AY23" i="29"/>
  <c r="AX23" i="29"/>
  <c r="AW23" i="29"/>
  <c r="AV23" i="29"/>
  <c r="AT29" i="29"/>
  <c r="AT25" i="29"/>
  <c r="BB23" i="29"/>
  <c r="AT27" i="29"/>
  <c r="BF43" i="29"/>
  <c r="BF45" i="29"/>
  <c r="AW41" i="29"/>
  <c r="BE41" i="29"/>
  <c r="BF41" i="29"/>
  <c r="AV41" i="29"/>
  <c r="BH39" i="29"/>
  <c r="BC41" i="29" l="1"/>
  <c r="BC45" i="29"/>
  <c r="BG72" i="29"/>
  <c r="BG76" i="29"/>
  <c r="F32" i="39"/>
  <c r="F38" i="40"/>
  <c r="F45" i="47" s="1"/>
  <c r="J32" i="39"/>
  <c r="J38" i="40"/>
  <c r="F51" i="47" s="1"/>
  <c r="I51" i="47" s="1"/>
  <c r="R9" i="19"/>
  <c r="F14" i="36" s="1"/>
  <c r="G8" i="39"/>
  <c r="G8" i="40"/>
  <c r="BB41" i="29"/>
  <c r="BB45" i="29"/>
  <c r="BG43" i="29"/>
  <c r="BG45" i="29"/>
  <c r="G62" i="47"/>
  <c r="AZ43" i="29"/>
  <c r="AZ45" i="29"/>
  <c r="BQ64" i="29"/>
  <c r="BP64" i="29"/>
  <c r="K61" i="47"/>
  <c r="L61" i="47"/>
  <c r="BA39" i="29"/>
  <c r="BA41" i="29"/>
  <c r="BY64" i="29"/>
  <c r="BX64" i="29"/>
  <c r="H62" i="47"/>
  <c r="BN66" i="29"/>
  <c r="BN64" i="29"/>
  <c r="H61" i="47"/>
  <c r="BJ69" i="29"/>
  <c r="BK69" i="29"/>
  <c r="BJ65" i="29"/>
  <c r="BJ77" i="29"/>
  <c r="BK77" i="29"/>
  <c r="BJ73" i="29"/>
  <c r="BK73" i="29"/>
  <c r="BK65" i="29"/>
  <c r="BO79" i="29"/>
  <c r="BO71" i="29"/>
  <c r="BO74" i="29"/>
  <c r="BO67" i="29"/>
  <c r="BO75" i="29"/>
  <c r="BO78" i="29"/>
  <c r="BO70" i="29"/>
  <c r="G61" i="47"/>
  <c r="AZ41" i="29"/>
  <c r="AZ39" i="29"/>
  <c r="BQ66" i="29"/>
  <c r="BP66" i="29"/>
  <c r="BA45" i="29"/>
  <c r="BA43" i="29"/>
  <c r="BO64" i="29"/>
  <c r="I61" i="47"/>
  <c r="R5" i="19"/>
  <c r="W5" i="19" s="1"/>
  <c r="BI77" i="29"/>
  <c r="BI73" i="29"/>
  <c r="BI69" i="29"/>
  <c r="BI65" i="29"/>
  <c r="S5" i="19"/>
  <c r="X5" i="19" s="1"/>
  <c r="F13" i="39"/>
  <c r="BS64" i="29"/>
  <c r="BR64" i="29"/>
  <c r="S10" i="19"/>
  <c r="X10" i="19" s="1"/>
  <c r="R10" i="19"/>
  <c r="W10" i="19" s="1"/>
  <c r="BW64" i="29"/>
  <c r="BB43" i="29"/>
  <c r="F44" i="37"/>
  <c r="F44" i="35"/>
  <c r="F44" i="38"/>
  <c r="F44" i="36"/>
  <c r="F44" i="31"/>
  <c r="F44" i="34"/>
  <c r="F44" i="33"/>
  <c r="F44" i="32"/>
  <c r="F44" i="30"/>
  <c r="K50" i="40"/>
  <c r="L50" i="40"/>
  <c r="G50" i="40"/>
  <c r="H50" i="40"/>
  <c r="M50" i="40"/>
  <c r="I50" i="40"/>
  <c r="J50" i="40"/>
  <c r="J44" i="39"/>
  <c r="K44" i="39"/>
  <c r="G44" i="39"/>
  <c r="L44" i="39"/>
  <c r="M44" i="39"/>
  <c r="H44" i="39"/>
  <c r="I44" i="39"/>
  <c r="AY25" i="29"/>
  <c r="AX25" i="29"/>
  <c r="AW25" i="29"/>
  <c r="AV25" i="29"/>
  <c r="AY29" i="29"/>
  <c r="AX29" i="29"/>
  <c r="AW29" i="29"/>
  <c r="AV29" i="29"/>
  <c r="BF27" i="29"/>
  <c r="H15" i="1" s="1"/>
  <c r="BB27" i="29"/>
  <c r="AY27" i="29"/>
  <c r="AX27" i="29"/>
  <c r="AW27" i="29"/>
  <c r="AV27" i="29"/>
  <c r="BE27" i="29"/>
  <c r="H13" i="1" s="1"/>
  <c r="BD27" i="29"/>
  <c r="BC27" i="29"/>
  <c r="BA29" i="29"/>
  <c r="BA25" i="29"/>
  <c r="BA27" i="29"/>
  <c r="BB25" i="29"/>
  <c r="J32" i="36"/>
  <c r="J32" i="32"/>
  <c r="J32" i="34"/>
  <c r="J32" i="38"/>
  <c r="J32" i="31"/>
  <c r="J32" i="30"/>
  <c r="J32" i="22"/>
  <c r="F38" i="47" s="1"/>
  <c r="J32" i="35"/>
  <c r="J32" i="33"/>
  <c r="J32" i="37"/>
  <c r="F32" i="36"/>
  <c r="F32" i="37"/>
  <c r="F32" i="34"/>
  <c r="F32" i="38"/>
  <c r="F32" i="33"/>
  <c r="F32" i="30"/>
  <c r="F32" i="22"/>
  <c r="F32" i="35"/>
  <c r="F32" i="32"/>
  <c r="F32" i="31"/>
  <c r="AZ25" i="29"/>
  <c r="AZ27" i="29"/>
  <c r="AZ29" i="29"/>
  <c r="BB29" i="29"/>
  <c r="G8" i="37"/>
  <c r="G8" i="30"/>
  <c r="G8" i="38"/>
  <c r="G8" i="33"/>
  <c r="G8" i="32"/>
  <c r="G34" i="32" s="1"/>
  <c r="G8" i="34"/>
  <c r="G34" i="34" s="1"/>
  <c r="G8" i="31"/>
  <c r="G8" i="36"/>
  <c r="G8" i="35"/>
  <c r="G8" i="22"/>
  <c r="F13" i="40"/>
  <c r="F13" i="33"/>
  <c r="F13" i="32"/>
  <c r="F13" i="22"/>
  <c r="F13" i="38"/>
  <c r="F13" i="31"/>
  <c r="F13" i="35"/>
  <c r="F13" i="36"/>
  <c r="F13" i="30"/>
  <c r="F13" i="34"/>
  <c r="F13" i="37"/>
  <c r="F39" i="39"/>
  <c r="F15" i="22"/>
  <c r="F15" i="38"/>
  <c r="F15" i="36"/>
  <c r="F15" i="35"/>
  <c r="F15" i="31"/>
  <c r="F15" i="30"/>
  <c r="F15" i="34"/>
  <c r="F15" i="33"/>
  <c r="BL43" i="29"/>
  <c r="BK43" i="29"/>
  <c r="BM43" i="29"/>
  <c r="BJ43" i="29"/>
  <c r="BI43" i="29"/>
  <c r="BI41" i="29"/>
  <c r="BI45" i="29"/>
  <c r="BH41" i="29"/>
  <c r="BH43" i="29"/>
  <c r="BH45" i="29"/>
  <c r="T2" i="22"/>
  <c r="L32" i="39" l="1"/>
  <c r="L38" i="40"/>
  <c r="F53" i="47" s="1"/>
  <c r="BG79" i="29"/>
  <c r="BG77" i="29"/>
  <c r="F14" i="40"/>
  <c r="I14" i="40" s="1"/>
  <c r="BG74" i="29"/>
  <c r="I38" i="40"/>
  <c r="F48" i="47" s="1"/>
  <c r="I48" i="47" s="1"/>
  <c r="I32" i="39"/>
  <c r="G32" i="39"/>
  <c r="G38" i="40"/>
  <c r="F46" i="47" s="1"/>
  <c r="I46" i="47" s="1"/>
  <c r="BG78" i="29"/>
  <c r="M38" i="40"/>
  <c r="F54" i="47" s="1"/>
  <c r="I54" i="47" s="1"/>
  <c r="M32" i="39"/>
  <c r="K32" i="39"/>
  <c r="K38" i="40"/>
  <c r="F52" i="47" s="1"/>
  <c r="I52" i="47" s="1"/>
  <c r="H38" i="40"/>
  <c r="F47" i="47" s="1"/>
  <c r="I47" i="47" s="1"/>
  <c r="H32" i="39"/>
  <c r="BG75" i="29"/>
  <c r="BG73" i="29"/>
  <c r="G14" i="36"/>
  <c r="M14" i="36"/>
  <c r="I14" i="36"/>
  <c r="J14" i="36"/>
  <c r="F40" i="36"/>
  <c r="I40" i="36" s="1"/>
  <c r="H14" i="36"/>
  <c r="K14" i="36"/>
  <c r="L14" i="36"/>
  <c r="BT64" i="29"/>
  <c r="BT67" i="29" s="1"/>
  <c r="F11" i="39"/>
  <c r="F11" i="40"/>
  <c r="F43" i="40" s="1"/>
  <c r="F14" i="35"/>
  <c r="W9" i="19"/>
  <c r="F14" i="33"/>
  <c r="F14" i="31"/>
  <c r="F14" i="34"/>
  <c r="F14" i="30"/>
  <c r="F14" i="22"/>
  <c r="F14" i="37"/>
  <c r="F14" i="38"/>
  <c r="F14" i="39"/>
  <c r="K14" i="40"/>
  <c r="F46" i="40"/>
  <c r="L46" i="40" s="1"/>
  <c r="H11" i="40"/>
  <c r="H11" i="39"/>
  <c r="F14" i="32"/>
  <c r="F15" i="32"/>
  <c r="K15" i="32" s="1"/>
  <c r="F15" i="37"/>
  <c r="BU64" i="29"/>
  <c r="BU74" i="29" s="1"/>
  <c r="BM64" i="29"/>
  <c r="BM77" i="29" s="1"/>
  <c r="H39" i="39"/>
  <c r="L39" i="39"/>
  <c r="I39" i="39"/>
  <c r="M39" i="39"/>
  <c r="J39" i="39"/>
  <c r="G39" i="39"/>
  <c r="K39" i="39"/>
  <c r="BM68" i="29"/>
  <c r="I45" i="47"/>
  <c r="BN69" i="29"/>
  <c r="BN76" i="29"/>
  <c r="BN73" i="29"/>
  <c r="BN72" i="29"/>
  <c r="BN68" i="29"/>
  <c r="BN65" i="29"/>
  <c r="BN77" i="29"/>
  <c r="BP69" i="29"/>
  <c r="BP73" i="29"/>
  <c r="BP76" i="29"/>
  <c r="BP65" i="29"/>
  <c r="BP77" i="29"/>
  <c r="BP68" i="29"/>
  <c r="BP72" i="29"/>
  <c r="I62" i="47"/>
  <c r="J62" i="47" s="1"/>
  <c r="I63" i="47"/>
  <c r="BP70" i="29"/>
  <c r="BP71" i="29"/>
  <c r="BP67" i="29"/>
  <c r="BP75" i="29"/>
  <c r="BP78" i="29"/>
  <c r="BP79" i="29"/>
  <c r="BP74" i="29"/>
  <c r="J61" i="47"/>
  <c r="G63" i="47"/>
  <c r="BQ69" i="29"/>
  <c r="BQ72" i="29"/>
  <c r="BQ65" i="29"/>
  <c r="BQ73" i="29"/>
  <c r="BQ76" i="29"/>
  <c r="BQ68" i="29"/>
  <c r="BQ77" i="29"/>
  <c r="G64" i="47"/>
  <c r="BO76" i="29"/>
  <c r="BO77" i="29"/>
  <c r="BO73" i="29"/>
  <c r="BO65" i="29"/>
  <c r="BO68" i="29"/>
  <c r="BO72" i="29"/>
  <c r="BO69" i="29"/>
  <c r="BQ70" i="29"/>
  <c r="BQ67" i="29"/>
  <c r="BQ74" i="29"/>
  <c r="BQ79" i="29"/>
  <c r="BQ78" i="29"/>
  <c r="BQ75" i="29"/>
  <c r="BQ71" i="29"/>
  <c r="F11" i="22"/>
  <c r="F37" i="22" s="1"/>
  <c r="F11" i="38"/>
  <c r="F37" i="38" s="1"/>
  <c r="F11" i="30"/>
  <c r="F37" i="30" s="1"/>
  <c r="F11" i="31"/>
  <c r="F37" i="31" s="1"/>
  <c r="F11" i="32"/>
  <c r="F37" i="32" s="1"/>
  <c r="F11" i="35"/>
  <c r="F37" i="35" s="1"/>
  <c r="F11" i="37"/>
  <c r="F37" i="37" s="1"/>
  <c r="F11" i="33"/>
  <c r="F37" i="33" s="1"/>
  <c r="F11" i="34"/>
  <c r="F37" i="34" s="1"/>
  <c r="F11" i="36"/>
  <c r="F37" i="36" s="1"/>
  <c r="H43" i="40"/>
  <c r="H37" i="39"/>
  <c r="BN74" i="29"/>
  <c r="BN67" i="29"/>
  <c r="BN75" i="29"/>
  <c r="BN70" i="29"/>
  <c r="BN71" i="29"/>
  <c r="BN78" i="29"/>
  <c r="BN79" i="29"/>
  <c r="BL79" i="47"/>
  <c r="BL66" i="47"/>
  <c r="BL67" i="47"/>
  <c r="BL100" i="47"/>
  <c r="BL93" i="47"/>
  <c r="BL105" i="47"/>
  <c r="BL74" i="47"/>
  <c r="BL92" i="47"/>
  <c r="F37" i="39"/>
  <c r="L63" i="47"/>
  <c r="L62" i="47"/>
  <c r="BM66" i="29"/>
  <c r="I53" i="47"/>
  <c r="H63" i="47"/>
  <c r="H64" i="47"/>
  <c r="K62" i="47"/>
  <c r="K63" i="47"/>
  <c r="H11" i="34"/>
  <c r="H37" i="34" s="1"/>
  <c r="H11" i="35"/>
  <c r="H37" i="35" s="1"/>
  <c r="H11" i="30"/>
  <c r="H37" i="30" s="1"/>
  <c r="H11" i="31"/>
  <c r="H37" i="31" s="1"/>
  <c r="H11" i="22"/>
  <c r="H37" i="22" s="1"/>
  <c r="I37" i="22" s="1"/>
  <c r="H11" i="36"/>
  <c r="H37" i="36" s="1"/>
  <c r="H11" i="33"/>
  <c r="H37" i="33" s="1"/>
  <c r="H11" i="38"/>
  <c r="H37" i="38" s="1"/>
  <c r="H11" i="32"/>
  <c r="H37" i="32" s="1"/>
  <c r="H11" i="37"/>
  <c r="H37" i="37" s="1"/>
  <c r="AQ50" i="40"/>
  <c r="CQ65" i="47" s="1"/>
  <c r="AQ44" i="39"/>
  <c r="CP65" i="47" s="1"/>
  <c r="F41" i="30"/>
  <c r="F41" i="36"/>
  <c r="F39" i="30"/>
  <c r="F39" i="38"/>
  <c r="F45" i="40"/>
  <c r="G34" i="31"/>
  <c r="G34" i="38"/>
  <c r="F32" i="47"/>
  <c r="BW66" i="29"/>
  <c r="BW67" i="29"/>
  <c r="BW68" i="29"/>
  <c r="BW69" i="29"/>
  <c r="BW70" i="29"/>
  <c r="BW71" i="29"/>
  <c r="BW72" i="29"/>
  <c r="BW73" i="29"/>
  <c r="BW74" i="29"/>
  <c r="BW75" i="29"/>
  <c r="BW76" i="29"/>
  <c r="BW77" i="29"/>
  <c r="BW78" i="29"/>
  <c r="BW79" i="29"/>
  <c r="BW65" i="29"/>
  <c r="BY65" i="29"/>
  <c r="BY66" i="29"/>
  <c r="BY70" i="29"/>
  <c r="BY74" i="29"/>
  <c r="BY78" i="29"/>
  <c r="BY67" i="29"/>
  <c r="BY71" i="29"/>
  <c r="BY75" i="29"/>
  <c r="BY79" i="29"/>
  <c r="BY68" i="29"/>
  <c r="BY72" i="29"/>
  <c r="BY76" i="29"/>
  <c r="BY69" i="29"/>
  <c r="BY73" i="29"/>
  <c r="BY77" i="29"/>
  <c r="BS66" i="29"/>
  <c r="BS70" i="29"/>
  <c r="BS74" i="29"/>
  <c r="BS78" i="29"/>
  <c r="BS67" i="29"/>
  <c r="BS71" i="29"/>
  <c r="BS75" i="29"/>
  <c r="BS79" i="29"/>
  <c r="BS73" i="29"/>
  <c r="BS68" i="29"/>
  <c r="BS76" i="29"/>
  <c r="BS69" i="29"/>
  <c r="BS77" i="29"/>
  <c r="BS72" i="29"/>
  <c r="BS65" i="29"/>
  <c r="F41" i="31"/>
  <c r="F41" i="33"/>
  <c r="F41" i="38"/>
  <c r="F39" i="36"/>
  <c r="F39" i="22"/>
  <c r="M39" i="22" s="1"/>
  <c r="G34" i="30"/>
  <c r="F41" i="34"/>
  <c r="F41" i="35"/>
  <c r="F39" i="37"/>
  <c r="F39" i="35"/>
  <c r="F39" i="32"/>
  <c r="G34" i="35"/>
  <c r="G34" i="37"/>
  <c r="BA76" i="29"/>
  <c r="BB76" i="29" s="1"/>
  <c r="I38" i="47"/>
  <c r="BU71" i="29"/>
  <c r="F41" i="32"/>
  <c r="F41" i="37"/>
  <c r="F39" i="34"/>
  <c r="F39" i="31"/>
  <c r="F39" i="33"/>
  <c r="G34" i="36"/>
  <c r="G34" i="33"/>
  <c r="BX65" i="29"/>
  <c r="BX66" i="29"/>
  <c r="BX67" i="29"/>
  <c r="BX68" i="29"/>
  <c r="BX69" i="29"/>
  <c r="BX70" i="29"/>
  <c r="BX71" i="29"/>
  <c r="BX72" i="29"/>
  <c r="BX73" i="29"/>
  <c r="BX74" i="29"/>
  <c r="BX75" i="29"/>
  <c r="BX76" i="29"/>
  <c r="BX77" i="29"/>
  <c r="BX78" i="29"/>
  <c r="BX79" i="29"/>
  <c r="BR66" i="29"/>
  <c r="BR70" i="29"/>
  <c r="BR74" i="29"/>
  <c r="BR78" i="29"/>
  <c r="BR67" i="29"/>
  <c r="BR71" i="29"/>
  <c r="BR75" i="29"/>
  <c r="BR79" i="29"/>
  <c r="BR73" i="29"/>
  <c r="BR68" i="29"/>
  <c r="BR76" i="29"/>
  <c r="BR69" i="29"/>
  <c r="BR77" i="29"/>
  <c r="BR72" i="29"/>
  <c r="BR65" i="29"/>
  <c r="T2" i="36"/>
  <c r="T2" i="31"/>
  <c r="T2" i="37"/>
  <c r="T2" i="38"/>
  <c r="T2" i="35"/>
  <c r="T2" i="34"/>
  <c r="T2" i="33"/>
  <c r="T2" i="32"/>
  <c r="T2" i="30"/>
  <c r="L44" i="22"/>
  <c r="M44" i="22"/>
  <c r="I44" i="22"/>
  <c r="G44" i="22"/>
  <c r="J44" i="22"/>
  <c r="K44" i="22"/>
  <c r="H44" i="22"/>
  <c r="I44" i="34"/>
  <c r="K44" i="34"/>
  <c r="L44" i="34"/>
  <c r="J44" i="34"/>
  <c r="H44" i="34"/>
  <c r="M44" i="34"/>
  <c r="G44" i="34"/>
  <c r="H44" i="35"/>
  <c r="J44" i="35"/>
  <c r="I44" i="35"/>
  <c r="K44" i="35"/>
  <c r="M44" i="35"/>
  <c r="L44" i="35"/>
  <c r="G44" i="35"/>
  <c r="J44" i="30"/>
  <c r="K44" i="30"/>
  <c r="G44" i="30"/>
  <c r="I44" i="30"/>
  <c r="L44" i="30"/>
  <c r="H44" i="30"/>
  <c r="M44" i="30"/>
  <c r="H44" i="31"/>
  <c r="G44" i="31"/>
  <c r="J44" i="31"/>
  <c r="M44" i="31"/>
  <c r="L44" i="31"/>
  <c r="I44" i="31"/>
  <c r="K44" i="31"/>
  <c r="L44" i="37"/>
  <c r="K44" i="37"/>
  <c r="G44" i="37"/>
  <c r="I44" i="37"/>
  <c r="M44" i="37"/>
  <c r="H44" i="37"/>
  <c r="J44" i="37"/>
  <c r="L44" i="32"/>
  <c r="K44" i="32"/>
  <c r="H44" i="32"/>
  <c r="I44" i="32"/>
  <c r="M44" i="32"/>
  <c r="G44" i="32"/>
  <c r="J44" i="32"/>
  <c r="G44" i="36"/>
  <c r="M44" i="36"/>
  <c r="L44" i="36"/>
  <c r="J44" i="36"/>
  <c r="H44" i="36"/>
  <c r="I44" i="36"/>
  <c r="K44" i="36"/>
  <c r="F15" i="40"/>
  <c r="F15" i="39"/>
  <c r="K15" i="39" s="1"/>
  <c r="K44" i="33"/>
  <c r="G44" i="33"/>
  <c r="L44" i="33"/>
  <c r="H44" i="33"/>
  <c r="J44" i="33"/>
  <c r="M44" i="33"/>
  <c r="I44" i="33"/>
  <c r="I44" i="38"/>
  <c r="M44" i="38"/>
  <c r="G44" i="38"/>
  <c r="J44" i="38"/>
  <c r="L44" i="38"/>
  <c r="H44" i="38"/>
  <c r="K44" i="38"/>
  <c r="K8" i="22"/>
  <c r="K34" i="22" s="1"/>
  <c r="G34" i="22"/>
  <c r="L15" i="22"/>
  <c r="F41" i="22"/>
  <c r="H15" i="22"/>
  <c r="I15" i="22"/>
  <c r="K15" i="22"/>
  <c r="G32" i="35"/>
  <c r="G32" i="36"/>
  <c r="G32" i="32"/>
  <c r="G32" i="34"/>
  <c r="G32" i="31"/>
  <c r="G32" i="22"/>
  <c r="F33" i="47" s="1"/>
  <c r="G32" i="37"/>
  <c r="G32" i="30"/>
  <c r="G32" i="38"/>
  <c r="G32" i="33"/>
  <c r="M32" i="22"/>
  <c r="F41" i="47" s="1"/>
  <c r="M32" i="36"/>
  <c r="M32" i="33"/>
  <c r="M32" i="38"/>
  <c r="M32" i="32"/>
  <c r="M32" i="37"/>
  <c r="M32" i="35"/>
  <c r="M32" i="31"/>
  <c r="M32" i="34"/>
  <c r="M32" i="30"/>
  <c r="K32" i="34"/>
  <c r="K32" i="31"/>
  <c r="K32" i="22"/>
  <c r="F39" i="47" s="1"/>
  <c r="K32" i="37"/>
  <c r="K32" i="30"/>
  <c r="K32" i="38"/>
  <c r="K32" i="33"/>
  <c r="K32" i="35"/>
  <c r="K32" i="36"/>
  <c r="K32" i="32"/>
  <c r="H32" i="34"/>
  <c r="H32" i="31"/>
  <c r="H32" i="37"/>
  <c r="H32" i="30"/>
  <c r="H32" i="38"/>
  <c r="H32" i="33"/>
  <c r="H32" i="35"/>
  <c r="H32" i="22"/>
  <c r="F34" i="47" s="1"/>
  <c r="H32" i="36"/>
  <c r="H32" i="32"/>
  <c r="I32" i="34"/>
  <c r="I32" i="30"/>
  <c r="I32" i="22"/>
  <c r="F35" i="47" s="1"/>
  <c r="I32" i="36"/>
  <c r="I32" i="33"/>
  <c r="I32" i="38"/>
  <c r="I32" i="32"/>
  <c r="I32" i="37"/>
  <c r="I32" i="35"/>
  <c r="I32" i="31"/>
  <c r="L32" i="38"/>
  <c r="L32" i="31"/>
  <c r="L32" i="22"/>
  <c r="F40" i="47" s="1"/>
  <c r="L32" i="36"/>
  <c r="L32" i="35"/>
  <c r="L32" i="34"/>
  <c r="L32" i="33"/>
  <c r="L32" i="37"/>
  <c r="L32" i="30"/>
  <c r="L32" i="32"/>
  <c r="H13" i="34"/>
  <c r="I13" i="34"/>
  <c r="M13" i="34"/>
  <c r="K13" i="34"/>
  <c r="L13" i="34"/>
  <c r="G13" i="34"/>
  <c r="J13" i="34"/>
  <c r="I13" i="31"/>
  <c r="K13" i="31"/>
  <c r="M13" i="31"/>
  <c r="G13" i="31"/>
  <c r="L13" i="31"/>
  <c r="J13" i="31"/>
  <c r="H13" i="31"/>
  <c r="M13" i="33"/>
  <c r="L13" i="33"/>
  <c r="J13" i="33"/>
  <c r="I13" i="33"/>
  <c r="K13" i="33"/>
  <c r="H13" i="33"/>
  <c r="G13" i="33"/>
  <c r="K8" i="36"/>
  <c r="K8" i="32"/>
  <c r="K34" i="32" s="1"/>
  <c r="K8" i="37"/>
  <c r="K13" i="30"/>
  <c r="I13" i="30"/>
  <c r="M13" i="30"/>
  <c r="J13" i="30"/>
  <c r="G13" i="30"/>
  <c r="H13" i="30"/>
  <c r="L13" i="30"/>
  <c r="L13" i="38"/>
  <c r="I13" i="38"/>
  <c r="J13" i="38"/>
  <c r="K13" i="38"/>
  <c r="G13" i="38"/>
  <c r="M13" i="38"/>
  <c r="H13" i="38"/>
  <c r="I13" i="40"/>
  <c r="J13" i="40"/>
  <c r="K13" i="40"/>
  <c r="M13" i="40"/>
  <c r="L13" i="40"/>
  <c r="G13" i="40"/>
  <c r="H13" i="40"/>
  <c r="K8" i="33"/>
  <c r="K34" i="33" s="1"/>
  <c r="I13" i="39"/>
  <c r="G13" i="39"/>
  <c r="H13" i="39"/>
  <c r="K13" i="39"/>
  <c r="J13" i="39"/>
  <c r="M13" i="39"/>
  <c r="L13" i="39"/>
  <c r="I13" i="36"/>
  <c r="H13" i="36"/>
  <c r="K13" i="36"/>
  <c r="J13" i="36"/>
  <c r="M13" i="36"/>
  <c r="L13" i="36"/>
  <c r="G13" i="36"/>
  <c r="H13" i="22"/>
  <c r="L13" i="22"/>
  <c r="M13" i="22"/>
  <c r="K13" i="22"/>
  <c r="G13" i="22"/>
  <c r="I13" i="22"/>
  <c r="J13" i="22"/>
  <c r="K8" i="31"/>
  <c r="K34" i="31" s="1"/>
  <c r="K8" i="38"/>
  <c r="G13" i="37"/>
  <c r="I13" i="37"/>
  <c r="H13" i="37"/>
  <c r="M13" i="37"/>
  <c r="L13" i="37"/>
  <c r="K13" i="37"/>
  <c r="J13" i="37"/>
  <c r="M13" i="35"/>
  <c r="I13" i="35"/>
  <c r="K13" i="35"/>
  <c r="L13" i="35"/>
  <c r="G13" i="35"/>
  <c r="H13" i="35"/>
  <c r="J13" i="35"/>
  <c r="G13" i="32"/>
  <c r="H13" i="32"/>
  <c r="I13" i="32"/>
  <c r="J13" i="32"/>
  <c r="L13" i="32"/>
  <c r="M13" i="32"/>
  <c r="K13" i="32"/>
  <c r="K8" i="35"/>
  <c r="K8" i="34"/>
  <c r="K34" i="34" s="1"/>
  <c r="K8" i="30"/>
  <c r="K34" i="30" s="1"/>
  <c r="G15" i="22"/>
  <c r="J15" i="22"/>
  <c r="M15" i="22"/>
  <c r="L15" i="33"/>
  <c r="H15" i="33"/>
  <c r="K15" i="33"/>
  <c r="M15" i="33"/>
  <c r="J15" i="33"/>
  <c r="G15" i="33"/>
  <c r="I15" i="33"/>
  <c r="H15" i="31"/>
  <c r="L15" i="31"/>
  <c r="J15" i="31"/>
  <c r="M15" i="31"/>
  <c r="K15" i="31"/>
  <c r="I15" i="31"/>
  <c r="G15" i="31"/>
  <c r="M15" i="36"/>
  <c r="K15" i="36"/>
  <c r="L15" i="36"/>
  <c r="I15" i="36"/>
  <c r="H15" i="36"/>
  <c r="J15" i="36"/>
  <c r="G15" i="36"/>
  <c r="G15" i="34"/>
  <c r="K15" i="34"/>
  <c r="H15" i="34"/>
  <c r="M15" i="34"/>
  <c r="L15" i="34"/>
  <c r="I15" i="34"/>
  <c r="J15" i="34"/>
  <c r="K15" i="35"/>
  <c r="I15" i="35"/>
  <c r="M15" i="35"/>
  <c r="H15" i="35"/>
  <c r="L15" i="35"/>
  <c r="G15" i="35"/>
  <c r="J15" i="35"/>
  <c r="G15" i="38"/>
  <c r="M15" i="38"/>
  <c r="K15" i="38"/>
  <c r="I15" i="38"/>
  <c r="H15" i="38"/>
  <c r="J15" i="38"/>
  <c r="L15" i="38"/>
  <c r="L15" i="32"/>
  <c r="I15" i="32"/>
  <c r="M15" i="32"/>
  <c r="G15" i="32"/>
  <c r="K15" i="37"/>
  <c r="G15" i="37"/>
  <c r="M15" i="37"/>
  <c r="I15" i="37"/>
  <c r="H15" i="37"/>
  <c r="L15" i="37"/>
  <c r="J15" i="37"/>
  <c r="K15" i="30"/>
  <c r="H15" i="30"/>
  <c r="G15" i="30"/>
  <c r="L15" i="30"/>
  <c r="I15" i="30"/>
  <c r="M15" i="30"/>
  <c r="J15" i="30"/>
  <c r="AA4" i="1"/>
  <c r="H46" i="40" l="1"/>
  <c r="BU66" i="29"/>
  <c r="BT78" i="29"/>
  <c r="BU65" i="29"/>
  <c r="BT77" i="29"/>
  <c r="BU72" i="29"/>
  <c r="AQ32" i="39"/>
  <c r="CP32" i="47" s="1"/>
  <c r="L14" i="40"/>
  <c r="BU67" i="29"/>
  <c r="BT66" i="29"/>
  <c r="BT73" i="29"/>
  <c r="BT74" i="29"/>
  <c r="BT72" i="29"/>
  <c r="BT65" i="29"/>
  <c r="BT68" i="29"/>
  <c r="BM65" i="29"/>
  <c r="K40" i="36"/>
  <c r="M46" i="40"/>
  <c r="BT79" i="29"/>
  <c r="BT69" i="29"/>
  <c r="BT71" i="29"/>
  <c r="BU73" i="29"/>
  <c r="BU68" i="29"/>
  <c r="BU78" i="29"/>
  <c r="H14" i="40"/>
  <c r="BT75" i="29"/>
  <c r="BT70" i="29"/>
  <c r="BT76" i="29"/>
  <c r="BU69" i="29"/>
  <c r="BU79" i="29"/>
  <c r="BU70" i="29"/>
  <c r="J15" i="32"/>
  <c r="H15" i="32"/>
  <c r="AQ38" i="40"/>
  <c r="CQ32" i="47" s="1"/>
  <c r="BM72" i="29"/>
  <c r="BM76" i="29"/>
  <c r="I46" i="40"/>
  <c r="H40" i="36"/>
  <c r="J40" i="36"/>
  <c r="AQ14" i="36"/>
  <c r="CM15" i="47" s="1"/>
  <c r="BM69" i="29"/>
  <c r="K46" i="40"/>
  <c r="G46" i="40"/>
  <c r="G40" i="36"/>
  <c r="M40" i="36"/>
  <c r="BM73" i="29"/>
  <c r="J46" i="40"/>
  <c r="L40" i="36"/>
  <c r="M14" i="40"/>
  <c r="J14" i="40"/>
  <c r="G14" i="40"/>
  <c r="K14" i="32"/>
  <c r="F40" i="32"/>
  <c r="H14" i="32"/>
  <c r="J14" i="32"/>
  <c r="I14" i="32"/>
  <c r="M14" i="32"/>
  <c r="L14" i="32"/>
  <c r="G14" i="32"/>
  <c r="I14" i="37"/>
  <c r="G14" i="37"/>
  <c r="K14" i="37"/>
  <c r="H14" i="37"/>
  <c r="M14" i="37"/>
  <c r="F40" i="37"/>
  <c r="J14" i="37"/>
  <c r="L14" i="37"/>
  <c r="F40" i="31"/>
  <c r="M14" i="31"/>
  <c r="I14" i="31"/>
  <c r="G14" i="31"/>
  <c r="H14" i="31"/>
  <c r="L14" i="31"/>
  <c r="K14" i="31"/>
  <c r="J14" i="31"/>
  <c r="BU77" i="29"/>
  <c r="BU76" i="29"/>
  <c r="BU75" i="29"/>
  <c r="L14" i="22"/>
  <c r="H14" i="22"/>
  <c r="F40" i="22"/>
  <c r="G14" i="22"/>
  <c r="J14" i="22"/>
  <c r="M14" i="22"/>
  <c r="K14" i="22"/>
  <c r="I14" i="22"/>
  <c r="F40" i="33"/>
  <c r="J14" i="33"/>
  <c r="H14" i="33"/>
  <c r="G14" i="33"/>
  <c r="K14" i="33"/>
  <c r="M14" i="33"/>
  <c r="L14" i="33"/>
  <c r="I14" i="33"/>
  <c r="G14" i="39"/>
  <c r="K14" i="39"/>
  <c r="I14" i="39"/>
  <c r="M14" i="39"/>
  <c r="H14" i="39"/>
  <c r="L14" i="39"/>
  <c r="F40" i="39"/>
  <c r="J14" i="39"/>
  <c r="M14" i="30"/>
  <c r="J14" i="30"/>
  <c r="L14" i="30"/>
  <c r="F40" i="30"/>
  <c r="K14" i="30"/>
  <c r="I14" i="30"/>
  <c r="G14" i="30"/>
  <c r="H14" i="30"/>
  <c r="I14" i="38"/>
  <c r="J14" i="38"/>
  <c r="H14" i="38"/>
  <c r="F40" i="38"/>
  <c r="M14" i="38"/>
  <c r="G14" i="38"/>
  <c r="K14" i="38"/>
  <c r="L14" i="38"/>
  <c r="F40" i="34"/>
  <c r="H14" i="34"/>
  <c r="M14" i="34"/>
  <c r="L14" i="34"/>
  <c r="K14" i="34"/>
  <c r="J14" i="34"/>
  <c r="I14" i="34"/>
  <c r="G14" i="34"/>
  <c r="I14" i="35"/>
  <c r="M14" i="35"/>
  <c r="L14" i="35"/>
  <c r="G14" i="35"/>
  <c r="K14" i="35"/>
  <c r="F40" i="35"/>
  <c r="J14" i="35"/>
  <c r="H14" i="35"/>
  <c r="AO54" i="47"/>
  <c r="AG82" i="47"/>
  <c r="AD82" i="47"/>
  <c r="AN54" i="47"/>
  <c r="M37" i="39"/>
  <c r="L37" i="39"/>
  <c r="I37" i="39"/>
  <c r="K37" i="33"/>
  <c r="J37" i="33"/>
  <c r="G37" i="33"/>
  <c r="G37" i="31"/>
  <c r="K37" i="31"/>
  <c r="J37" i="31"/>
  <c r="I37" i="30"/>
  <c r="M37" i="30"/>
  <c r="L37" i="30"/>
  <c r="K37" i="34"/>
  <c r="G37" i="34"/>
  <c r="J37" i="34"/>
  <c r="J37" i="22"/>
  <c r="G37" i="22"/>
  <c r="K37" i="22"/>
  <c r="L37" i="37"/>
  <c r="I37" i="37"/>
  <c r="M37" i="37"/>
  <c r="L37" i="36"/>
  <c r="M37" i="36"/>
  <c r="I37" i="36"/>
  <c r="L37" i="35"/>
  <c r="M37" i="35"/>
  <c r="I37" i="35"/>
  <c r="K43" i="40"/>
  <c r="G43" i="40"/>
  <c r="J43" i="40"/>
  <c r="M43" i="40"/>
  <c r="L43" i="40"/>
  <c r="I43" i="40"/>
  <c r="G37" i="37"/>
  <c r="J37" i="37"/>
  <c r="K37" i="37"/>
  <c r="J37" i="30"/>
  <c r="K37" i="30"/>
  <c r="G37" i="30"/>
  <c r="M37" i="33"/>
  <c r="I37" i="33"/>
  <c r="L37" i="33" s="1"/>
  <c r="K37" i="32"/>
  <c r="J37" i="32"/>
  <c r="G37" i="32"/>
  <c r="M37" i="32"/>
  <c r="I37" i="32"/>
  <c r="L37" i="32"/>
  <c r="M37" i="34"/>
  <c r="I37" i="34"/>
  <c r="L37" i="34"/>
  <c r="M37" i="38"/>
  <c r="I37" i="38"/>
  <c r="L37" i="38"/>
  <c r="M37" i="31"/>
  <c r="I37" i="31"/>
  <c r="L37" i="31"/>
  <c r="K37" i="39"/>
  <c r="G37" i="39"/>
  <c r="J37" i="39"/>
  <c r="G37" i="36"/>
  <c r="K37" i="36"/>
  <c r="J37" i="36"/>
  <c r="G37" i="35"/>
  <c r="J37" i="35"/>
  <c r="K37" i="35"/>
  <c r="G37" i="38"/>
  <c r="K37" i="38"/>
  <c r="J37" i="38"/>
  <c r="I39" i="22"/>
  <c r="K39" i="22"/>
  <c r="G39" i="22"/>
  <c r="J39" i="22"/>
  <c r="H6" i="47"/>
  <c r="H11" i="47"/>
  <c r="H10" i="47"/>
  <c r="H12" i="47"/>
  <c r="H5" i="47"/>
  <c r="H13" i="47"/>
  <c r="H4" i="47"/>
  <c r="H7" i="47"/>
  <c r="AM54" i="47"/>
  <c r="J41" i="37"/>
  <c r="G41" i="37"/>
  <c r="K41" i="37"/>
  <c r="H41" i="37"/>
  <c r="L41" i="37"/>
  <c r="I41" i="37"/>
  <c r="M41" i="37"/>
  <c r="J39" i="37"/>
  <c r="K39" i="37"/>
  <c r="H39" i="37"/>
  <c r="L39" i="37"/>
  <c r="G39" i="37"/>
  <c r="I39" i="37"/>
  <c r="M39" i="37"/>
  <c r="J45" i="40"/>
  <c r="K45" i="40"/>
  <c r="G45" i="40"/>
  <c r="H45" i="40"/>
  <c r="L45" i="40"/>
  <c r="I45" i="40"/>
  <c r="M45" i="40"/>
  <c r="M41" i="30"/>
  <c r="I41" i="30"/>
  <c r="L41" i="30"/>
  <c r="H41" i="30"/>
  <c r="J41" i="30"/>
  <c r="K41" i="30"/>
  <c r="G41" i="30"/>
  <c r="H39" i="22"/>
  <c r="H39" i="33"/>
  <c r="L39" i="33"/>
  <c r="G39" i="33"/>
  <c r="I39" i="33"/>
  <c r="M39" i="33"/>
  <c r="J39" i="33"/>
  <c r="K39" i="33"/>
  <c r="H41" i="32"/>
  <c r="L41" i="32"/>
  <c r="I41" i="32"/>
  <c r="M41" i="32"/>
  <c r="G41" i="32"/>
  <c r="J41" i="32"/>
  <c r="K41" i="32"/>
  <c r="H41" i="35"/>
  <c r="L41" i="35"/>
  <c r="I41" i="35"/>
  <c r="M41" i="35"/>
  <c r="G41" i="35"/>
  <c r="J41" i="35"/>
  <c r="K41" i="35"/>
  <c r="K39" i="36"/>
  <c r="H39" i="36"/>
  <c r="L39" i="36"/>
  <c r="I39" i="36"/>
  <c r="M39" i="36"/>
  <c r="G39" i="36"/>
  <c r="J39" i="36"/>
  <c r="J39" i="38"/>
  <c r="G39" i="38"/>
  <c r="K39" i="38"/>
  <c r="H39" i="38"/>
  <c r="L39" i="38"/>
  <c r="I39" i="38"/>
  <c r="M39" i="38"/>
  <c r="H39" i="31"/>
  <c r="L39" i="31"/>
  <c r="I39" i="31"/>
  <c r="M39" i="31"/>
  <c r="J39" i="31"/>
  <c r="G39" i="31"/>
  <c r="K39" i="31"/>
  <c r="K39" i="32"/>
  <c r="I39" i="32"/>
  <c r="H39" i="32"/>
  <c r="L39" i="32"/>
  <c r="M39" i="32"/>
  <c r="G39" i="32"/>
  <c r="J39" i="32"/>
  <c r="I41" i="34"/>
  <c r="M41" i="34"/>
  <c r="J41" i="34"/>
  <c r="K41" i="34"/>
  <c r="G41" i="34"/>
  <c r="H41" i="34"/>
  <c r="L41" i="34"/>
  <c r="J41" i="38"/>
  <c r="K41" i="38"/>
  <c r="H41" i="38"/>
  <c r="L41" i="38"/>
  <c r="G41" i="38"/>
  <c r="M41" i="38"/>
  <c r="I41" i="38"/>
  <c r="H41" i="31"/>
  <c r="L41" i="31"/>
  <c r="G41" i="31"/>
  <c r="I41" i="31"/>
  <c r="M41" i="31"/>
  <c r="K41" i="31"/>
  <c r="J41" i="31"/>
  <c r="K39" i="30"/>
  <c r="G39" i="30"/>
  <c r="J39" i="30"/>
  <c r="I39" i="30"/>
  <c r="H39" i="30"/>
  <c r="M39" i="30"/>
  <c r="L39" i="30"/>
  <c r="I39" i="34"/>
  <c r="M39" i="34"/>
  <c r="J39" i="34"/>
  <c r="K39" i="34"/>
  <c r="L39" i="34"/>
  <c r="G39" i="34"/>
  <c r="H39" i="34"/>
  <c r="H39" i="35"/>
  <c r="L39" i="35"/>
  <c r="I39" i="35"/>
  <c r="M39" i="35"/>
  <c r="J39" i="35"/>
  <c r="G39" i="35"/>
  <c r="K39" i="35"/>
  <c r="H41" i="33"/>
  <c r="L41" i="33"/>
  <c r="I41" i="33"/>
  <c r="M41" i="33"/>
  <c r="J41" i="33"/>
  <c r="G41" i="33"/>
  <c r="K41" i="33"/>
  <c r="K41" i="36"/>
  <c r="G41" i="36"/>
  <c r="H41" i="36"/>
  <c r="L41" i="36"/>
  <c r="I41" i="36"/>
  <c r="M41" i="36"/>
  <c r="J41" i="36"/>
  <c r="AO27" i="47"/>
  <c r="AN27" i="47"/>
  <c r="AQ32" i="37"/>
  <c r="CN32" i="47" s="1"/>
  <c r="I11" i="38"/>
  <c r="M11" i="38"/>
  <c r="L11" i="38"/>
  <c r="I11" i="31"/>
  <c r="M11" i="31"/>
  <c r="L11" i="31"/>
  <c r="K11" i="36"/>
  <c r="J11" i="36"/>
  <c r="G11" i="36"/>
  <c r="J11" i="35"/>
  <c r="G11" i="35"/>
  <c r="K11" i="35"/>
  <c r="J11" i="38"/>
  <c r="K11" i="38"/>
  <c r="G11" i="38"/>
  <c r="AN82" i="47"/>
  <c r="M11" i="33"/>
  <c r="L11" i="33"/>
  <c r="I11" i="33"/>
  <c r="M11" i="30"/>
  <c r="L11" i="30"/>
  <c r="I11" i="30"/>
  <c r="BM78" i="29"/>
  <c r="BM67" i="29"/>
  <c r="BM75" i="29"/>
  <c r="BM70" i="29"/>
  <c r="BM71" i="29"/>
  <c r="BM74" i="29"/>
  <c r="BM79" i="29"/>
  <c r="L64" i="47"/>
  <c r="G11" i="40"/>
  <c r="J11" i="40"/>
  <c r="K11" i="40"/>
  <c r="J11" i="34"/>
  <c r="G11" i="34"/>
  <c r="K11" i="34"/>
  <c r="J11" i="32"/>
  <c r="G11" i="32"/>
  <c r="K11" i="32"/>
  <c r="J11" i="22"/>
  <c r="K11" i="22"/>
  <c r="G11" i="22"/>
  <c r="AO82" i="47"/>
  <c r="AO108" i="47"/>
  <c r="L11" i="37"/>
  <c r="I11" i="37"/>
  <c r="M11" i="37"/>
  <c r="L11" i="36"/>
  <c r="M11" i="36"/>
  <c r="I11" i="36"/>
  <c r="M11" i="35"/>
  <c r="I11" i="35"/>
  <c r="L11" i="35"/>
  <c r="K64" i="47"/>
  <c r="J11" i="39"/>
  <c r="G11" i="39"/>
  <c r="K11" i="39"/>
  <c r="I11" i="39"/>
  <c r="M11" i="39"/>
  <c r="L11" i="39"/>
  <c r="J11" i="33"/>
  <c r="G11" i="33"/>
  <c r="K11" i="33"/>
  <c r="K11" i="31"/>
  <c r="J11" i="31"/>
  <c r="G11" i="31"/>
  <c r="J64" i="47"/>
  <c r="J63" i="47"/>
  <c r="I64" i="47"/>
  <c r="AQ15" i="31"/>
  <c r="CH16" i="47" s="1"/>
  <c r="AQ15" i="33"/>
  <c r="CJ16" i="47" s="1"/>
  <c r="L39" i="22"/>
  <c r="M11" i="32"/>
  <c r="L11" i="32"/>
  <c r="I11" i="32"/>
  <c r="L11" i="22"/>
  <c r="M11" i="22"/>
  <c r="I11" i="22"/>
  <c r="M37" i="22" s="1"/>
  <c r="I11" i="34"/>
  <c r="M11" i="34"/>
  <c r="L11" i="34"/>
  <c r="I11" i="40"/>
  <c r="M11" i="40"/>
  <c r="L11" i="40"/>
  <c r="K11" i="37"/>
  <c r="G11" i="37"/>
  <c r="J11" i="37"/>
  <c r="K11" i="30"/>
  <c r="G11" i="30"/>
  <c r="J11" i="30"/>
  <c r="AN108" i="47"/>
  <c r="BX62" i="47"/>
  <c r="AG108" i="47"/>
  <c r="AD108" i="47"/>
  <c r="AQ15" i="35"/>
  <c r="CL16" i="47" s="1"/>
  <c r="K34" i="36"/>
  <c r="AQ34" i="36" s="1"/>
  <c r="CM34" i="47" s="1"/>
  <c r="F41" i="39"/>
  <c r="K34" i="35"/>
  <c r="AQ34" i="35" s="1"/>
  <c r="CL34" i="47" s="1"/>
  <c r="K34" i="38"/>
  <c r="AQ34" i="38" s="1"/>
  <c r="CO34" i="47" s="1"/>
  <c r="K34" i="37"/>
  <c r="AQ34" i="37" s="1"/>
  <c r="CN34" i="47" s="1"/>
  <c r="F47" i="40"/>
  <c r="AQ44" i="35"/>
  <c r="CL65" i="47" s="1"/>
  <c r="G40" i="40"/>
  <c r="G34" i="39"/>
  <c r="AQ15" i="36"/>
  <c r="CM16" i="47" s="1"/>
  <c r="AQ15" i="38"/>
  <c r="CO16" i="47" s="1"/>
  <c r="AQ34" i="34"/>
  <c r="CK34" i="47" s="1"/>
  <c r="AQ39" i="39"/>
  <c r="CP39" i="47" s="1"/>
  <c r="AQ32" i="33"/>
  <c r="CJ32" i="47" s="1"/>
  <c r="AQ32" i="36"/>
  <c r="CM32" i="47" s="1"/>
  <c r="AQ44" i="38"/>
  <c r="CO65" i="47" s="1"/>
  <c r="AQ44" i="33"/>
  <c r="CJ65" i="47" s="1"/>
  <c r="AQ44" i="36"/>
  <c r="CM65" i="47" s="1"/>
  <c r="AQ44" i="37"/>
  <c r="CN65" i="47" s="1"/>
  <c r="AQ44" i="31"/>
  <c r="CH65" i="47" s="1"/>
  <c r="AQ44" i="34"/>
  <c r="CK65" i="47" s="1"/>
  <c r="AQ15" i="32"/>
  <c r="CI16" i="47" s="1"/>
  <c r="AQ15" i="30"/>
  <c r="CG16" i="47" s="1"/>
  <c r="AQ15" i="37"/>
  <c r="CN16" i="47" s="1"/>
  <c r="AQ32" i="38"/>
  <c r="CO32" i="47" s="1"/>
  <c r="AQ32" i="31"/>
  <c r="CH32" i="47" s="1"/>
  <c r="AQ8" i="37"/>
  <c r="CN9" i="47" s="1"/>
  <c r="AQ32" i="35"/>
  <c r="CL32" i="47" s="1"/>
  <c r="AQ32" i="30"/>
  <c r="CG32" i="47" s="1"/>
  <c r="AQ32" i="34"/>
  <c r="CK32" i="47" s="1"/>
  <c r="AQ44" i="32"/>
  <c r="CI65" i="47" s="1"/>
  <c r="AQ44" i="30"/>
  <c r="CG65" i="47" s="1"/>
  <c r="AQ15" i="34"/>
  <c r="CK16" i="47" s="1"/>
  <c r="AQ32" i="32"/>
  <c r="CI32" i="47" s="1"/>
  <c r="AQ8" i="30"/>
  <c r="BA72" i="29"/>
  <c r="BB72" i="29" s="1"/>
  <c r="I32" i="47"/>
  <c r="AQ8" i="31"/>
  <c r="AQ13" i="38"/>
  <c r="CO14" i="47" s="1"/>
  <c r="AQ8" i="33"/>
  <c r="CJ9" i="47" s="1"/>
  <c r="AQ13" i="33"/>
  <c r="CJ14" i="47" s="1"/>
  <c r="AQ13" i="34"/>
  <c r="CK14" i="47" s="1"/>
  <c r="AQ13" i="32"/>
  <c r="CI14" i="47" s="1"/>
  <c r="AQ13" i="37"/>
  <c r="CN14" i="47" s="1"/>
  <c r="AQ34" i="30"/>
  <c r="CG34" i="47" s="1"/>
  <c r="AQ34" i="31"/>
  <c r="CH34" i="47" s="1"/>
  <c r="BA75" i="29"/>
  <c r="I35" i="47"/>
  <c r="BA77" i="29"/>
  <c r="BB77" i="29" s="1"/>
  <c r="I39" i="47"/>
  <c r="AQ34" i="33"/>
  <c r="CJ34" i="47" s="1"/>
  <c r="AQ8" i="32"/>
  <c r="CI9" i="47" s="1"/>
  <c r="AQ8" i="34"/>
  <c r="CK9" i="47" s="1"/>
  <c r="AQ13" i="36"/>
  <c r="CM14" i="47" s="1"/>
  <c r="AQ8" i="38"/>
  <c r="CO9" i="47" s="1"/>
  <c r="AQ13" i="40"/>
  <c r="AQ13" i="30"/>
  <c r="CG14" i="47" s="1"/>
  <c r="AQ34" i="32"/>
  <c r="CI34" i="47" s="1"/>
  <c r="BA79" i="29"/>
  <c r="BB79" i="29" s="1"/>
  <c r="I41" i="47"/>
  <c r="BA74" i="29"/>
  <c r="I34" i="47"/>
  <c r="BA73" i="29"/>
  <c r="I33" i="47"/>
  <c r="BA78" i="29"/>
  <c r="BB78" i="29" s="1"/>
  <c r="I40" i="47"/>
  <c r="AQ8" i="36"/>
  <c r="CM9" i="47" s="1"/>
  <c r="AQ13" i="31"/>
  <c r="CH14" i="47" s="1"/>
  <c r="AQ8" i="35"/>
  <c r="AQ13" i="35"/>
  <c r="CL14" i="47" s="1"/>
  <c r="AQ13" i="39"/>
  <c r="J15" i="39"/>
  <c r="H15" i="39"/>
  <c r="L15" i="39"/>
  <c r="M15" i="39"/>
  <c r="I15" i="39"/>
  <c r="G15" i="39"/>
  <c r="L15" i="40"/>
  <c r="M15" i="40"/>
  <c r="H15" i="40"/>
  <c r="J15" i="40"/>
  <c r="G15" i="40"/>
  <c r="I15" i="40"/>
  <c r="K15" i="40"/>
  <c r="K8" i="39"/>
  <c r="K8" i="40"/>
  <c r="K41" i="22"/>
  <c r="I41" i="22"/>
  <c r="H41" i="22"/>
  <c r="M41" i="22"/>
  <c r="L41" i="22"/>
  <c r="J41" i="22"/>
  <c r="G41" i="22"/>
  <c r="C2" i="27"/>
  <c r="AT7" i="29"/>
  <c r="AQ40" i="36" l="1"/>
  <c r="CM40" i="47" s="1"/>
  <c r="AQ14" i="37"/>
  <c r="CN15" i="47" s="1"/>
  <c r="AQ39" i="30"/>
  <c r="CG39" i="47" s="1"/>
  <c r="AQ14" i="38"/>
  <c r="CO15" i="47" s="1"/>
  <c r="AQ14" i="31"/>
  <c r="CH15" i="47" s="1"/>
  <c r="AQ14" i="32"/>
  <c r="CI15" i="47" s="1"/>
  <c r="AQ14" i="40"/>
  <c r="CQ15" i="47" s="1"/>
  <c r="AQ46" i="40"/>
  <c r="CQ40" i="47" s="1"/>
  <c r="H40" i="35"/>
  <c r="M40" i="35"/>
  <c r="L40" i="35"/>
  <c r="J40" i="35"/>
  <c r="G40" i="35"/>
  <c r="K40" i="35"/>
  <c r="I40" i="35"/>
  <c r="L40" i="30"/>
  <c r="I40" i="30"/>
  <c r="H40" i="30"/>
  <c r="M40" i="30"/>
  <c r="K40" i="30"/>
  <c r="J40" i="30"/>
  <c r="G40" i="30"/>
  <c r="K40" i="33"/>
  <c r="M40" i="33"/>
  <c r="G40" i="33"/>
  <c r="J40" i="33"/>
  <c r="H40" i="33"/>
  <c r="L40" i="33"/>
  <c r="I40" i="33"/>
  <c r="G40" i="34"/>
  <c r="K40" i="34"/>
  <c r="I40" i="34"/>
  <c r="H40" i="34"/>
  <c r="M40" i="34"/>
  <c r="L40" i="34"/>
  <c r="J40" i="34"/>
  <c r="AQ14" i="30"/>
  <c r="CG15" i="47" s="1"/>
  <c r="K40" i="39"/>
  <c r="I40" i="39"/>
  <c r="H40" i="39"/>
  <c r="M40" i="39"/>
  <c r="L40" i="39"/>
  <c r="J40" i="39"/>
  <c r="G40" i="39"/>
  <c r="AQ14" i="33"/>
  <c r="CJ15" i="47" s="1"/>
  <c r="AQ14" i="35"/>
  <c r="CL15" i="47" s="1"/>
  <c r="AQ14" i="34"/>
  <c r="CK15" i="47" s="1"/>
  <c r="L40" i="38"/>
  <c r="K40" i="38"/>
  <c r="I40" i="38"/>
  <c r="G40" i="38"/>
  <c r="M40" i="38"/>
  <c r="H40" i="38"/>
  <c r="J40" i="38"/>
  <c r="J40" i="22"/>
  <c r="L40" i="22"/>
  <c r="G40" i="22"/>
  <c r="K40" i="22"/>
  <c r="M40" i="22"/>
  <c r="I40" i="22"/>
  <c r="H40" i="22"/>
  <c r="M40" i="37"/>
  <c r="H40" i="37"/>
  <c r="G40" i="37"/>
  <c r="L40" i="37"/>
  <c r="J40" i="37"/>
  <c r="I40" i="37"/>
  <c r="K40" i="37"/>
  <c r="I40" i="32"/>
  <c r="K40" i="32"/>
  <c r="G40" i="32"/>
  <c r="H40" i="32"/>
  <c r="M40" i="32"/>
  <c r="L40" i="32"/>
  <c r="J40" i="32"/>
  <c r="AQ14" i="39"/>
  <c r="CP15" i="47" s="1"/>
  <c r="L40" i="31"/>
  <c r="J40" i="31"/>
  <c r="M40" i="31"/>
  <c r="K40" i="31"/>
  <c r="G40" i="31"/>
  <c r="H40" i="31"/>
  <c r="I40" i="31"/>
  <c r="BY67" i="47"/>
  <c r="AQ39" i="34"/>
  <c r="CK39" i="47" s="1"/>
  <c r="AQ39" i="36"/>
  <c r="CM39" i="47" s="1"/>
  <c r="AP54" i="47"/>
  <c r="BX73" i="47"/>
  <c r="AQ11" i="33"/>
  <c r="CJ12" i="47" s="1"/>
  <c r="AF82" i="47"/>
  <c r="AQ39" i="31"/>
  <c r="CH39" i="47" s="1"/>
  <c r="AQ45" i="40"/>
  <c r="CQ39" i="47" s="1"/>
  <c r="AW82" i="47"/>
  <c r="AX82" i="47"/>
  <c r="AY82" i="47"/>
  <c r="BY79" i="47"/>
  <c r="BY70" i="47"/>
  <c r="BX70" i="47"/>
  <c r="AY54" i="47"/>
  <c r="AQ39" i="35"/>
  <c r="CL39" i="47" s="1"/>
  <c r="AQ39" i="33"/>
  <c r="CJ39" i="47" s="1"/>
  <c r="AQ39" i="37"/>
  <c r="CN39" i="47" s="1"/>
  <c r="AQ39" i="32"/>
  <c r="CI39" i="47" s="1"/>
  <c r="AQ39" i="38"/>
  <c r="CO39" i="47" s="1"/>
  <c r="AQ11" i="31"/>
  <c r="CH12" i="47" s="1"/>
  <c r="BX63" i="47"/>
  <c r="BY69" i="47"/>
  <c r="AU54" i="47"/>
  <c r="AS54" i="47"/>
  <c r="BY75" i="47"/>
  <c r="AX54" i="47"/>
  <c r="AW54" i="47"/>
  <c r="AX27" i="47"/>
  <c r="AY27" i="47"/>
  <c r="AP27" i="47"/>
  <c r="AQ27" i="47"/>
  <c r="BY74" i="47"/>
  <c r="BY63" i="47"/>
  <c r="AQ37" i="30"/>
  <c r="CG37" i="47" s="1"/>
  <c r="AM27" i="47"/>
  <c r="BD67" i="29"/>
  <c r="H20" i="47"/>
  <c r="BD70" i="29"/>
  <c r="H25" i="47"/>
  <c r="BD64" i="29"/>
  <c r="H17" i="47"/>
  <c r="H23" i="47"/>
  <c r="BD68" i="29"/>
  <c r="H26" i="47"/>
  <c r="BD71" i="29"/>
  <c r="H24" i="47"/>
  <c r="BD69" i="29"/>
  <c r="BD65" i="29"/>
  <c r="H18" i="47"/>
  <c r="BD66" i="29"/>
  <c r="H19" i="47"/>
  <c r="J47" i="40"/>
  <c r="K47" i="40"/>
  <c r="H47" i="40"/>
  <c r="L47" i="40"/>
  <c r="M47" i="40"/>
  <c r="G47" i="40"/>
  <c r="I47" i="40"/>
  <c r="H41" i="39"/>
  <c r="L41" i="39"/>
  <c r="I41" i="39"/>
  <c r="M41" i="39"/>
  <c r="G41" i="39"/>
  <c r="J41" i="39"/>
  <c r="K41" i="39"/>
  <c r="AS27" i="47"/>
  <c r="AW27" i="47"/>
  <c r="AU27" i="47"/>
  <c r="BP66" i="47"/>
  <c r="Z66" i="47" s="1"/>
  <c r="BY77" i="47"/>
  <c r="BP100" i="47"/>
  <c r="Z100" i="47" s="1"/>
  <c r="BP92" i="47"/>
  <c r="Z92" i="47" s="1"/>
  <c r="BY72" i="47"/>
  <c r="BY68" i="47"/>
  <c r="BP105" i="47"/>
  <c r="Z105" i="47" s="1"/>
  <c r="BY71" i="47"/>
  <c r="BY78" i="47"/>
  <c r="BX79" i="47"/>
  <c r="BX78" i="47"/>
  <c r="BP93" i="47"/>
  <c r="Z93" i="47" s="1"/>
  <c r="BY73" i="47"/>
  <c r="BY65" i="47"/>
  <c r="BY66" i="47"/>
  <c r="BP79" i="47"/>
  <c r="Z79" i="47" s="1"/>
  <c r="BP74" i="47"/>
  <c r="Z74" i="47" s="1"/>
  <c r="BP67" i="47"/>
  <c r="Z67" i="47" s="1"/>
  <c r="BY80" i="47"/>
  <c r="AF108" i="47"/>
  <c r="BX66" i="47"/>
  <c r="BY81" i="47"/>
  <c r="BX74" i="47"/>
  <c r="BX67" i="47"/>
  <c r="AK82" i="47"/>
  <c r="BY76" i="47"/>
  <c r="BL71" i="47"/>
  <c r="BP71" i="47" s="1"/>
  <c r="Z71" i="47" s="1"/>
  <c r="BL106" i="47"/>
  <c r="BP106" i="47" s="1"/>
  <c r="Z106" i="47" s="1"/>
  <c r="BL63" i="47"/>
  <c r="BP63" i="47" s="1"/>
  <c r="Z63" i="47" s="1"/>
  <c r="BL70" i="47"/>
  <c r="BP70" i="47" s="1"/>
  <c r="Z70" i="47" s="1"/>
  <c r="CL73" i="47" s="1"/>
  <c r="AP108" i="47"/>
  <c r="AJ27" i="47"/>
  <c r="BL99" i="47"/>
  <c r="BP99" i="47" s="1"/>
  <c r="Z99" i="47" s="1"/>
  <c r="BL72" i="47"/>
  <c r="BP72" i="47" s="1"/>
  <c r="Z72" i="47" s="1"/>
  <c r="CM73" i="47" s="1"/>
  <c r="AS82" i="47"/>
  <c r="AK27" i="47"/>
  <c r="BL107" i="47"/>
  <c r="BP107" i="47" s="1"/>
  <c r="Z107" i="47" s="1"/>
  <c r="BL75" i="47"/>
  <c r="BP75" i="47" s="1"/>
  <c r="Z75" i="47" s="1"/>
  <c r="BX81" i="47"/>
  <c r="AQ11" i="32"/>
  <c r="CI12" i="47" s="1"/>
  <c r="AQ11" i="34"/>
  <c r="CK12" i="47" s="1"/>
  <c r="AJ82" i="47"/>
  <c r="BX72" i="47"/>
  <c r="BL96" i="47"/>
  <c r="BP96" i="47" s="1"/>
  <c r="Z96" i="47" s="1"/>
  <c r="BL88" i="47"/>
  <c r="BP88" i="47" s="1"/>
  <c r="Z88" i="47" s="1"/>
  <c r="AP82" i="47"/>
  <c r="BL73" i="47"/>
  <c r="BP73" i="47" s="1"/>
  <c r="Z73" i="47" s="1"/>
  <c r="AU82" i="47"/>
  <c r="AU108" i="47"/>
  <c r="AQ37" i="39"/>
  <c r="CP37" i="47" s="1"/>
  <c r="BL102" i="47"/>
  <c r="BP102" i="47" s="1"/>
  <c r="Z102" i="47" s="1"/>
  <c r="BX80" i="47"/>
  <c r="AM82" i="47"/>
  <c r="BL81" i="47"/>
  <c r="BP81" i="47" s="1"/>
  <c r="Z81" i="47" s="1"/>
  <c r="BL101" i="47"/>
  <c r="BP101" i="47" s="1"/>
  <c r="Z101" i="47" s="1"/>
  <c r="AQ43" i="40"/>
  <c r="CQ37" i="47" s="1"/>
  <c r="AQ54" i="47"/>
  <c r="AI82" i="47"/>
  <c r="AI27" i="47"/>
  <c r="AJ108" i="47"/>
  <c r="AQ37" i="35"/>
  <c r="CL37" i="47" s="1"/>
  <c r="BL77" i="47"/>
  <c r="BP77" i="47" s="1"/>
  <c r="Z77" i="47" s="1"/>
  <c r="AQ37" i="38"/>
  <c r="CO37" i="47" s="1"/>
  <c r="BL91" i="47"/>
  <c r="BP91" i="47" s="1"/>
  <c r="Z91" i="47" s="1"/>
  <c r="BL90" i="47"/>
  <c r="BP90" i="47" s="1"/>
  <c r="Z90" i="47" s="1"/>
  <c r="BL80" i="47"/>
  <c r="BP80" i="47" s="1"/>
  <c r="Z80" i="47" s="1"/>
  <c r="BL78" i="47"/>
  <c r="BP78" i="47" s="1"/>
  <c r="Z78" i="47" s="1"/>
  <c r="BL62" i="47"/>
  <c r="AJ54" i="47"/>
  <c r="L37" i="22"/>
  <c r="AQ37" i="31"/>
  <c r="CH37" i="47" s="1"/>
  <c r="BL76" i="47"/>
  <c r="BP76" i="47" s="1"/>
  <c r="Z76" i="47" s="1"/>
  <c r="AQ108" i="47"/>
  <c r="BY88" i="47"/>
  <c r="BX64" i="47"/>
  <c r="AM108" i="47"/>
  <c r="AQ37" i="37"/>
  <c r="CN37" i="47" s="1"/>
  <c r="BL68" i="47"/>
  <c r="BP68" i="47" s="1"/>
  <c r="Z68" i="47" s="1"/>
  <c r="BL69" i="47"/>
  <c r="BP69" i="47" s="1"/>
  <c r="Z69" i="47" s="1"/>
  <c r="BX75" i="47"/>
  <c r="BX68" i="47"/>
  <c r="AQ37" i="32"/>
  <c r="CI37" i="47" s="1"/>
  <c r="AQ37" i="34"/>
  <c r="CK37" i="47" s="1"/>
  <c r="AQ11" i="40"/>
  <c r="CQ12" i="47" s="1"/>
  <c r="AI54" i="47"/>
  <c r="BL103" i="47"/>
  <c r="BP103" i="47" s="1"/>
  <c r="Z103" i="47" s="1"/>
  <c r="BL64" i="47"/>
  <c r="BP64" i="47" s="1"/>
  <c r="Z64" i="47" s="1"/>
  <c r="BL65" i="47"/>
  <c r="BP65" i="47" s="1"/>
  <c r="Z65" i="47" s="1"/>
  <c r="BL97" i="47"/>
  <c r="BP97" i="47" s="1"/>
  <c r="Z97" i="47" s="1"/>
  <c r="BL104" i="47"/>
  <c r="BP104" i="47" s="1"/>
  <c r="Z104" i="47" s="1"/>
  <c r="BL89" i="47"/>
  <c r="BP89" i="47" s="1"/>
  <c r="Z89" i="47" s="1"/>
  <c r="AQ11" i="30"/>
  <c r="CG12" i="47" s="1"/>
  <c r="AQ11" i="37"/>
  <c r="CN12" i="47" s="1"/>
  <c r="AW108" i="47"/>
  <c r="BL98" i="47"/>
  <c r="BP98" i="47" s="1"/>
  <c r="Z98" i="47" s="1"/>
  <c r="AS108" i="47"/>
  <c r="AQ37" i="33"/>
  <c r="CJ37" i="47" s="1"/>
  <c r="AQ11" i="39"/>
  <c r="CP12" i="47" s="1"/>
  <c r="AX108" i="47"/>
  <c r="AQ82" i="47"/>
  <c r="BY62" i="47"/>
  <c r="BX71" i="47"/>
  <c r="BX65" i="47"/>
  <c r="AQ37" i="36"/>
  <c r="CM37" i="47" s="1"/>
  <c r="BX77" i="47"/>
  <c r="AK54" i="47"/>
  <c r="AK108" i="47"/>
  <c r="BL95" i="47"/>
  <c r="BP95" i="47" s="1"/>
  <c r="Z95" i="47" s="1"/>
  <c r="BL94" i="47"/>
  <c r="BP94" i="47" s="1"/>
  <c r="Z94" i="47" s="1"/>
  <c r="AY108" i="47"/>
  <c r="BX69" i="47"/>
  <c r="BX76" i="47"/>
  <c r="BY64" i="47"/>
  <c r="AI108" i="47"/>
  <c r="AQ11" i="38"/>
  <c r="CO12" i="47" s="1"/>
  <c r="AQ11" i="35"/>
  <c r="CL12" i="47" s="1"/>
  <c r="AQ11" i="36"/>
  <c r="CM12" i="47" s="1"/>
  <c r="AQ15" i="40"/>
  <c r="CQ16" i="47" s="1"/>
  <c r="AQ15" i="39"/>
  <c r="CP16" i="47" s="1"/>
  <c r="BB73" i="29"/>
  <c r="BB75" i="29"/>
  <c r="BB74" i="29"/>
  <c r="K34" i="39"/>
  <c r="AQ34" i="39" s="1"/>
  <c r="CP34" i="47" s="1"/>
  <c r="K40" i="40"/>
  <c r="AQ40" i="40" s="1"/>
  <c r="CQ34" i="47" s="1"/>
  <c r="AQ8" i="39"/>
  <c r="CP9" i="47" s="1"/>
  <c r="AQ8" i="40"/>
  <c r="CQ9" i="47" s="1"/>
  <c r="AQ41" i="35"/>
  <c r="CL41" i="47" s="1"/>
  <c r="AQ41" i="33"/>
  <c r="CJ41" i="47" s="1"/>
  <c r="AQ41" i="32"/>
  <c r="CI41" i="47" s="1"/>
  <c r="AQ41" i="31"/>
  <c r="CH41" i="47" s="1"/>
  <c r="AQ41" i="36"/>
  <c r="CM41" i="47" s="1"/>
  <c r="AQ41" i="37"/>
  <c r="CN41" i="47" s="1"/>
  <c r="AQ41" i="30"/>
  <c r="CG41" i="47" s="1"/>
  <c r="AQ41" i="38"/>
  <c r="CO41" i="47" s="1"/>
  <c r="AQ41" i="34"/>
  <c r="CK41" i="47" s="1"/>
  <c r="CP14" i="47"/>
  <c r="CH9" i="47"/>
  <c r="CL9" i="47"/>
  <c r="CQ14" i="47"/>
  <c r="CG9" i="47"/>
  <c r="V2" i="37"/>
  <c r="V2" i="22"/>
  <c r="V2" i="38"/>
  <c r="V2" i="35"/>
  <c r="V2" i="34"/>
  <c r="V2" i="33"/>
  <c r="V2" i="32"/>
  <c r="V2" i="40"/>
  <c r="V2" i="39"/>
  <c r="V2" i="30"/>
  <c r="V2" i="36"/>
  <c r="V2" i="31"/>
  <c r="AT9" i="29"/>
  <c r="AY7" i="29"/>
  <c r="AZ7" i="29"/>
  <c r="BA7" i="29"/>
  <c r="AT13" i="29"/>
  <c r="BB7" i="29"/>
  <c r="AX7" i="29"/>
  <c r="AV7" i="29"/>
  <c r="AT11" i="29"/>
  <c r="AW7" i="29"/>
  <c r="AQ40" i="39" l="1"/>
  <c r="CP40" i="47" s="1"/>
  <c r="F6" i="40"/>
  <c r="F6" i="39"/>
  <c r="AQ40" i="37"/>
  <c r="CN40" i="47" s="1"/>
  <c r="AQ40" i="32"/>
  <c r="CI40" i="47" s="1"/>
  <c r="AQ40" i="38"/>
  <c r="CO40" i="47" s="1"/>
  <c r="BG64" i="29"/>
  <c r="AQ40" i="34"/>
  <c r="CK40" i="47" s="1"/>
  <c r="AQ40" i="30"/>
  <c r="CG40" i="47" s="1"/>
  <c r="J6" i="40"/>
  <c r="F23" i="47" s="1"/>
  <c r="I23" i="47" s="1"/>
  <c r="J6" i="39"/>
  <c r="BG68" i="29"/>
  <c r="AQ40" i="31"/>
  <c r="CH40" i="47" s="1"/>
  <c r="AQ40" i="33"/>
  <c r="CJ40" i="47" s="1"/>
  <c r="AQ40" i="35"/>
  <c r="CL40" i="47" s="1"/>
  <c r="AQ41" i="39"/>
  <c r="CP41" i="47" s="1"/>
  <c r="AQ47" i="40"/>
  <c r="CQ41" i="47" s="1"/>
  <c r="BP62" i="47"/>
  <c r="Z62" i="47" s="1"/>
  <c r="Z82" i="47" s="1"/>
  <c r="CI73" i="47"/>
  <c r="CO73" i="47"/>
  <c r="CH73" i="47"/>
  <c r="BY46" i="47"/>
  <c r="BY51" i="47"/>
  <c r="BY39" i="47"/>
  <c r="BY38" i="47"/>
  <c r="BY24" i="47"/>
  <c r="BY12" i="47"/>
  <c r="BY19" i="47"/>
  <c r="BY11" i="47"/>
  <c r="F17" i="47"/>
  <c r="BY42" i="47"/>
  <c r="BY35" i="47"/>
  <c r="BY50" i="47"/>
  <c r="BY8" i="47"/>
  <c r="BY23" i="47"/>
  <c r="BY15" i="47"/>
  <c r="BY82" i="47"/>
  <c r="BY108" i="47"/>
  <c r="BX108" i="47"/>
  <c r="BX82" i="47"/>
  <c r="K17" i="40"/>
  <c r="G17" i="40"/>
  <c r="I17" i="40"/>
  <c r="L17" i="40"/>
  <c r="M17" i="40"/>
  <c r="J17" i="40"/>
  <c r="H17" i="40"/>
  <c r="K17" i="39"/>
  <c r="G17" i="39"/>
  <c r="I17" i="39"/>
  <c r="H17" i="39"/>
  <c r="M17" i="39"/>
  <c r="L17" i="39"/>
  <c r="J17" i="39"/>
  <c r="F17" i="34"/>
  <c r="F17" i="33"/>
  <c r="F17" i="32"/>
  <c r="F17" i="35"/>
  <c r="F17" i="36"/>
  <c r="F17" i="38"/>
  <c r="F17" i="37"/>
  <c r="F17" i="31"/>
  <c r="F17" i="30"/>
  <c r="F17" i="22"/>
  <c r="J6" i="30"/>
  <c r="J6" i="32"/>
  <c r="J6" i="38"/>
  <c r="J6" i="22"/>
  <c r="F10" i="47" s="1"/>
  <c r="J6" i="35"/>
  <c r="J6" i="36"/>
  <c r="J6" i="34"/>
  <c r="J6" i="37"/>
  <c r="J6" i="33"/>
  <c r="J6" i="31"/>
  <c r="F6" i="37"/>
  <c r="F6" i="33"/>
  <c r="F6" i="32"/>
  <c r="F6" i="34"/>
  <c r="F6" i="30"/>
  <c r="F6" i="22"/>
  <c r="F6" i="38"/>
  <c r="F6" i="31"/>
  <c r="F6" i="36"/>
  <c r="F6" i="35"/>
  <c r="AX11" i="29"/>
  <c r="BB11" i="29"/>
  <c r="AV11" i="29"/>
  <c r="AW11" i="29"/>
  <c r="AY11" i="29"/>
  <c r="BE11" i="29"/>
  <c r="BD11" i="29"/>
  <c r="BC11" i="29"/>
  <c r="BF11" i="29"/>
  <c r="H14" i="1" s="1"/>
  <c r="AV13" i="29"/>
  <c r="BB13" i="29"/>
  <c r="AW13" i="29"/>
  <c r="AY13" i="29"/>
  <c r="AX13" i="29"/>
  <c r="AY9" i="29"/>
  <c r="AW9" i="29"/>
  <c r="AX9" i="29"/>
  <c r="BB9" i="29"/>
  <c r="AV9" i="29"/>
  <c r="BA13" i="29"/>
  <c r="BA11" i="29"/>
  <c r="BA9" i="29"/>
  <c r="AZ11" i="29"/>
  <c r="AZ9" i="29"/>
  <c r="AZ13" i="29"/>
  <c r="F25" i="22"/>
  <c r="F52" i="22" s="1"/>
  <c r="BG67" i="29" l="1"/>
  <c r="I6" i="40"/>
  <c r="F20" i="47" s="1"/>
  <c r="I20" i="47" s="1"/>
  <c r="I6" i="39"/>
  <c r="BG65" i="29"/>
  <c r="BG71" i="29"/>
  <c r="BG70" i="29"/>
  <c r="BG66" i="29"/>
  <c r="K6" i="40"/>
  <c r="F24" i="47" s="1"/>
  <c r="I24" i="47" s="1"/>
  <c r="K6" i="39"/>
  <c r="M6" i="40"/>
  <c r="F26" i="47" s="1"/>
  <c r="I26" i="47" s="1"/>
  <c r="M6" i="39"/>
  <c r="L6" i="40"/>
  <c r="F25" i="47" s="1"/>
  <c r="I25" i="47" s="1"/>
  <c r="L6" i="39"/>
  <c r="G6" i="40"/>
  <c r="F18" i="47" s="1"/>
  <c r="G6" i="39"/>
  <c r="BG69" i="29"/>
  <c r="H6" i="40"/>
  <c r="F19" i="47" s="1"/>
  <c r="H6" i="39"/>
  <c r="BY34" i="47"/>
  <c r="BY45" i="47"/>
  <c r="BY18" i="47"/>
  <c r="BX39" i="47"/>
  <c r="BX38" i="47"/>
  <c r="BX51" i="47"/>
  <c r="BX46" i="47"/>
  <c r="BX24" i="47"/>
  <c r="BX12" i="47"/>
  <c r="BX19" i="47"/>
  <c r="BX11" i="47"/>
  <c r="I18" i="47"/>
  <c r="BY49" i="47"/>
  <c r="BY22" i="47"/>
  <c r="BY47" i="47"/>
  <c r="BY26" i="47"/>
  <c r="BY40" i="47"/>
  <c r="BY13" i="47"/>
  <c r="BY14" i="47"/>
  <c r="BY53" i="47"/>
  <c r="BY41" i="47"/>
  <c r="BY20" i="47"/>
  <c r="BY44" i="47"/>
  <c r="BY17" i="47"/>
  <c r="BL19" i="47"/>
  <c r="BL12" i="47"/>
  <c r="BL38" i="47"/>
  <c r="Z38" i="47" s="1"/>
  <c r="BL51" i="47"/>
  <c r="Z51" i="47" s="1"/>
  <c r="BL46" i="47"/>
  <c r="Z46" i="47" s="1"/>
  <c r="BL11" i="47"/>
  <c r="BL39" i="47"/>
  <c r="Z39" i="47" s="1"/>
  <c r="BL24" i="47"/>
  <c r="BY37" i="47"/>
  <c r="BY10" i="47"/>
  <c r="BY43" i="47"/>
  <c r="BY52" i="47"/>
  <c r="BY36" i="47"/>
  <c r="BY9" i="47"/>
  <c r="BY25" i="47"/>
  <c r="BY16" i="47"/>
  <c r="I19" i="47"/>
  <c r="BY7" i="47"/>
  <c r="BY21" i="47"/>
  <c r="BY48" i="47"/>
  <c r="BX35" i="47"/>
  <c r="BX50" i="47"/>
  <c r="BX42" i="47"/>
  <c r="BX8" i="47"/>
  <c r="BX23" i="47"/>
  <c r="BX15" i="47"/>
  <c r="I17" i="47"/>
  <c r="AQ17" i="39"/>
  <c r="CP60" i="47" s="1"/>
  <c r="AQ17" i="40"/>
  <c r="CQ60" i="47" s="1"/>
  <c r="S2" i="22"/>
  <c r="H12" i="1"/>
  <c r="F4" i="47"/>
  <c r="BA68" i="29"/>
  <c r="BB68" i="29" s="1"/>
  <c r="I10" i="47"/>
  <c r="J17" i="22"/>
  <c r="H17" i="22"/>
  <c r="M17" i="22"/>
  <c r="K17" i="22"/>
  <c r="I17" i="22"/>
  <c r="G17" i="22"/>
  <c r="L17" i="22"/>
  <c r="K17" i="38"/>
  <c r="J17" i="38"/>
  <c r="G17" i="38"/>
  <c r="L17" i="38"/>
  <c r="I17" i="38"/>
  <c r="M17" i="38"/>
  <c r="H17" i="38"/>
  <c r="H17" i="33"/>
  <c r="L17" i="33"/>
  <c r="K17" i="33"/>
  <c r="G17" i="33"/>
  <c r="M17" i="33"/>
  <c r="J17" i="33"/>
  <c r="I17" i="33"/>
  <c r="K17" i="30"/>
  <c r="L17" i="30"/>
  <c r="H17" i="30"/>
  <c r="J17" i="30"/>
  <c r="G17" i="30"/>
  <c r="I17" i="30"/>
  <c r="M17" i="30"/>
  <c r="M17" i="36"/>
  <c r="K17" i="36"/>
  <c r="J17" i="36"/>
  <c r="G17" i="36"/>
  <c r="L17" i="36"/>
  <c r="H17" i="36"/>
  <c r="I17" i="36"/>
  <c r="G17" i="34"/>
  <c r="L17" i="34"/>
  <c r="J17" i="34"/>
  <c r="I17" i="34"/>
  <c r="M17" i="34"/>
  <c r="K17" i="34"/>
  <c r="H17" i="34"/>
  <c r="S2" i="30"/>
  <c r="S2" i="31"/>
  <c r="S2" i="36"/>
  <c r="S2" i="37"/>
  <c r="S2" i="38"/>
  <c r="S2" i="35"/>
  <c r="S2" i="34"/>
  <c r="S2" i="33"/>
  <c r="S2" i="32"/>
  <c r="H17" i="31"/>
  <c r="J17" i="31"/>
  <c r="K17" i="31"/>
  <c r="L17" i="31"/>
  <c r="G17" i="31"/>
  <c r="M17" i="31"/>
  <c r="I17" i="31"/>
  <c r="I17" i="35"/>
  <c r="L17" i="35"/>
  <c r="J17" i="35"/>
  <c r="H17" i="35"/>
  <c r="M17" i="35"/>
  <c r="K17" i="35"/>
  <c r="G17" i="35"/>
  <c r="G17" i="37"/>
  <c r="M17" i="37"/>
  <c r="L17" i="37"/>
  <c r="K17" i="37"/>
  <c r="I17" i="37"/>
  <c r="J17" i="37"/>
  <c r="H17" i="37"/>
  <c r="L17" i="32"/>
  <c r="I17" i="32"/>
  <c r="G17" i="32"/>
  <c r="M17" i="32"/>
  <c r="H17" i="32"/>
  <c r="K17" i="32"/>
  <c r="J17" i="32"/>
  <c r="L52" i="22"/>
  <c r="I52" i="22"/>
  <c r="K52" i="22"/>
  <c r="M52" i="22"/>
  <c r="J52" i="22"/>
  <c r="H52" i="22"/>
  <c r="G52" i="22"/>
  <c r="G27" i="40"/>
  <c r="G6" i="38"/>
  <c r="G6" i="31"/>
  <c r="G6" i="33"/>
  <c r="G6" i="36"/>
  <c r="G6" i="30"/>
  <c r="G6" i="22"/>
  <c r="F5" i="47" s="1"/>
  <c r="G6" i="35"/>
  <c r="G6" i="32"/>
  <c r="G6" i="34"/>
  <c r="G6" i="37"/>
  <c r="H6" i="35"/>
  <c r="H6" i="34"/>
  <c r="H6" i="33"/>
  <c r="H6" i="31"/>
  <c r="H6" i="30"/>
  <c r="H6" i="22"/>
  <c r="F6" i="47" s="1"/>
  <c r="H6" i="37"/>
  <c r="H6" i="32"/>
  <c r="H6" i="36"/>
  <c r="H6" i="38"/>
  <c r="I6" i="37"/>
  <c r="I6" i="36"/>
  <c r="I6" i="31"/>
  <c r="I6" i="22"/>
  <c r="F7" i="47" s="1"/>
  <c r="I6" i="33"/>
  <c r="I6" i="35"/>
  <c r="I6" i="38"/>
  <c r="I6" i="30"/>
  <c r="I6" i="32"/>
  <c r="I6" i="34"/>
  <c r="K6" i="38"/>
  <c r="K6" i="34"/>
  <c r="K6" i="33"/>
  <c r="K6" i="36"/>
  <c r="K6" i="31"/>
  <c r="K6" i="30"/>
  <c r="K6" i="22"/>
  <c r="F11" i="47" s="1"/>
  <c r="K6" i="35"/>
  <c r="K6" i="37"/>
  <c r="K6" i="32"/>
  <c r="M6" i="35"/>
  <c r="M6" i="38"/>
  <c r="M6" i="30"/>
  <c r="M6" i="36"/>
  <c r="M6" i="34"/>
  <c r="M6" i="37"/>
  <c r="M6" i="32"/>
  <c r="M6" i="31"/>
  <c r="M6" i="22"/>
  <c r="F13" i="47" s="1"/>
  <c r="M6" i="33"/>
  <c r="L6" i="31"/>
  <c r="L6" i="30"/>
  <c r="L6" i="22"/>
  <c r="F12" i="47" s="1"/>
  <c r="L6" i="37"/>
  <c r="L6" i="38"/>
  <c r="L6" i="36"/>
  <c r="L6" i="32"/>
  <c r="L6" i="35"/>
  <c r="L6" i="34"/>
  <c r="L6" i="33"/>
  <c r="V36" i="22"/>
  <c r="W36" i="22"/>
  <c r="X36" i="22"/>
  <c r="U36" i="22"/>
  <c r="R36" i="22"/>
  <c r="S36" i="22"/>
  <c r="T36" i="22"/>
  <c r="Q36" i="22"/>
  <c r="V35" i="22"/>
  <c r="W35" i="22"/>
  <c r="X35" i="22"/>
  <c r="U35" i="22"/>
  <c r="R35" i="22"/>
  <c r="S35" i="22"/>
  <c r="T35" i="22"/>
  <c r="Q35" i="22"/>
  <c r="V34" i="22"/>
  <c r="W34" i="22"/>
  <c r="X34" i="22"/>
  <c r="U34" i="22"/>
  <c r="R34" i="22"/>
  <c r="S34" i="22"/>
  <c r="T34" i="22"/>
  <c r="Q34" i="22"/>
  <c r="V33" i="22"/>
  <c r="W33" i="22"/>
  <c r="X33" i="22"/>
  <c r="U33" i="22"/>
  <c r="R33" i="22"/>
  <c r="S33" i="22"/>
  <c r="T33" i="22"/>
  <c r="Q33" i="22"/>
  <c r="V32" i="22"/>
  <c r="W32" i="22"/>
  <c r="X32" i="22"/>
  <c r="X37" i="22" s="1"/>
  <c r="U32" i="22"/>
  <c r="R32" i="22"/>
  <c r="R37" i="22" s="1"/>
  <c r="S32" i="22"/>
  <c r="S37" i="22" s="1"/>
  <c r="T32" i="22"/>
  <c r="T37" i="22" s="1"/>
  <c r="Q32" i="22"/>
  <c r="V10" i="22"/>
  <c r="W10" i="22"/>
  <c r="X10" i="22"/>
  <c r="U10" i="22"/>
  <c r="R10" i="22"/>
  <c r="S10" i="22"/>
  <c r="T10" i="22"/>
  <c r="Q10" i="22"/>
  <c r="V9" i="22"/>
  <c r="W9" i="22"/>
  <c r="X9" i="22"/>
  <c r="U9" i="22"/>
  <c r="R9" i="22"/>
  <c r="S9" i="22"/>
  <c r="T9" i="22"/>
  <c r="Q9" i="22"/>
  <c r="V8" i="22"/>
  <c r="W8" i="22"/>
  <c r="X8" i="22"/>
  <c r="U8" i="22"/>
  <c r="R8" i="22"/>
  <c r="S8" i="22"/>
  <c r="T8" i="22"/>
  <c r="Q8" i="22"/>
  <c r="V7" i="22"/>
  <c r="W7" i="22"/>
  <c r="X7" i="22"/>
  <c r="U7" i="22"/>
  <c r="R7" i="22"/>
  <c r="S7" i="22"/>
  <c r="T7" i="22"/>
  <c r="Q7" i="22"/>
  <c r="V6" i="22"/>
  <c r="W6" i="22"/>
  <c r="X6" i="22"/>
  <c r="U6" i="22"/>
  <c r="R6" i="22"/>
  <c r="S6" i="22"/>
  <c r="T6" i="22"/>
  <c r="Q6" i="22"/>
  <c r="R53" i="22"/>
  <c r="B78" i="24"/>
  <c r="B64" i="24"/>
  <c r="B50" i="24"/>
  <c r="B36" i="24"/>
  <c r="B22" i="24"/>
  <c r="AE90" i="24"/>
  <c r="Z90" i="24"/>
  <c r="Y90" i="24"/>
  <c r="X90" i="24"/>
  <c r="W90" i="24"/>
  <c r="U90" i="24"/>
  <c r="T90" i="24"/>
  <c r="S90" i="24"/>
  <c r="R90" i="24"/>
  <c r="M90" i="24"/>
  <c r="L90" i="24"/>
  <c r="K90" i="24"/>
  <c r="J90" i="24"/>
  <c r="H90" i="24"/>
  <c r="G90" i="24"/>
  <c r="F90" i="24"/>
  <c r="E90" i="24"/>
  <c r="AR89" i="24"/>
  <c r="AQ89" i="24"/>
  <c r="AP89" i="24"/>
  <c r="AO89" i="24"/>
  <c r="AM89" i="24"/>
  <c r="AL89" i="24"/>
  <c r="AK89" i="24"/>
  <c r="AJ89" i="24"/>
  <c r="AA89" i="24"/>
  <c r="V89" i="24"/>
  <c r="N89" i="24"/>
  <c r="I89" i="24"/>
  <c r="AR88" i="24"/>
  <c r="AQ88" i="24"/>
  <c r="AP88" i="24"/>
  <c r="AO88" i="24"/>
  <c r="AM88" i="24"/>
  <c r="AL88" i="24"/>
  <c r="AK88" i="24"/>
  <c r="AJ88" i="24"/>
  <c r="AA88" i="24"/>
  <c r="V88" i="24"/>
  <c r="N88" i="24"/>
  <c r="I88" i="24"/>
  <c r="AR87" i="24"/>
  <c r="AQ87" i="24"/>
  <c r="AP87" i="24"/>
  <c r="AO87" i="24"/>
  <c r="AM87" i="24"/>
  <c r="AL87" i="24"/>
  <c r="AK87" i="24"/>
  <c r="AJ87" i="24"/>
  <c r="AA87" i="24"/>
  <c r="V87" i="24"/>
  <c r="N87" i="24"/>
  <c r="I87" i="24"/>
  <c r="AR86" i="24"/>
  <c r="AQ86" i="24"/>
  <c r="AP86" i="24"/>
  <c r="AO86" i="24"/>
  <c r="AM86" i="24"/>
  <c r="AL86" i="24"/>
  <c r="AK86" i="24"/>
  <c r="AJ86" i="24"/>
  <c r="AA86" i="24"/>
  <c r="V86" i="24"/>
  <c r="N86" i="24"/>
  <c r="I86" i="24"/>
  <c r="AR85" i="24"/>
  <c r="AQ85" i="24"/>
  <c r="AP85" i="24"/>
  <c r="AO85" i="24"/>
  <c r="AM85" i="24"/>
  <c r="AL85" i="24"/>
  <c r="AK85" i="24"/>
  <c r="AJ85" i="24"/>
  <c r="AA85" i="24"/>
  <c r="V85" i="24"/>
  <c r="N85" i="24"/>
  <c r="I85" i="24"/>
  <c r="AR84" i="24"/>
  <c r="AQ84" i="24"/>
  <c r="AP84" i="24"/>
  <c r="AO84" i="24"/>
  <c r="AM84" i="24"/>
  <c r="AL84" i="24"/>
  <c r="AK84" i="24"/>
  <c r="AJ84" i="24"/>
  <c r="AA84" i="24"/>
  <c r="V84" i="24"/>
  <c r="N84" i="24"/>
  <c r="I84" i="24"/>
  <c r="AR83" i="24"/>
  <c r="AQ83" i="24"/>
  <c r="AP83" i="24"/>
  <c r="AO83" i="24"/>
  <c r="AM83" i="24"/>
  <c r="AL83" i="24"/>
  <c r="AK83" i="24"/>
  <c r="AJ83" i="24"/>
  <c r="AA83" i="24"/>
  <c r="V83" i="24"/>
  <c r="N83" i="24"/>
  <c r="I83" i="24"/>
  <c r="AR82" i="24"/>
  <c r="AQ82" i="24"/>
  <c r="AP82" i="24"/>
  <c r="AO82" i="24"/>
  <c r="AM82" i="24"/>
  <c r="AL82" i="24"/>
  <c r="AK82" i="24"/>
  <c r="AJ82" i="24"/>
  <c r="AA82" i="24"/>
  <c r="V82" i="24"/>
  <c r="N82" i="24"/>
  <c r="I82" i="24"/>
  <c r="AR81" i="24"/>
  <c r="AQ81" i="24"/>
  <c r="AP81" i="24"/>
  <c r="AO81" i="24"/>
  <c r="AM81" i="24"/>
  <c r="AL81" i="24"/>
  <c r="AK81" i="24"/>
  <c r="AJ81" i="24"/>
  <c r="AA81" i="24"/>
  <c r="V81" i="24"/>
  <c r="N81" i="24"/>
  <c r="I81" i="24"/>
  <c r="AR80" i="24"/>
  <c r="AQ80" i="24"/>
  <c r="AP80" i="24"/>
  <c r="AO80" i="24"/>
  <c r="AM80" i="24"/>
  <c r="AL80" i="24"/>
  <c r="AK80" i="24"/>
  <c r="AJ80" i="24"/>
  <c r="AA80" i="24"/>
  <c r="V80" i="24"/>
  <c r="N80" i="24"/>
  <c r="I80" i="24"/>
  <c r="AR79" i="24"/>
  <c r="AQ79" i="24"/>
  <c r="AP79" i="24"/>
  <c r="AO79" i="24"/>
  <c r="AM79" i="24"/>
  <c r="AL79" i="24"/>
  <c r="AK79" i="24"/>
  <c r="AJ79" i="24"/>
  <c r="AA79" i="24"/>
  <c r="V79" i="24"/>
  <c r="N79" i="24"/>
  <c r="I79" i="24"/>
  <c r="AR78" i="24"/>
  <c r="AQ78" i="24"/>
  <c r="AP78" i="24"/>
  <c r="AO78" i="24"/>
  <c r="AM78" i="24"/>
  <c r="AL78" i="24"/>
  <c r="AK78" i="24"/>
  <c r="AJ78" i="24"/>
  <c r="AA78" i="24"/>
  <c r="V78" i="24"/>
  <c r="N78" i="24"/>
  <c r="I78" i="24"/>
  <c r="AE76" i="24"/>
  <c r="Z76" i="24"/>
  <c r="Y76" i="24"/>
  <c r="X76" i="24"/>
  <c r="W76" i="24"/>
  <c r="U76" i="24"/>
  <c r="T76" i="24"/>
  <c r="S76" i="24"/>
  <c r="R76" i="24"/>
  <c r="M76" i="24"/>
  <c r="L76" i="24"/>
  <c r="K76" i="24"/>
  <c r="J76" i="24"/>
  <c r="H76" i="24"/>
  <c r="G76" i="24"/>
  <c r="F76" i="24"/>
  <c r="E76" i="24"/>
  <c r="AR75" i="24"/>
  <c r="AQ75" i="24"/>
  <c r="AP75" i="24"/>
  <c r="AO75" i="24"/>
  <c r="AM75" i="24"/>
  <c r="AL75" i="24"/>
  <c r="AK75" i="24"/>
  <c r="AJ75" i="24"/>
  <c r="AA75" i="24"/>
  <c r="V75" i="24"/>
  <c r="N75" i="24"/>
  <c r="I75" i="24"/>
  <c r="AR74" i="24"/>
  <c r="AQ74" i="24"/>
  <c r="AP74" i="24"/>
  <c r="AO74" i="24"/>
  <c r="AM74" i="24"/>
  <c r="AL74" i="24"/>
  <c r="AK74" i="24"/>
  <c r="AJ74" i="24"/>
  <c r="AA74" i="24"/>
  <c r="V74" i="24"/>
  <c r="N74" i="24"/>
  <c r="I74" i="24"/>
  <c r="AR73" i="24"/>
  <c r="AQ73" i="24"/>
  <c r="AP73" i="24"/>
  <c r="AO73" i="24"/>
  <c r="AM73" i="24"/>
  <c r="AL73" i="24"/>
  <c r="AK73" i="24"/>
  <c r="AJ73" i="24"/>
  <c r="AA73" i="24"/>
  <c r="V73" i="24"/>
  <c r="N73" i="24"/>
  <c r="I73" i="24"/>
  <c r="AR72" i="24"/>
  <c r="AQ72" i="24"/>
  <c r="AP72" i="24"/>
  <c r="AO72" i="24"/>
  <c r="AM72" i="24"/>
  <c r="AL72" i="24"/>
  <c r="AK72" i="24"/>
  <c r="AJ72" i="24"/>
  <c r="AA72" i="24"/>
  <c r="V72" i="24"/>
  <c r="N72" i="24"/>
  <c r="I72" i="24"/>
  <c r="AR71" i="24"/>
  <c r="AQ71" i="24"/>
  <c r="AP71" i="24"/>
  <c r="AO71" i="24"/>
  <c r="AM71" i="24"/>
  <c r="AL71" i="24"/>
  <c r="AK71" i="24"/>
  <c r="AJ71" i="24"/>
  <c r="AA71" i="24"/>
  <c r="V71" i="24"/>
  <c r="N71" i="24"/>
  <c r="I71" i="24"/>
  <c r="AR70" i="24"/>
  <c r="AQ70" i="24"/>
  <c r="AP70" i="24"/>
  <c r="AO70" i="24"/>
  <c r="AM70" i="24"/>
  <c r="AL70" i="24"/>
  <c r="AK70" i="24"/>
  <c r="AJ70" i="24"/>
  <c r="AA70" i="24"/>
  <c r="V70" i="24"/>
  <c r="N70" i="24"/>
  <c r="I70" i="24"/>
  <c r="AR69" i="24"/>
  <c r="AQ69" i="24"/>
  <c r="AP69" i="24"/>
  <c r="AO69" i="24"/>
  <c r="AM69" i="24"/>
  <c r="AL69" i="24"/>
  <c r="AK69" i="24"/>
  <c r="AJ69" i="24"/>
  <c r="AA69" i="24"/>
  <c r="V69" i="24"/>
  <c r="N69" i="24"/>
  <c r="I69" i="24"/>
  <c r="AR68" i="24"/>
  <c r="AQ68" i="24"/>
  <c r="AP68" i="24"/>
  <c r="AO68" i="24"/>
  <c r="AM68" i="24"/>
  <c r="AL68" i="24"/>
  <c r="AK68" i="24"/>
  <c r="AJ68" i="24"/>
  <c r="AA68" i="24"/>
  <c r="V68" i="24"/>
  <c r="N68" i="24"/>
  <c r="I68" i="24"/>
  <c r="AR67" i="24"/>
  <c r="AQ67" i="24"/>
  <c r="AP67" i="24"/>
  <c r="AO67" i="24"/>
  <c r="AM67" i="24"/>
  <c r="AL67" i="24"/>
  <c r="AK67" i="24"/>
  <c r="AJ67" i="24"/>
  <c r="AA67" i="24"/>
  <c r="V67" i="24"/>
  <c r="N67" i="24"/>
  <c r="I67" i="24"/>
  <c r="AR66" i="24"/>
  <c r="AQ66" i="24"/>
  <c r="AP66" i="24"/>
  <c r="AO66" i="24"/>
  <c r="AM66" i="24"/>
  <c r="AL66" i="24"/>
  <c r="AK66" i="24"/>
  <c r="AJ66" i="24"/>
  <c r="AA66" i="24"/>
  <c r="V66" i="24"/>
  <c r="N66" i="24"/>
  <c r="I66" i="24"/>
  <c r="AR65" i="24"/>
  <c r="AQ65" i="24"/>
  <c r="AP65" i="24"/>
  <c r="AO65" i="24"/>
  <c r="AM65" i="24"/>
  <c r="AL65" i="24"/>
  <c r="AK65" i="24"/>
  <c r="AJ65" i="24"/>
  <c r="AA65" i="24"/>
  <c r="V65" i="24"/>
  <c r="N65" i="24"/>
  <c r="I65" i="24"/>
  <c r="AR64" i="24"/>
  <c r="AQ64" i="24"/>
  <c r="AP64" i="24"/>
  <c r="AO64" i="24"/>
  <c r="AM64" i="24"/>
  <c r="AL64" i="24"/>
  <c r="AK64" i="24"/>
  <c r="AJ64" i="24"/>
  <c r="AA64" i="24"/>
  <c r="V64" i="24"/>
  <c r="N64" i="24"/>
  <c r="I64" i="24"/>
  <c r="AE62" i="24"/>
  <c r="Z62" i="24"/>
  <c r="Y62" i="24"/>
  <c r="X62" i="24"/>
  <c r="W62" i="24"/>
  <c r="U62" i="24"/>
  <c r="T62" i="24"/>
  <c r="S62" i="24"/>
  <c r="R62" i="24"/>
  <c r="M62" i="24"/>
  <c r="L62" i="24"/>
  <c r="K62" i="24"/>
  <c r="J62" i="24"/>
  <c r="H62" i="24"/>
  <c r="G62" i="24"/>
  <c r="F62" i="24"/>
  <c r="E62" i="24"/>
  <c r="AR61" i="24"/>
  <c r="AQ61" i="24"/>
  <c r="AP61" i="24"/>
  <c r="AO61" i="24"/>
  <c r="AM61" i="24"/>
  <c r="AL61" i="24"/>
  <c r="AK61" i="24"/>
  <c r="AJ61" i="24"/>
  <c r="AA61" i="24"/>
  <c r="V61" i="24"/>
  <c r="N61" i="24"/>
  <c r="I61" i="24"/>
  <c r="AR60" i="24"/>
  <c r="AQ60" i="24"/>
  <c r="AP60" i="24"/>
  <c r="AO60" i="24"/>
  <c r="AM60" i="24"/>
  <c r="AL60" i="24"/>
  <c r="AK60" i="24"/>
  <c r="AJ60" i="24"/>
  <c r="AA60" i="24"/>
  <c r="V60" i="24"/>
  <c r="N60" i="24"/>
  <c r="I60" i="24"/>
  <c r="AR59" i="24"/>
  <c r="AQ59" i="24"/>
  <c r="AP59" i="24"/>
  <c r="AO59" i="24"/>
  <c r="AM59" i="24"/>
  <c r="AL59" i="24"/>
  <c r="AK59" i="24"/>
  <c r="AJ59" i="24"/>
  <c r="AA59" i="24"/>
  <c r="V59" i="24"/>
  <c r="N59" i="24"/>
  <c r="I59" i="24"/>
  <c r="AR58" i="24"/>
  <c r="AQ58" i="24"/>
  <c r="AP58" i="24"/>
  <c r="AO58" i="24"/>
  <c r="AM58" i="24"/>
  <c r="AL58" i="24"/>
  <c r="AK58" i="24"/>
  <c r="AJ58" i="24"/>
  <c r="AA58" i="24"/>
  <c r="V58" i="24"/>
  <c r="N58" i="24"/>
  <c r="I58" i="24"/>
  <c r="AR57" i="24"/>
  <c r="AQ57" i="24"/>
  <c r="AP57" i="24"/>
  <c r="AO57" i="24"/>
  <c r="AM57" i="24"/>
  <c r="AL57" i="24"/>
  <c r="AK57" i="24"/>
  <c r="AJ57" i="24"/>
  <c r="AA57" i="24"/>
  <c r="V57" i="24"/>
  <c r="N57" i="24"/>
  <c r="I57" i="24"/>
  <c r="AR56" i="24"/>
  <c r="AQ56" i="24"/>
  <c r="AP56" i="24"/>
  <c r="AO56" i="24"/>
  <c r="AM56" i="24"/>
  <c r="AL56" i="24"/>
  <c r="AK56" i="24"/>
  <c r="AJ56" i="24"/>
  <c r="AA56" i="24"/>
  <c r="V56" i="24"/>
  <c r="N56" i="24"/>
  <c r="I56" i="24"/>
  <c r="AR55" i="24"/>
  <c r="AQ55" i="24"/>
  <c r="AP55" i="24"/>
  <c r="AO55" i="24"/>
  <c r="AM55" i="24"/>
  <c r="AL55" i="24"/>
  <c r="AK55" i="24"/>
  <c r="AJ55" i="24"/>
  <c r="AA55" i="24"/>
  <c r="V55" i="24"/>
  <c r="N55" i="24"/>
  <c r="I55" i="24"/>
  <c r="AR54" i="24"/>
  <c r="AQ54" i="24"/>
  <c r="AP54" i="24"/>
  <c r="AO54" i="24"/>
  <c r="AM54" i="24"/>
  <c r="AL54" i="24"/>
  <c r="AK54" i="24"/>
  <c r="AJ54" i="24"/>
  <c r="AA54" i="24"/>
  <c r="V54" i="24"/>
  <c r="N54" i="24"/>
  <c r="I54" i="24"/>
  <c r="AR53" i="24"/>
  <c r="AQ53" i="24"/>
  <c r="AP53" i="24"/>
  <c r="AO53" i="24"/>
  <c r="AM53" i="24"/>
  <c r="AL53" i="24"/>
  <c r="AK53" i="24"/>
  <c r="AJ53" i="24"/>
  <c r="AA53" i="24"/>
  <c r="V53" i="24"/>
  <c r="N53" i="24"/>
  <c r="I53" i="24"/>
  <c r="AR52" i="24"/>
  <c r="AQ52" i="24"/>
  <c r="AP52" i="24"/>
  <c r="AO52" i="24"/>
  <c r="AM52" i="24"/>
  <c r="AL52" i="24"/>
  <c r="AK52" i="24"/>
  <c r="AJ52" i="24"/>
  <c r="AA52" i="24"/>
  <c r="V52" i="24"/>
  <c r="N52" i="24"/>
  <c r="I52" i="24"/>
  <c r="AR51" i="24"/>
  <c r="AQ51" i="24"/>
  <c r="AP51" i="24"/>
  <c r="AO51" i="24"/>
  <c r="AM51" i="24"/>
  <c r="AL51" i="24"/>
  <c r="AK51" i="24"/>
  <c r="AJ51" i="24"/>
  <c r="AA51" i="24"/>
  <c r="V51" i="24"/>
  <c r="N51" i="24"/>
  <c r="I51" i="24"/>
  <c r="AR50" i="24"/>
  <c r="AQ50" i="24"/>
  <c r="AP50" i="24"/>
  <c r="AO50" i="24"/>
  <c r="AM50" i="24"/>
  <c r="AL50" i="24"/>
  <c r="AK50" i="24"/>
  <c r="AJ50" i="24"/>
  <c r="AA50" i="24"/>
  <c r="V50" i="24"/>
  <c r="N50" i="24"/>
  <c r="I50" i="24"/>
  <c r="AE48" i="24"/>
  <c r="Z48" i="24"/>
  <c r="Y48" i="24"/>
  <c r="X48" i="24"/>
  <c r="W48" i="24"/>
  <c r="U48" i="24"/>
  <c r="T48" i="24"/>
  <c r="S48" i="24"/>
  <c r="R48" i="24"/>
  <c r="M48" i="24"/>
  <c r="L48" i="24"/>
  <c r="K48" i="24"/>
  <c r="J48" i="24"/>
  <c r="H48" i="24"/>
  <c r="G48" i="24"/>
  <c r="F48" i="24"/>
  <c r="E48" i="24"/>
  <c r="AR47" i="24"/>
  <c r="AQ47" i="24"/>
  <c r="AP47" i="24"/>
  <c r="AO47" i="24"/>
  <c r="AM47" i="24"/>
  <c r="AL47" i="24"/>
  <c r="AK47" i="24"/>
  <c r="AJ47" i="24"/>
  <c r="AA47" i="24"/>
  <c r="V47" i="24"/>
  <c r="N47" i="24"/>
  <c r="I47" i="24"/>
  <c r="AR46" i="24"/>
  <c r="AQ46" i="24"/>
  <c r="AP46" i="24"/>
  <c r="AO46" i="24"/>
  <c r="AM46" i="24"/>
  <c r="AL46" i="24"/>
  <c r="AK46" i="24"/>
  <c r="AJ46" i="24"/>
  <c r="AA46" i="24"/>
  <c r="V46" i="24"/>
  <c r="N46" i="24"/>
  <c r="I46" i="24"/>
  <c r="AR45" i="24"/>
  <c r="AQ45" i="24"/>
  <c r="AP45" i="24"/>
  <c r="AO45" i="24"/>
  <c r="AM45" i="24"/>
  <c r="AL45" i="24"/>
  <c r="AK45" i="24"/>
  <c r="AJ45" i="24"/>
  <c r="AA45" i="24"/>
  <c r="V45" i="24"/>
  <c r="N45" i="24"/>
  <c r="I45" i="24"/>
  <c r="AR44" i="24"/>
  <c r="AQ44" i="24"/>
  <c r="AP44" i="24"/>
  <c r="AO44" i="24"/>
  <c r="AM44" i="24"/>
  <c r="AL44" i="24"/>
  <c r="AK44" i="24"/>
  <c r="AJ44" i="24"/>
  <c r="AA44" i="24"/>
  <c r="V44" i="24"/>
  <c r="N44" i="24"/>
  <c r="I44" i="24"/>
  <c r="AR43" i="24"/>
  <c r="AQ43" i="24"/>
  <c r="AP43" i="24"/>
  <c r="AO43" i="24"/>
  <c r="AM43" i="24"/>
  <c r="AL43" i="24"/>
  <c r="AK43" i="24"/>
  <c r="AJ43" i="24"/>
  <c r="AA43" i="24"/>
  <c r="V43" i="24"/>
  <c r="N43" i="24"/>
  <c r="I43" i="24"/>
  <c r="AR42" i="24"/>
  <c r="AQ42" i="24"/>
  <c r="AP42" i="24"/>
  <c r="AO42" i="24"/>
  <c r="AM42" i="24"/>
  <c r="AL42" i="24"/>
  <c r="AK42" i="24"/>
  <c r="AJ42" i="24"/>
  <c r="AA42" i="24"/>
  <c r="V42" i="24"/>
  <c r="N42" i="24"/>
  <c r="I42" i="24"/>
  <c r="AR41" i="24"/>
  <c r="AQ41" i="24"/>
  <c r="AP41" i="24"/>
  <c r="AO41" i="24"/>
  <c r="AM41" i="24"/>
  <c r="AL41" i="24"/>
  <c r="AK41" i="24"/>
  <c r="AJ41" i="24"/>
  <c r="AA41" i="24"/>
  <c r="V41" i="24"/>
  <c r="N41" i="24"/>
  <c r="I41" i="24"/>
  <c r="AR40" i="24"/>
  <c r="AQ40" i="24"/>
  <c r="AP40" i="24"/>
  <c r="AO40" i="24"/>
  <c r="AM40" i="24"/>
  <c r="AL40" i="24"/>
  <c r="AK40" i="24"/>
  <c r="AJ40" i="24"/>
  <c r="AA40" i="24"/>
  <c r="V40" i="24"/>
  <c r="N40" i="24"/>
  <c r="I40" i="24"/>
  <c r="AR39" i="24"/>
  <c r="AQ39" i="24"/>
  <c r="AP39" i="24"/>
  <c r="AO39" i="24"/>
  <c r="AM39" i="24"/>
  <c r="AL39" i="24"/>
  <c r="AK39" i="24"/>
  <c r="AJ39" i="24"/>
  <c r="AA39" i="24"/>
  <c r="V39" i="24"/>
  <c r="N39" i="24"/>
  <c r="I39" i="24"/>
  <c r="AR38" i="24"/>
  <c r="AQ38" i="24"/>
  <c r="AP38" i="24"/>
  <c r="AO38" i="24"/>
  <c r="AM38" i="24"/>
  <c r="AL38" i="24"/>
  <c r="AK38" i="24"/>
  <c r="AJ38" i="24"/>
  <c r="AA38" i="24"/>
  <c r="V38" i="24"/>
  <c r="N38" i="24"/>
  <c r="I38" i="24"/>
  <c r="AR37" i="24"/>
  <c r="AQ37" i="24"/>
  <c r="AP37" i="24"/>
  <c r="AO37" i="24"/>
  <c r="AM37" i="24"/>
  <c r="AL37" i="24"/>
  <c r="AK37" i="24"/>
  <c r="AJ37" i="24"/>
  <c r="AA37" i="24"/>
  <c r="V37" i="24"/>
  <c r="N37" i="24"/>
  <c r="I37" i="24"/>
  <c r="AR36" i="24"/>
  <c r="AQ36" i="24"/>
  <c r="AP36" i="24"/>
  <c r="AO36" i="24"/>
  <c r="AM36" i="24"/>
  <c r="AL36" i="24"/>
  <c r="AK36" i="24"/>
  <c r="AJ36" i="24"/>
  <c r="AA36" i="24"/>
  <c r="V36" i="24"/>
  <c r="N36" i="24"/>
  <c r="I36" i="24"/>
  <c r="AE34" i="24"/>
  <c r="Z34" i="24"/>
  <c r="Y34" i="24"/>
  <c r="X34" i="24"/>
  <c r="W34" i="24"/>
  <c r="U34" i="24"/>
  <c r="T34" i="24"/>
  <c r="S34" i="24"/>
  <c r="R34" i="24"/>
  <c r="M34" i="24"/>
  <c r="L34" i="24"/>
  <c r="K34" i="24"/>
  <c r="J34" i="24"/>
  <c r="H34" i="24"/>
  <c r="G34" i="24"/>
  <c r="F34" i="24"/>
  <c r="E34" i="24"/>
  <c r="AR33" i="24"/>
  <c r="AQ33" i="24"/>
  <c r="AP33" i="24"/>
  <c r="AO33" i="24"/>
  <c r="AM33" i="24"/>
  <c r="AL33" i="24"/>
  <c r="AK33" i="24"/>
  <c r="AJ33" i="24"/>
  <c r="AA33" i="24"/>
  <c r="V33" i="24"/>
  <c r="N33" i="24"/>
  <c r="I33" i="24"/>
  <c r="AR32" i="24"/>
  <c r="AQ32" i="24"/>
  <c r="AP32" i="24"/>
  <c r="AO32" i="24"/>
  <c r="AM32" i="24"/>
  <c r="AL32" i="24"/>
  <c r="AK32" i="24"/>
  <c r="AJ32" i="24"/>
  <c r="AA32" i="24"/>
  <c r="V32" i="24"/>
  <c r="N32" i="24"/>
  <c r="I32" i="24"/>
  <c r="AR31" i="24"/>
  <c r="AQ31" i="24"/>
  <c r="AP31" i="24"/>
  <c r="AO31" i="24"/>
  <c r="AM31" i="24"/>
  <c r="AL31" i="24"/>
  <c r="AK31" i="24"/>
  <c r="AJ31" i="24"/>
  <c r="AA31" i="24"/>
  <c r="V31" i="24"/>
  <c r="N31" i="24"/>
  <c r="I31" i="24"/>
  <c r="AR30" i="24"/>
  <c r="AQ30" i="24"/>
  <c r="AP30" i="24"/>
  <c r="AO30" i="24"/>
  <c r="AM30" i="24"/>
  <c r="AL30" i="24"/>
  <c r="AK30" i="24"/>
  <c r="AJ30" i="24"/>
  <c r="AA30" i="24"/>
  <c r="V30" i="24"/>
  <c r="N30" i="24"/>
  <c r="I30" i="24"/>
  <c r="AR29" i="24"/>
  <c r="AQ29" i="24"/>
  <c r="AP29" i="24"/>
  <c r="AO29" i="24"/>
  <c r="AM29" i="24"/>
  <c r="AL29" i="24"/>
  <c r="AK29" i="24"/>
  <c r="AJ29" i="24"/>
  <c r="AA29" i="24"/>
  <c r="V29" i="24"/>
  <c r="N29" i="24"/>
  <c r="I29" i="24"/>
  <c r="AR28" i="24"/>
  <c r="AQ28" i="24"/>
  <c r="AP28" i="24"/>
  <c r="AO28" i="24"/>
  <c r="AM28" i="24"/>
  <c r="AL28" i="24"/>
  <c r="AK28" i="24"/>
  <c r="AJ28" i="24"/>
  <c r="AA28" i="24"/>
  <c r="V28" i="24"/>
  <c r="N28" i="24"/>
  <c r="I28" i="24"/>
  <c r="AR27" i="24"/>
  <c r="AQ27" i="24"/>
  <c r="AP27" i="24"/>
  <c r="AO27" i="24"/>
  <c r="AM27" i="24"/>
  <c r="AL27" i="24"/>
  <c r="AK27" i="24"/>
  <c r="AJ27" i="24"/>
  <c r="AA27" i="24"/>
  <c r="V27" i="24"/>
  <c r="N27" i="24"/>
  <c r="I27" i="24"/>
  <c r="AR26" i="24"/>
  <c r="AQ26" i="24"/>
  <c r="AP26" i="24"/>
  <c r="AO26" i="24"/>
  <c r="AM26" i="24"/>
  <c r="AL26" i="24"/>
  <c r="AK26" i="24"/>
  <c r="AJ26" i="24"/>
  <c r="AA26" i="24"/>
  <c r="V26" i="24"/>
  <c r="N26" i="24"/>
  <c r="I26" i="24"/>
  <c r="AR25" i="24"/>
  <c r="AQ25" i="24"/>
  <c r="AP25" i="24"/>
  <c r="AO25" i="24"/>
  <c r="AM25" i="24"/>
  <c r="AL25" i="24"/>
  <c r="AK25" i="24"/>
  <c r="AJ25" i="24"/>
  <c r="AA25" i="24"/>
  <c r="V25" i="24"/>
  <c r="N25" i="24"/>
  <c r="I25" i="24"/>
  <c r="AR24" i="24"/>
  <c r="AQ24" i="24"/>
  <c r="AP24" i="24"/>
  <c r="AO24" i="24"/>
  <c r="AM24" i="24"/>
  <c r="AL24" i="24"/>
  <c r="AK24" i="24"/>
  <c r="AJ24" i="24"/>
  <c r="AA24" i="24"/>
  <c r="V24" i="24"/>
  <c r="N24" i="24"/>
  <c r="I24" i="24"/>
  <c r="AR23" i="24"/>
  <c r="AQ23" i="24"/>
  <c r="AP23" i="24"/>
  <c r="AO23" i="24"/>
  <c r="AM23" i="24"/>
  <c r="AL23" i="24"/>
  <c r="AK23" i="24"/>
  <c r="AJ23" i="24"/>
  <c r="AA23" i="24"/>
  <c r="V23" i="24"/>
  <c r="N23" i="24"/>
  <c r="I23" i="24"/>
  <c r="AR22" i="24"/>
  <c r="AQ22" i="24"/>
  <c r="AP22" i="24"/>
  <c r="AO22" i="24"/>
  <c r="AM22" i="24"/>
  <c r="AL22" i="24"/>
  <c r="AK22" i="24"/>
  <c r="AJ22" i="24"/>
  <c r="AA22" i="24"/>
  <c r="V22" i="24"/>
  <c r="N22" i="24"/>
  <c r="I22" i="24"/>
  <c r="AE19" i="24"/>
  <c r="AG19" i="24" s="1"/>
  <c r="Z19" i="24"/>
  <c r="Y19" i="24"/>
  <c r="X19" i="24"/>
  <c r="W19" i="24"/>
  <c r="U19" i="24"/>
  <c r="T19" i="24"/>
  <c r="S19" i="24"/>
  <c r="R19" i="24"/>
  <c r="M19" i="24"/>
  <c r="L19" i="24"/>
  <c r="K19" i="24"/>
  <c r="J19" i="24"/>
  <c r="H19" i="24"/>
  <c r="G19" i="24"/>
  <c r="F19" i="24"/>
  <c r="E19" i="24"/>
  <c r="AE18" i="24"/>
  <c r="AG18" i="24" s="1"/>
  <c r="Z18" i="24"/>
  <c r="Y18" i="24"/>
  <c r="X18" i="24"/>
  <c r="W18" i="24"/>
  <c r="U18" i="24"/>
  <c r="T18" i="24"/>
  <c r="S18" i="24"/>
  <c r="R18" i="24"/>
  <c r="M18" i="24"/>
  <c r="L18" i="24"/>
  <c r="K18" i="24"/>
  <c r="J18" i="24"/>
  <c r="E23" i="47" s="1"/>
  <c r="H18" i="24"/>
  <c r="G18" i="24"/>
  <c r="F18" i="24"/>
  <c r="E18" i="24"/>
  <c r="AE17" i="24"/>
  <c r="AG17" i="24" s="1"/>
  <c r="Z17" i="24"/>
  <c r="Y17" i="24"/>
  <c r="X17" i="24"/>
  <c r="W17" i="24"/>
  <c r="U17" i="24"/>
  <c r="T17" i="24"/>
  <c r="S17" i="24"/>
  <c r="R17" i="24"/>
  <c r="M17" i="24"/>
  <c r="L17" i="24"/>
  <c r="K17" i="24"/>
  <c r="J17" i="24"/>
  <c r="H17" i="24"/>
  <c r="G17" i="24"/>
  <c r="F17" i="24"/>
  <c r="E17" i="24"/>
  <c r="AE16" i="24"/>
  <c r="AG16" i="24" s="1"/>
  <c r="Z16" i="24"/>
  <c r="Y16" i="24"/>
  <c r="X16" i="24"/>
  <c r="W16" i="24"/>
  <c r="U16" i="24"/>
  <c r="T16" i="24"/>
  <c r="S16" i="24"/>
  <c r="R16" i="24"/>
  <c r="M16" i="24"/>
  <c r="L16" i="24"/>
  <c r="K16" i="24"/>
  <c r="J16" i="24"/>
  <c r="H16" i="24"/>
  <c r="G16" i="24"/>
  <c r="F16" i="24"/>
  <c r="E16" i="24"/>
  <c r="AE15" i="24"/>
  <c r="AG15" i="24" s="1"/>
  <c r="Z15" i="24"/>
  <c r="Y15" i="24"/>
  <c r="X15" i="24"/>
  <c r="W15" i="24"/>
  <c r="U15" i="24"/>
  <c r="T15" i="24"/>
  <c r="S15" i="24"/>
  <c r="R15" i="24"/>
  <c r="M15" i="24"/>
  <c r="L15" i="24"/>
  <c r="K15" i="24"/>
  <c r="J15" i="24"/>
  <c r="H15" i="24"/>
  <c r="G15" i="24"/>
  <c r="F15" i="24"/>
  <c r="E15" i="24"/>
  <c r="AE14" i="24"/>
  <c r="AG14" i="24" s="1"/>
  <c r="Z14" i="24"/>
  <c r="Y14" i="24"/>
  <c r="X14" i="24"/>
  <c r="W14" i="24"/>
  <c r="U14" i="24"/>
  <c r="T14" i="24"/>
  <c r="S14" i="24"/>
  <c r="R14" i="24"/>
  <c r="M14" i="24"/>
  <c r="L14" i="24"/>
  <c r="K14" i="24"/>
  <c r="J14" i="24"/>
  <c r="H14" i="24"/>
  <c r="G14" i="24"/>
  <c r="F14" i="24"/>
  <c r="E14" i="24"/>
  <c r="AE13" i="24"/>
  <c r="AG13" i="24" s="1"/>
  <c r="Z13" i="24"/>
  <c r="Y13" i="24"/>
  <c r="X13" i="24"/>
  <c r="W13" i="24"/>
  <c r="U13" i="24"/>
  <c r="T13" i="24"/>
  <c r="S13" i="24"/>
  <c r="R13" i="24"/>
  <c r="M13" i="24"/>
  <c r="L13" i="24"/>
  <c r="K13" i="24"/>
  <c r="J13" i="24"/>
  <c r="H13" i="24"/>
  <c r="G13" i="24"/>
  <c r="F13" i="24"/>
  <c r="E13" i="24"/>
  <c r="AE12" i="24"/>
  <c r="AG12" i="24" s="1"/>
  <c r="Z12" i="24"/>
  <c r="Y12" i="24"/>
  <c r="X12" i="24"/>
  <c r="W12" i="24"/>
  <c r="U12" i="24"/>
  <c r="T12" i="24"/>
  <c r="S12" i="24"/>
  <c r="R12" i="24"/>
  <c r="M12" i="24"/>
  <c r="L12" i="24"/>
  <c r="K12" i="24"/>
  <c r="J12" i="24"/>
  <c r="H12" i="24"/>
  <c r="G12" i="24"/>
  <c r="F12" i="24"/>
  <c r="E12" i="24"/>
  <c r="AE11" i="24"/>
  <c r="AG11" i="24" s="1"/>
  <c r="Z11" i="24"/>
  <c r="Y11" i="24"/>
  <c r="X11" i="24"/>
  <c r="W11" i="24"/>
  <c r="U11" i="24"/>
  <c r="T11" i="24"/>
  <c r="S11" i="24"/>
  <c r="R11" i="24"/>
  <c r="M11" i="24"/>
  <c r="L11" i="24"/>
  <c r="K11" i="24"/>
  <c r="J11" i="24"/>
  <c r="H11" i="24"/>
  <c r="G11" i="24"/>
  <c r="F11" i="24"/>
  <c r="E11" i="24"/>
  <c r="AE10" i="24"/>
  <c r="AG10" i="24" s="1"/>
  <c r="Z10" i="24"/>
  <c r="Y10" i="24"/>
  <c r="X10" i="24"/>
  <c r="W10" i="24"/>
  <c r="U10" i="24"/>
  <c r="T10" i="24"/>
  <c r="S10" i="24"/>
  <c r="R10" i="24"/>
  <c r="M10" i="24"/>
  <c r="L10" i="24"/>
  <c r="K10" i="24"/>
  <c r="J10" i="24"/>
  <c r="H10" i="24"/>
  <c r="G10" i="24"/>
  <c r="F10" i="24"/>
  <c r="E10" i="24"/>
  <c r="AE9" i="24"/>
  <c r="AG9" i="24" s="1"/>
  <c r="Z9" i="24"/>
  <c r="Y9" i="24"/>
  <c r="X9" i="24"/>
  <c r="W9" i="24"/>
  <c r="U9" i="24"/>
  <c r="T9" i="24"/>
  <c r="S9" i="24"/>
  <c r="R9" i="24"/>
  <c r="M9" i="24"/>
  <c r="L9" i="24"/>
  <c r="K9" i="24"/>
  <c r="J9" i="24"/>
  <c r="H9" i="24"/>
  <c r="G9" i="24"/>
  <c r="F9" i="24"/>
  <c r="E9" i="24"/>
  <c r="AE8" i="24"/>
  <c r="AG8" i="24" s="1"/>
  <c r="Z8" i="24"/>
  <c r="Y8" i="24"/>
  <c r="X8" i="24"/>
  <c r="W8" i="24"/>
  <c r="U8" i="24"/>
  <c r="T8" i="24"/>
  <c r="S8" i="24"/>
  <c r="R8" i="24"/>
  <c r="M8" i="24"/>
  <c r="L8" i="24"/>
  <c r="K8" i="24"/>
  <c r="J8" i="24"/>
  <c r="H8" i="24"/>
  <c r="G8" i="24"/>
  <c r="F8" i="24"/>
  <c r="E8" i="24"/>
  <c r="D2" i="24"/>
  <c r="AQ6" i="39" l="1"/>
  <c r="CP7" i="47" s="1"/>
  <c r="AQ6" i="40"/>
  <c r="CQ7" i="47" s="1"/>
  <c r="E12" i="47"/>
  <c r="K12" i="47" s="1"/>
  <c r="E54" i="47"/>
  <c r="E53" i="47"/>
  <c r="E52" i="47"/>
  <c r="J52" i="47" s="1"/>
  <c r="E51" i="47"/>
  <c r="J51" i="47" s="1"/>
  <c r="E48" i="47"/>
  <c r="K48" i="47" s="1"/>
  <c r="E46" i="47"/>
  <c r="E25" i="47"/>
  <c r="J25" i="47" s="1"/>
  <c r="E24" i="47"/>
  <c r="E20" i="47"/>
  <c r="E18" i="47"/>
  <c r="J18" i="47" s="1"/>
  <c r="E41" i="47"/>
  <c r="L41" i="47" s="1"/>
  <c r="E7" i="47"/>
  <c r="L7" i="47" s="1"/>
  <c r="E38" i="47"/>
  <c r="K38" i="47" s="1"/>
  <c r="E40" i="47"/>
  <c r="J40" i="47" s="1"/>
  <c r="E39" i="47"/>
  <c r="J39" i="47" s="1"/>
  <c r="E35" i="47"/>
  <c r="J35" i="47" s="1"/>
  <c r="E33" i="47"/>
  <c r="K33" i="47" s="1"/>
  <c r="K23" i="47"/>
  <c r="L23" i="47"/>
  <c r="E13" i="47"/>
  <c r="K24" i="47"/>
  <c r="L24" i="47"/>
  <c r="E10" i="47"/>
  <c r="J10" i="47" s="1"/>
  <c r="E11" i="47"/>
  <c r="E26" i="47"/>
  <c r="J24" i="47"/>
  <c r="J23" i="47"/>
  <c r="K18" i="47"/>
  <c r="L18" i="47"/>
  <c r="E4" i="47"/>
  <c r="E19" i="47"/>
  <c r="E5" i="47"/>
  <c r="K20" i="47"/>
  <c r="L20" i="47"/>
  <c r="E6" i="47"/>
  <c r="E17" i="47"/>
  <c r="J17" i="47" s="1"/>
  <c r="J20" i="47"/>
  <c r="AQ6" i="30"/>
  <c r="CG7" i="47" s="1"/>
  <c r="AD27" i="47"/>
  <c r="BY27" i="47"/>
  <c r="AD54" i="47"/>
  <c r="BX7" i="47"/>
  <c r="BX48" i="47"/>
  <c r="BX21" i="47"/>
  <c r="BL44" i="47"/>
  <c r="Z44" i="47" s="1"/>
  <c r="BL17" i="47"/>
  <c r="BX44" i="47"/>
  <c r="BX17" i="47"/>
  <c r="BL49" i="47"/>
  <c r="Z49" i="47" s="1"/>
  <c r="BL22" i="47"/>
  <c r="Z22" i="47" s="1"/>
  <c r="BL43" i="47"/>
  <c r="Z43" i="47" s="1"/>
  <c r="BL9" i="47"/>
  <c r="BL16" i="47"/>
  <c r="Z16" i="47" s="1"/>
  <c r="BL52" i="47"/>
  <c r="Z52" i="47" s="1"/>
  <c r="BL36" i="47"/>
  <c r="Z36" i="47" s="1"/>
  <c r="BL37" i="47"/>
  <c r="Z37" i="47" s="1"/>
  <c r="BL10" i="47"/>
  <c r="BY54" i="47"/>
  <c r="AG54" i="47"/>
  <c r="AQ6" i="38"/>
  <c r="CO7" i="47" s="1"/>
  <c r="AG27" i="47"/>
  <c r="BL45" i="47"/>
  <c r="Z45" i="47" s="1"/>
  <c r="BL18" i="47"/>
  <c r="Z18" i="47" s="1"/>
  <c r="BX45" i="47"/>
  <c r="BX18" i="47"/>
  <c r="BX49" i="47"/>
  <c r="BX22" i="47"/>
  <c r="BL26" i="47"/>
  <c r="Z26" i="47" s="1"/>
  <c r="CP73" i="47" s="1"/>
  <c r="BL40" i="47"/>
  <c r="Z40" i="47" s="1"/>
  <c r="BL41" i="47"/>
  <c r="Z41" i="47" s="1"/>
  <c r="BL53" i="47"/>
  <c r="Z53" i="47" s="1"/>
  <c r="BL20" i="47"/>
  <c r="Z20" i="47" s="1"/>
  <c r="BL47" i="47"/>
  <c r="Z47" i="47" s="1"/>
  <c r="BL14" i="47"/>
  <c r="BL13" i="47"/>
  <c r="Z13" i="47" s="1"/>
  <c r="BL50" i="47"/>
  <c r="Z50" i="47" s="1"/>
  <c r="BL23" i="47"/>
  <c r="BL34" i="47"/>
  <c r="Z34" i="47" s="1"/>
  <c r="BL7" i="47"/>
  <c r="Z7" i="47" s="1"/>
  <c r="BL42" i="47"/>
  <c r="Z42" i="47" s="1"/>
  <c r="BL8" i="47"/>
  <c r="BL35" i="47"/>
  <c r="Z35" i="47" s="1"/>
  <c r="BL15" i="47"/>
  <c r="Z15" i="47" s="1"/>
  <c r="BX34" i="47"/>
  <c r="BX36" i="47"/>
  <c r="BX9" i="47"/>
  <c r="BX25" i="47"/>
  <c r="BX43" i="47"/>
  <c r="BX37" i="47"/>
  <c r="BX52" i="47"/>
  <c r="BX16" i="47"/>
  <c r="BX10" i="47"/>
  <c r="BX53" i="47"/>
  <c r="BX47" i="47"/>
  <c r="BX41" i="47"/>
  <c r="BX40" i="47"/>
  <c r="BX13" i="47"/>
  <c r="BX20" i="47"/>
  <c r="BX26" i="47"/>
  <c r="BX14" i="47"/>
  <c r="BL21" i="47"/>
  <c r="BL48" i="47"/>
  <c r="Z48" i="47" s="1"/>
  <c r="K40" i="47"/>
  <c r="E55" i="47"/>
  <c r="K51" i="47"/>
  <c r="L51" i="47"/>
  <c r="K41" i="47"/>
  <c r="J41" i="47"/>
  <c r="K52" i="47"/>
  <c r="L52" i="47"/>
  <c r="K53" i="47"/>
  <c r="L53" i="47"/>
  <c r="J53" i="47"/>
  <c r="K54" i="47"/>
  <c r="L54" i="47"/>
  <c r="J54" i="47"/>
  <c r="E32" i="47"/>
  <c r="E47" i="47"/>
  <c r="E34" i="47"/>
  <c r="E45" i="47"/>
  <c r="K46" i="47"/>
  <c r="L46" i="47"/>
  <c r="J46" i="47"/>
  <c r="Z24" i="47"/>
  <c r="Z12" i="47"/>
  <c r="Z19" i="47"/>
  <c r="Z11" i="47"/>
  <c r="AQ6" i="37"/>
  <c r="CN7" i="47" s="1"/>
  <c r="AQ6" i="31"/>
  <c r="CH7" i="47" s="1"/>
  <c r="AQ17" i="35"/>
  <c r="CL60" i="47" s="1"/>
  <c r="AQ17" i="31"/>
  <c r="CH60" i="47" s="1"/>
  <c r="AQ17" i="34"/>
  <c r="CK60" i="47" s="1"/>
  <c r="AQ6" i="34"/>
  <c r="CK7" i="47" s="1"/>
  <c r="AQ6" i="33"/>
  <c r="CJ7" i="47" s="1"/>
  <c r="AQ6" i="32"/>
  <c r="CI7" i="47" s="1"/>
  <c r="AQ6" i="36"/>
  <c r="CM7" i="47" s="1"/>
  <c r="AQ17" i="32"/>
  <c r="CI60" i="47" s="1"/>
  <c r="AQ17" i="36"/>
  <c r="CM60" i="47" s="1"/>
  <c r="AQ17" i="33"/>
  <c r="CJ60" i="47" s="1"/>
  <c r="AQ17" i="38"/>
  <c r="CO60" i="47" s="1"/>
  <c r="AQ6" i="35"/>
  <c r="CL7" i="47" s="1"/>
  <c r="AQ17" i="37"/>
  <c r="CN60" i="47" s="1"/>
  <c r="AQ17" i="30"/>
  <c r="CG60" i="47" s="1"/>
  <c r="BA70" i="29"/>
  <c r="BB70" i="29" s="1"/>
  <c r="I12" i="47"/>
  <c r="BA71" i="29"/>
  <c r="BB71" i="29" s="1"/>
  <c r="I13" i="47"/>
  <c r="BA69" i="29"/>
  <c r="BB69" i="29" s="1"/>
  <c r="I11" i="47"/>
  <c r="BA67" i="29"/>
  <c r="I7" i="47"/>
  <c r="BA66" i="29"/>
  <c r="I6" i="47"/>
  <c r="BA64" i="29"/>
  <c r="I4" i="47"/>
  <c r="BA65" i="29"/>
  <c r="I5" i="47"/>
  <c r="AG20" i="24"/>
  <c r="AB45" i="24"/>
  <c r="AP19" i="24"/>
  <c r="AJ8" i="24"/>
  <c r="AJ17" i="24"/>
  <c r="AJ18" i="24"/>
  <c r="AJ9" i="24"/>
  <c r="O58" i="24"/>
  <c r="O59" i="24"/>
  <c r="AB64" i="24"/>
  <c r="AB69" i="24"/>
  <c r="AB72" i="24"/>
  <c r="AB88" i="24"/>
  <c r="V48" i="24"/>
  <c r="I27" i="40"/>
  <c r="M27" i="40"/>
  <c r="J27" i="40"/>
  <c r="F60" i="40"/>
  <c r="H27" i="40"/>
  <c r="AQ27" i="40" s="1"/>
  <c r="CQ24" i="47" s="1"/>
  <c r="CR24" i="47" s="1"/>
  <c r="CX24" i="47" s="1"/>
  <c r="K27" i="40"/>
  <c r="L27" i="40"/>
  <c r="T11" i="22"/>
  <c r="W11" i="22"/>
  <c r="V37" i="22"/>
  <c r="AP17" i="24"/>
  <c r="AB39" i="24"/>
  <c r="AB42" i="24"/>
  <c r="AQ8" i="24"/>
  <c r="AP15" i="24"/>
  <c r="AP18" i="24"/>
  <c r="AL15" i="24"/>
  <c r="AL16" i="24"/>
  <c r="O67" i="24"/>
  <c r="AP8" i="24"/>
  <c r="AM19" i="24"/>
  <c r="AB81" i="24"/>
  <c r="AB82" i="24"/>
  <c r="AB83" i="24"/>
  <c r="AB85" i="24"/>
  <c r="AB89" i="24"/>
  <c r="O84" i="24"/>
  <c r="AS83" i="24"/>
  <c r="AS84" i="24"/>
  <c r="AN84" i="24"/>
  <c r="AN85" i="24"/>
  <c r="AB79" i="24"/>
  <c r="AB84" i="24"/>
  <c r="AB87" i="24"/>
  <c r="O82" i="24"/>
  <c r="AB66" i="24"/>
  <c r="AB67" i="24"/>
  <c r="AB68" i="24"/>
  <c r="AB75" i="24"/>
  <c r="AB73" i="24"/>
  <c r="AS68" i="24"/>
  <c r="O69" i="24"/>
  <c r="AS69" i="24"/>
  <c r="O70" i="24"/>
  <c r="AS70" i="24"/>
  <c r="O75" i="24"/>
  <c r="AK15" i="24"/>
  <c r="AN69" i="24"/>
  <c r="AN70" i="24"/>
  <c r="AT70" i="24" s="1"/>
  <c r="AA62" i="24"/>
  <c r="AB52" i="24"/>
  <c r="AB53" i="24"/>
  <c r="AB55" i="24"/>
  <c r="AB57" i="24"/>
  <c r="AL10" i="24"/>
  <c r="AL11" i="24"/>
  <c r="AL14" i="24"/>
  <c r="AB58" i="24"/>
  <c r="V62" i="24"/>
  <c r="AK17" i="24"/>
  <c r="AK19" i="24"/>
  <c r="AB50" i="24"/>
  <c r="AP14" i="24"/>
  <c r="AB36" i="24"/>
  <c r="AB37" i="24"/>
  <c r="AB38" i="24"/>
  <c r="AB46" i="24"/>
  <c r="AA48" i="24"/>
  <c r="AB48" i="24" s="1"/>
  <c r="V17" i="24"/>
  <c r="AB43" i="24"/>
  <c r="AB47" i="24"/>
  <c r="AQ14" i="24"/>
  <c r="AQ15" i="24"/>
  <c r="AQ16" i="24"/>
  <c r="O45" i="24"/>
  <c r="O47" i="24"/>
  <c r="O37" i="24"/>
  <c r="AO18" i="24"/>
  <c r="V12" i="24"/>
  <c r="AM10" i="24"/>
  <c r="AP9" i="24"/>
  <c r="V11" i="22"/>
  <c r="R11" i="22"/>
  <c r="AJ14" i="24"/>
  <c r="O85" i="24"/>
  <c r="AS85" i="24"/>
  <c r="O86" i="24"/>
  <c r="O88" i="24"/>
  <c r="O89" i="24"/>
  <c r="O83" i="24"/>
  <c r="O71" i="24"/>
  <c r="O68" i="24"/>
  <c r="O50" i="24"/>
  <c r="O51" i="24"/>
  <c r="O52" i="24"/>
  <c r="AM9" i="24"/>
  <c r="AM12" i="24"/>
  <c r="O53" i="24"/>
  <c r="O56" i="24"/>
  <c r="I62" i="24"/>
  <c r="AM8" i="24"/>
  <c r="AM11" i="24"/>
  <c r="O38" i="24"/>
  <c r="S11" i="22"/>
  <c r="AL12" i="24"/>
  <c r="O24" i="24"/>
  <c r="CH1" i="47" s="1"/>
  <c r="G73" i="47" s="1"/>
  <c r="AR19" i="24"/>
  <c r="AS38" i="24"/>
  <c r="AO12" i="24"/>
  <c r="AO13" i="24"/>
  <c r="O60" i="24"/>
  <c r="AK8" i="24"/>
  <c r="O61" i="24"/>
  <c r="AK9" i="24"/>
  <c r="AJ19" i="24"/>
  <c r="AN56" i="24"/>
  <c r="O39" i="24"/>
  <c r="AS39" i="24"/>
  <c r="O40" i="24"/>
  <c r="AS40" i="24"/>
  <c r="O41" i="24"/>
  <c r="AS41" i="24"/>
  <c r="AR10" i="24"/>
  <c r="AR13" i="24"/>
  <c r="AS47" i="24"/>
  <c r="AR9" i="24"/>
  <c r="AR11" i="24"/>
  <c r="AR12" i="24"/>
  <c r="AO9" i="24"/>
  <c r="AO14" i="24"/>
  <c r="AO17" i="24"/>
  <c r="AK14" i="24"/>
  <c r="AK16" i="24"/>
  <c r="O46" i="24"/>
  <c r="AL8" i="24"/>
  <c r="AN38" i="24"/>
  <c r="AT38" i="24" s="1"/>
  <c r="AN39" i="24"/>
  <c r="AN40" i="24"/>
  <c r="AA13" i="24"/>
  <c r="AA11" i="24"/>
  <c r="AA17" i="24"/>
  <c r="AA12" i="24"/>
  <c r="AB22" i="24"/>
  <c r="CF2" i="47" s="1"/>
  <c r="AB24" i="24"/>
  <c r="CH2" i="47" s="1"/>
  <c r="AB30" i="24"/>
  <c r="CN2" i="47" s="1"/>
  <c r="AB32" i="24"/>
  <c r="CP2" i="47" s="1"/>
  <c r="AM17" i="24"/>
  <c r="V11" i="24"/>
  <c r="AB11" i="24" s="1"/>
  <c r="I2" i="32" s="1"/>
  <c r="AA37" i="32" s="1"/>
  <c r="V13" i="24"/>
  <c r="AB25" i="24"/>
  <c r="CI2" i="47" s="1"/>
  <c r="AQ10" i="24"/>
  <c r="AQ11" i="24"/>
  <c r="AQ12" i="24"/>
  <c r="AQ19" i="24"/>
  <c r="N11" i="24"/>
  <c r="AR14" i="24"/>
  <c r="N12" i="24"/>
  <c r="AR8" i="24"/>
  <c r="AP13" i="24"/>
  <c r="AS24" i="24"/>
  <c r="O25" i="24"/>
  <c r="CI1" i="47" s="1"/>
  <c r="H73" i="47" s="1"/>
  <c r="AP10" i="24"/>
  <c r="O23" i="24"/>
  <c r="CG1" i="47" s="1"/>
  <c r="F73" i="47" s="1"/>
  <c r="O26" i="24"/>
  <c r="CJ1" i="47" s="1"/>
  <c r="I73" i="47" s="1"/>
  <c r="O27" i="24"/>
  <c r="CK1" i="47" s="1"/>
  <c r="J73" i="47" s="1"/>
  <c r="J20" i="24"/>
  <c r="I13" i="24"/>
  <c r="AM15" i="24"/>
  <c r="AM16" i="24"/>
  <c r="AL18" i="24"/>
  <c r="I12" i="24"/>
  <c r="AK13" i="24"/>
  <c r="AN24" i="24"/>
  <c r="AK10" i="24"/>
  <c r="I11" i="24"/>
  <c r="O11" i="24" s="1"/>
  <c r="G2" i="32" s="1"/>
  <c r="I17" i="24"/>
  <c r="O28" i="24"/>
  <c r="CL1" i="47" s="1"/>
  <c r="K73" i="47" s="1"/>
  <c r="O31" i="24"/>
  <c r="CO1" i="47" s="1"/>
  <c r="N73" i="47" s="1"/>
  <c r="AJ15" i="24"/>
  <c r="Y34" i="22"/>
  <c r="Y10" i="22"/>
  <c r="Y8" i="22"/>
  <c r="Q37" i="22"/>
  <c r="Y36" i="22"/>
  <c r="Y35" i="22"/>
  <c r="W37" i="22"/>
  <c r="U37" i="22"/>
  <c r="Y33" i="22"/>
  <c r="Y32" i="22"/>
  <c r="U11" i="22"/>
  <c r="Y9" i="22"/>
  <c r="Y7" i="22"/>
  <c r="X11" i="22"/>
  <c r="Q11" i="22"/>
  <c r="Y6" i="22"/>
  <c r="G25" i="22"/>
  <c r="X20" i="24"/>
  <c r="AN25" i="24"/>
  <c r="AJ11" i="24"/>
  <c r="AS25" i="24"/>
  <c r="AO11" i="24"/>
  <c r="AN26" i="24"/>
  <c r="AJ12" i="24"/>
  <c r="AQ17" i="24"/>
  <c r="G20" i="24"/>
  <c r="T20" i="24"/>
  <c r="I10" i="24"/>
  <c r="AA16" i="24"/>
  <c r="F20" i="24"/>
  <c r="AN41" i="24"/>
  <c r="AJ13" i="24"/>
  <c r="AR16" i="24"/>
  <c r="Y20" i="24"/>
  <c r="N10" i="24"/>
  <c r="V10" i="24"/>
  <c r="AA10" i="24"/>
  <c r="AO10" i="24"/>
  <c r="V16" i="24"/>
  <c r="AE20" i="24"/>
  <c r="AM18" i="24"/>
  <c r="AR18" i="24"/>
  <c r="AK11" i="24"/>
  <c r="AK12" i="24"/>
  <c r="AP12" i="24"/>
  <c r="O57" i="24"/>
  <c r="AO15" i="24"/>
  <c r="AN59" i="24"/>
  <c r="AO62" i="24"/>
  <c r="AJ16" i="24"/>
  <c r="U20" i="24"/>
  <c r="I9" i="24"/>
  <c r="N9" i="24"/>
  <c r="V9" i="24"/>
  <c r="AA9" i="24"/>
  <c r="AJ10" i="24"/>
  <c r="N14" i="24"/>
  <c r="AA14" i="24"/>
  <c r="I15" i="24"/>
  <c r="N15" i="24"/>
  <c r="V15" i="24"/>
  <c r="AA15" i="24"/>
  <c r="AB27" i="24"/>
  <c r="CK2" i="47" s="1"/>
  <c r="AL13" i="24"/>
  <c r="AQ13" i="24"/>
  <c r="AB28" i="24"/>
  <c r="CL2" i="47" s="1"/>
  <c r="O32" i="24"/>
  <c r="CP1" i="47" s="1"/>
  <c r="O73" i="47" s="1"/>
  <c r="AN33" i="24"/>
  <c r="AS33" i="24"/>
  <c r="AO19" i="24"/>
  <c r="V34" i="24"/>
  <c r="AA34" i="24"/>
  <c r="AL9" i="24"/>
  <c r="AQ9" i="24"/>
  <c r="AM62" i="24"/>
  <c r="AB65" i="24"/>
  <c r="K20" i="24"/>
  <c r="AK34" i="24"/>
  <c r="AN23" i="24"/>
  <c r="AB44" i="24"/>
  <c r="AS50" i="24"/>
  <c r="AN51" i="24"/>
  <c r="AS51" i="24"/>
  <c r="AB60" i="24"/>
  <c r="AB61" i="24"/>
  <c r="AR15" i="24"/>
  <c r="AL17" i="24"/>
  <c r="AB74" i="24"/>
  <c r="O78" i="24"/>
  <c r="AB80" i="24"/>
  <c r="I18" i="24"/>
  <c r="N18" i="24"/>
  <c r="AA18" i="24"/>
  <c r="AB23" i="24"/>
  <c r="CG2" i="47" s="1"/>
  <c r="AP11" i="24"/>
  <c r="AN27" i="24"/>
  <c r="AS27" i="24"/>
  <c r="AM14" i="24"/>
  <c r="AB29" i="24"/>
  <c r="CM2" i="47" s="1"/>
  <c r="AB31" i="24"/>
  <c r="CO2" i="47" s="1"/>
  <c r="O36" i="24"/>
  <c r="AN36" i="24"/>
  <c r="AO48" i="24"/>
  <c r="AB40" i="24"/>
  <c r="O42" i="24"/>
  <c r="AS42" i="24"/>
  <c r="O43" i="24"/>
  <c r="AN43" i="24"/>
  <c r="AS43" i="24"/>
  <c r="O44" i="24"/>
  <c r="AN44" i="24"/>
  <c r="AS44" i="24"/>
  <c r="AL19" i="24"/>
  <c r="AN52" i="24"/>
  <c r="AB54" i="24"/>
  <c r="AB56" i="24"/>
  <c r="AP16" i="24"/>
  <c r="AN60" i="24"/>
  <c r="O64" i="24"/>
  <c r="AJ76" i="24"/>
  <c r="AO76" i="24"/>
  <c r="O65" i="24"/>
  <c r="AN65" i="24"/>
  <c r="AS65" i="24"/>
  <c r="O66" i="24"/>
  <c r="AN66" i="24"/>
  <c r="AS66" i="24"/>
  <c r="AB70" i="24"/>
  <c r="O72" i="24"/>
  <c r="O73" i="24"/>
  <c r="AS73" i="24"/>
  <c r="O74" i="24"/>
  <c r="AS74" i="24"/>
  <c r="AP90" i="24"/>
  <c r="O79" i="24"/>
  <c r="AN79" i="24"/>
  <c r="AS79" i="24"/>
  <c r="O80" i="24"/>
  <c r="AN80" i="24"/>
  <c r="AS80" i="24"/>
  <c r="O81" i="24"/>
  <c r="AN81" i="24"/>
  <c r="AS81" i="24"/>
  <c r="O87" i="24"/>
  <c r="AS88" i="24"/>
  <c r="AS89" i="24"/>
  <c r="I90" i="24"/>
  <c r="N90" i="24"/>
  <c r="AA90" i="24"/>
  <c r="I19" i="24"/>
  <c r="V19" i="24"/>
  <c r="AA19" i="24"/>
  <c r="O22" i="24"/>
  <c r="CF1" i="47" s="1"/>
  <c r="AO34" i="24"/>
  <c r="AB26" i="24"/>
  <c r="CJ2" i="47" s="1"/>
  <c r="AS28" i="24"/>
  <c r="O29" i="24"/>
  <c r="CM1" i="47" s="1"/>
  <c r="L73" i="47" s="1"/>
  <c r="AN29" i="24"/>
  <c r="AS29" i="24"/>
  <c r="O30" i="24"/>
  <c r="CN1" i="47" s="1"/>
  <c r="M73" i="47" s="1"/>
  <c r="AN30" i="24"/>
  <c r="AO16" i="24"/>
  <c r="AR17" i="24"/>
  <c r="AQ18" i="24"/>
  <c r="AB33" i="24"/>
  <c r="CQ2" i="47" s="1"/>
  <c r="AK48" i="24"/>
  <c r="AP48" i="24"/>
  <c r="AN37" i="24"/>
  <c r="AB41" i="24"/>
  <c r="AN45" i="24"/>
  <c r="AB51" i="24"/>
  <c r="O54" i="24"/>
  <c r="AS54" i="24"/>
  <c r="O55" i="24"/>
  <c r="AS55" i="24"/>
  <c r="AB59" i="24"/>
  <c r="AN61" i="24"/>
  <c r="AS61" i="24"/>
  <c r="AP76" i="24"/>
  <c r="AN67" i="24"/>
  <c r="AS67" i="24"/>
  <c r="AB71" i="24"/>
  <c r="AK18" i="24"/>
  <c r="AN75" i="24"/>
  <c r="I76" i="24"/>
  <c r="N76" i="24"/>
  <c r="AB78" i="24"/>
  <c r="AN82" i="24"/>
  <c r="AS82" i="24"/>
  <c r="AB86" i="24"/>
  <c r="AS22" i="24"/>
  <c r="V14" i="24"/>
  <c r="N17" i="24"/>
  <c r="V18" i="24"/>
  <c r="N19" i="24"/>
  <c r="AS26" i="24"/>
  <c r="AN28" i="24"/>
  <c r="AS31" i="24"/>
  <c r="AS36" i="24"/>
  <c r="AK62" i="24"/>
  <c r="AS59" i="24"/>
  <c r="AN71" i="24"/>
  <c r="AL90" i="24"/>
  <c r="AN86" i="24"/>
  <c r="H20" i="24"/>
  <c r="L20" i="24"/>
  <c r="R20" i="24"/>
  <c r="V8" i="24"/>
  <c r="Z20" i="24"/>
  <c r="AQ34" i="24"/>
  <c r="AS30" i="24"/>
  <c r="AN32" i="24"/>
  <c r="AR48" i="24"/>
  <c r="AQ90" i="24"/>
  <c r="AM90" i="24"/>
  <c r="AM13" i="24"/>
  <c r="N8" i="24"/>
  <c r="AN31" i="24"/>
  <c r="E20" i="24"/>
  <c r="I8" i="24"/>
  <c r="M20" i="24"/>
  <c r="S20" i="24"/>
  <c r="W20" i="24"/>
  <c r="AA8" i="24"/>
  <c r="AO8" i="24"/>
  <c r="N13" i="24"/>
  <c r="I14" i="24"/>
  <c r="I16" i="24"/>
  <c r="N16" i="24"/>
  <c r="AM34" i="24"/>
  <c r="AS23" i="24"/>
  <c r="I34" i="24"/>
  <c r="AR62" i="24"/>
  <c r="AL76" i="24"/>
  <c r="AL34" i="24"/>
  <c r="AP34" i="24"/>
  <c r="AN42" i="24"/>
  <c r="AS45" i="24"/>
  <c r="AJ48" i="24"/>
  <c r="AJ62" i="24"/>
  <c r="AS52" i="24"/>
  <c r="N62" i="24"/>
  <c r="AK76" i="24"/>
  <c r="AN68" i="24"/>
  <c r="AT68" i="24" s="1"/>
  <c r="AS71" i="24"/>
  <c r="AN83" i="24"/>
  <c r="AT83" i="24" s="1"/>
  <c r="AS86" i="24"/>
  <c r="V90" i="24"/>
  <c r="AS32" i="24"/>
  <c r="AL48" i="24"/>
  <c r="AQ48" i="24"/>
  <c r="AN46" i="24"/>
  <c r="AS46" i="24"/>
  <c r="AN47" i="24"/>
  <c r="AP62" i="24"/>
  <c r="AN53" i="24"/>
  <c r="AS53" i="24"/>
  <c r="AN54" i="24"/>
  <c r="AS56" i="24"/>
  <c r="AQ76" i="24"/>
  <c r="AN72" i="24"/>
  <c r="AS72" i="24"/>
  <c r="AN73" i="24"/>
  <c r="AS75" i="24"/>
  <c r="AJ90" i="24"/>
  <c r="AN78" i="24"/>
  <c r="AR90" i="24"/>
  <c r="AT85" i="24"/>
  <c r="AN87" i="24"/>
  <c r="AS87" i="24"/>
  <c r="AN88" i="24"/>
  <c r="AJ34" i="24"/>
  <c r="AN22" i="24"/>
  <c r="AR34" i="24"/>
  <c r="O33" i="24"/>
  <c r="CQ1" i="47" s="1"/>
  <c r="P73" i="47" s="1"/>
  <c r="N34" i="24"/>
  <c r="AM48" i="24"/>
  <c r="AS37" i="24"/>
  <c r="I48" i="24"/>
  <c r="N48" i="24"/>
  <c r="AL62" i="24"/>
  <c r="AQ62" i="24"/>
  <c r="AN55" i="24"/>
  <c r="AN57" i="24"/>
  <c r="AS57" i="24"/>
  <c r="AN58" i="24"/>
  <c r="AS58" i="24"/>
  <c r="AS60" i="24"/>
  <c r="AM76" i="24"/>
  <c r="AR76" i="24"/>
  <c r="AN74" i="24"/>
  <c r="V76" i="24"/>
  <c r="AA76" i="24"/>
  <c r="AK90" i="24"/>
  <c r="AO90" i="24"/>
  <c r="AN89" i="24"/>
  <c r="AN64" i="24"/>
  <c r="R26" i="30" s="1"/>
  <c r="AS78" i="24"/>
  <c r="AN50" i="24"/>
  <c r="R25" i="30" s="1"/>
  <c r="AS64" i="24"/>
  <c r="P10" i="22"/>
  <c r="P36" i="22" s="1"/>
  <c r="X53" i="22" s="1"/>
  <c r="P9" i="22"/>
  <c r="P35" i="22" s="1"/>
  <c r="P8" i="22"/>
  <c r="P34" i="22" s="1"/>
  <c r="P7" i="22"/>
  <c r="P33" i="22" s="1"/>
  <c r="P6" i="22"/>
  <c r="P32" i="22" s="1"/>
  <c r="G10" i="1"/>
  <c r="J6" i="20"/>
  <c r="E5" i="20"/>
  <c r="F6" i="20"/>
  <c r="H28" i="20" s="1"/>
  <c r="F2" i="20"/>
  <c r="H27" i="20"/>
  <c r="H26" i="20"/>
  <c r="H25" i="20"/>
  <c r="H24" i="20"/>
  <c r="H23" i="20"/>
  <c r="H22" i="20"/>
  <c r="F20" i="20"/>
  <c r="G20" i="20" s="1"/>
  <c r="H20" i="20" s="1"/>
  <c r="F19" i="20"/>
  <c r="G19" i="20" s="1"/>
  <c r="H19" i="20" s="1"/>
  <c r="I18" i="20"/>
  <c r="F17" i="20"/>
  <c r="G17" i="20" s="1"/>
  <c r="H17" i="20" s="1"/>
  <c r="F16" i="20"/>
  <c r="G16" i="20" s="1"/>
  <c r="H16" i="20" s="1"/>
  <c r="J7" i="20"/>
  <c r="F7" i="20"/>
  <c r="L12" i="47" l="1"/>
  <c r="J12" i="47"/>
  <c r="J6" i="47"/>
  <c r="J48" i="47"/>
  <c r="L25" i="47"/>
  <c r="K7" i="47"/>
  <c r="Z17" i="47"/>
  <c r="K25" i="47"/>
  <c r="CG73" i="47"/>
  <c r="CF73" i="47"/>
  <c r="CK73" i="47"/>
  <c r="CJ73" i="47"/>
  <c r="L48" i="47"/>
  <c r="AB17" i="24"/>
  <c r="I2" i="38" s="1"/>
  <c r="AA37" i="38" s="1"/>
  <c r="L35" i="47"/>
  <c r="J5" i="47"/>
  <c r="E42" i="47"/>
  <c r="J7" i="47"/>
  <c r="L40" i="47"/>
  <c r="J38" i="47"/>
  <c r="J42" i="47" s="1"/>
  <c r="L38" i="47"/>
  <c r="L39" i="47"/>
  <c r="K39" i="47"/>
  <c r="K42" i="47" s="1"/>
  <c r="K35" i="47"/>
  <c r="J33" i="47"/>
  <c r="L33" i="47"/>
  <c r="J11" i="47"/>
  <c r="J13" i="47"/>
  <c r="AQ17" i="22"/>
  <c r="CF60" i="47" s="1"/>
  <c r="CR60" i="47" s="1"/>
  <c r="J4" i="47"/>
  <c r="K26" i="47"/>
  <c r="L26" i="47"/>
  <c r="J26" i="47"/>
  <c r="J27" i="47" s="1"/>
  <c r="K13" i="47"/>
  <c r="L13" i="47"/>
  <c r="K11" i="47"/>
  <c r="L11" i="47"/>
  <c r="E14" i="47"/>
  <c r="K10" i="47"/>
  <c r="L10" i="47"/>
  <c r="E27" i="47"/>
  <c r="E73" i="47"/>
  <c r="CR1" i="47"/>
  <c r="K19" i="47"/>
  <c r="L19" i="47"/>
  <c r="E21" i="47"/>
  <c r="K17" i="47"/>
  <c r="L17" i="47"/>
  <c r="K4" i="47"/>
  <c r="E8" i="47"/>
  <c r="L4" i="47"/>
  <c r="AQ14" i="22"/>
  <c r="CF15" i="47" s="1"/>
  <c r="CR15" i="47" s="1"/>
  <c r="CX15" i="47" s="1"/>
  <c r="AQ8" i="22"/>
  <c r="CF9" i="47" s="1"/>
  <c r="CR9" i="47" s="1"/>
  <c r="CV9" i="47" s="1"/>
  <c r="AQ15" i="22"/>
  <c r="CF16" i="47" s="1"/>
  <c r="CR16" i="47" s="1"/>
  <c r="CV16" i="47" s="1"/>
  <c r="AQ13" i="22"/>
  <c r="CF14" i="47" s="1"/>
  <c r="CR14" i="47" s="1"/>
  <c r="CX14" i="47" s="1"/>
  <c r="AQ11" i="22"/>
  <c r="CF12" i="47" s="1"/>
  <c r="CR12" i="47" s="1"/>
  <c r="AQ6" i="22"/>
  <c r="CF7" i="47" s="1"/>
  <c r="K6" i="47"/>
  <c r="L6" i="47"/>
  <c r="J19" i="47"/>
  <c r="J21" i="47" s="1"/>
  <c r="K5" i="47"/>
  <c r="L5" i="47"/>
  <c r="Z23" i="47"/>
  <c r="CZ73" i="47"/>
  <c r="Z14" i="47"/>
  <c r="Z54" i="47"/>
  <c r="Z21" i="47"/>
  <c r="BX54" i="47"/>
  <c r="AF54" i="47"/>
  <c r="BH25" i="47"/>
  <c r="BL25" i="47" s="1"/>
  <c r="BX27" i="47"/>
  <c r="AF27" i="47"/>
  <c r="L55" i="47"/>
  <c r="J55" i="47"/>
  <c r="K55" i="47"/>
  <c r="G74" i="47"/>
  <c r="G75" i="47" s="1"/>
  <c r="CH3" i="47"/>
  <c r="E36" i="47"/>
  <c r="K32" i="47"/>
  <c r="L32" i="47"/>
  <c r="J32" i="47"/>
  <c r="N74" i="47"/>
  <c r="N75" i="47" s="1"/>
  <c r="CO3" i="47"/>
  <c r="AQ40" i="22"/>
  <c r="CF40" i="47" s="1"/>
  <c r="CR40" i="47" s="1"/>
  <c r="CX40" i="47" s="1"/>
  <c r="AQ32" i="22"/>
  <c r="CF32" i="47" s="1"/>
  <c r="CR32" i="47" s="1"/>
  <c r="AQ34" i="22"/>
  <c r="CF34" i="47" s="1"/>
  <c r="CR34" i="47" s="1"/>
  <c r="CV34" i="47" s="1"/>
  <c r="AQ44" i="22"/>
  <c r="CF65" i="47" s="1"/>
  <c r="CR65" i="47" s="1"/>
  <c r="AQ39" i="22"/>
  <c r="CF39" i="47" s="1"/>
  <c r="CR39" i="47" s="1"/>
  <c r="CX39" i="47" s="1"/>
  <c r="AQ41" i="22"/>
  <c r="CF41" i="47" s="1"/>
  <c r="CR41" i="47" s="1"/>
  <c r="CV41" i="47" s="1"/>
  <c r="AQ37" i="22"/>
  <c r="CF37" i="47" s="1"/>
  <c r="CR37" i="47" s="1"/>
  <c r="CR2" i="47"/>
  <c r="CF3" i="47"/>
  <c r="E74" i="47"/>
  <c r="E49" i="47"/>
  <c r="K45" i="47"/>
  <c r="L45" i="47"/>
  <c r="J45" i="47"/>
  <c r="AQ52" i="22"/>
  <c r="CF47" i="47" s="1"/>
  <c r="CR47" i="47" s="1"/>
  <c r="CX47" i="47" s="1"/>
  <c r="P74" i="47"/>
  <c r="P75" i="47" s="1"/>
  <c r="CQ3" i="47"/>
  <c r="I74" i="47"/>
  <c r="I75" i="47" s="1"/>
  <c r="CJ3" i="47"/>
  <c r="L74" i="47"/>
  <c r="L75" i="47" s="1"/>
  <c r="CM3" i="47"/>
  <c r="J74" i="47"/>
  <c r="J75" i="47" s="1"/>
  <c r="CK3" i="47"/>
  <c r="H74" i="47"/>
  <c r="H75" i="47" s="1"/>
  <c r="CI3" i="47"/>
  <c r="O74" i="47"/>
  <c r="O75" i="47" s="1"/>
  <c r="CP3" i="47"/>
  <c r="K34" i="47"/>
  <c r="L34" i="47"/>
  <c r="J34" i="47"/>
  <c r="F74" i="47"/>
  <c r="F75" i="47" s="1"/>
  <c r="CG3" i="47"/>
  <c r="K74" i="47"/>
  <c r="K75" i="47" s="1"/>
  <c r="CL3" i="47"/>
  <c r="M74" i="47"/>
  <c r="M75" i="47" s="1"/>
  <c r="CN3" i="47"/>
  <c r="K47" i="47"/>
  <c r="L47" i="47"/>
  <c r="J47" i="47"/>
  <c r="I60" i="40"/>
  <c r="BB66" i="29"/>
  <c r="BB65" i="29"/>
  <c r="BB64" i="29"/>
  <c r="BB67" i="29"/>
  <c r="AB90" i="24"/>
  <c r="AB62" i="24"/>
  <c r="AT51" i="24"/>
  <c r="AT81" i="24"/>
  <c r="AT66" i="24"/>
  <c r="AT75" i="24"/>
  <c r="O90" i="24"/>
  <c r="M60" i="40"/>
  <c r="G60" i="40"/>
  <c r="K60" i="40"/>
  <c r="H60" i="40"/>
  <c r="J60" i="40"/>
  <c r="L60" i="40"/>
  <c r="P2" i="39"/>
  <c r="P2" i="40"/>
  <c r="P2" i="36"/>
  <c r="P2" i="34"/>
  <c r="P2" i="31"/>
  <c r="P2" i="37"/>
  <c r="P2" i="33"/>
  <c r="P2" i="30"/>
  <c r="P2" i="35"/>
  <c r="P2" i="38"/>
  <c r="P2" i="32"/>
  <c r="P2" i="22"/>
  <c r="AT36" i="24"/>
  <c r="O76" i="24"/>
  <c r="AT69" i="24"/>
  <c r="AT65" i="24"/>
  <c r="AT80" i="24"/>
  <c r="K2" i="32"/>
  <c r="AA11" i="32"/>
  <c r="AT84" i="24"/>
  <c r="AB12" i="24"/>
  <c r="I2" i="33" s="1"/>
  <c r="AA37" i="33" s="1"/>
  <c r="AT89" i="24"/>
  <c r="AT88" i="24"/>
  <c r="R27" i="22"/>
  <c r="R27" i="30"/>
  <c r="AS76" i="24"/>
  <c r="AT74" i="24"/>
  <c r="AB15" i="24"/>
  <c r="I2" i="36" s="1"/>
  <c r="AA37" i="36" s="1"/>
  <c r="AT56" i="24"/>
  <c r="O62" i="24"/>
  <c r="AT60" i="24"/>
  <c r="AS9" i="24"/>
  <c r="AT37" i="24"/>
  <c r="R24" i="22"/>
  <c r="R24" i="30"/>
  <c r="R23" i="30"/>
  <c r="AT87" i="24"/>
  <c r="AN90" i="24"/>
  <c r="AT64" i="24"/>
  <c r="R26" i="22"/>
  <c r="AT54" i="24"/>
  <c r="AT59" i="24"/>
  <c r="AN14" i="24"/>
  <c r="AT44" i="24"/>
  <c r="AT40" i="24"/>
  <c r="AN8" i="24"/>
  <c r="O17" i="24"/>
  <c r="G2" i="38" s="1"/>
  <c r="AN16" i="24"/>
  <c r="AS14" i="24"/>
  <c r="AT47" i="24"/>
  <c r="AT41" i="24"/>
  <c r="AQ20" i="24"/>
  <c r="AS62" i="24"/>
  <c r="AT52" i="24"/>
  <c r="AN19" i="24"/>
  <c r="AT50" i="24"/>
  <c r="R25" i="22"/>
  <c r="AT46" i="24"/>
  <c r="AS13" i="24"/>
  <c r="AT39" i="24"/>
  <c r="AJ20" i="24"/>
  <c r="AN18" i="24"/>
  <c r="AN17" i="24"/>
  <c r="O13" i="24"/>
  <c r="G2" i="34" s="1"/>
  <c r="AB13" i="24"/>
  <c r="I2" i="34" s="1"/>
  <c r="AA37" i="34" s="1"/>
  <c r="AB18" i="24"/>
  <c r="I2" i="39" s="1"/>
  <c r="AA37" i="39" s="1"/>
  <c r="AT24" i="24"/>
  <c r="AB19" i="24"/>
  <c r="I2" i="40" s="1"/>
  <c r="AA43" i="40" s="1"/>
  <c r="AB34" i="24"/>
  <c r="AB10" i="24"/>
  <c r="I2" i="31" s="1"/>
  <c r="AA37" i="31" s="1"/>
  <c r="AS15" i="24"/>
  <c r="AS19" i="24"/>
  <c r="AS18" i="24"/>
  <c r="AS12" i="24"/>
  <c r="AR20" i="24"/>
  <c r="AS17" i="24"/>
  <c r="O12" i="24"/>
  <c r="G2" i="33" s="1"/>
  <c r="AS16" i="24"/>
  <c r="AS10" i="24"/>
  <c r="AP20" i="24"/>
  <c r="O14" i="24"/>
  <c r="G2" i="35" s="1"/>
  <c r="AT33" i="24"/>
  <c r="N20" i="24"/>
  <c r="O18" i="24"/>
  <c r="G2" i="39" s="1"/>
  <c r="O15" i="24"/>
  <c r="G2" i="36" s="1"/>
  <c r="AT28" i="24"/>
  <c r="I20" i="24"/>
  <c r="AM20" i="24"/>
  <c r="AN15" i="24"/>
  <c r="AL20" i="24"/>
  <c r="AT26" i="24"/>
  <c r="AN10" i="24"/>
  <c r="AN12" i="24"/>
  <c r="AT30" i="24"/>
  <c r="Y11" i="22"/>
  <c r="P50" i="22"/>
  <c r="X50" i="22"/>
  <c r="U51" i="22"/>
  <c r="X51" i="22"/>
  <c r="P52" i="22"/>
  <c r="X52" i="22"/>
  <c r="X49" i="22"/>
  <c r="P49" i="22"/>
  <c r="P41" i="22"/>
  <c r="U49" i="22"/>
  <c r="Y37" i="22"/>
  <c r="AT22" i="24"/>
  <c r="H25" i="22"/>
  <c r="P42" i="22"/>
  <c r="P51" i="22"/>
  <c r="P44" i="22"/>
  <c r="U53" i="22"/>
  <c r="P53" i="22"/>
  <c r="P45" i="22"/>
  <c r="U52" i="22"/>
  <c r="P43" i="22"/>
  <c r="U50" i="22"/>
  <c r="P16" i="22"/>
  <c r="P24" i="22"/>
  <c r="U24" i="22"/>
  <c r="P18" i="22"/>
  <c r="U26" i="22"/>
  <c r="P26" i="22"/>
  <c r="P17" i="22"/>
  <c r="U25" i="22"/>
  <c r="P25" i="22"/>
  <c r="P15" i="22"/>
  <c r="U23" i="22"/>
  <c r="P23" i="22"/>
  <c r="P19" i="22"/>
  <c r="U27" i="22"/>
  <c r="P27" i="22"/>
  <c r="AN76" i="24"/>
  <c r="R51" i="30" s="1"/>
  <c r="AN34" i="24"/>
  <c r="AK20" i="24"/>
  <c r="AT29" i="24"/>
  <c r="AB16" i="24"/>
  <c r="I2" i="37" s="1"/>
  <c r="AA37" i="37" s="1"/>
  <c r="O10" i="24"/>
  <c r="G2" i="31" s="1"/>
  <c r="AS90" i="24"/>
  <c r="AT55" i="24"/>
  <c r="AS48" i="24"/>
  <c r="AT45" i="24"/>
  <c r="O19" i="24"/>
  <c r="G2" i="40" s="1"/>
  <c r="AB14" i="24"/>
  <c r="I2" i="35" s="1"/>
  <c r="AA37" i="35" s="1"/>
  <c r="AT61" i="24"/>
  <c r="AT25" i="24"/>
  <c r="AN9" i="24"/>
  <c r="V20" i="24"/>
  <c r="AS34" i="24"/>
  <c r="AB9" i="24"/>
  <c r="I2" i="30" s="1"/>
  <c r="AN11" i="24"/>
  <c r="AT73" i="24"/>
  <c r="AT53" i="24"/>
  <c r="AT42" i="24"/>
  <c r="AT23" i="24"/>
  <c r="O16" i="24"/>
  <c r="G2" i="37" s="1"/>
  <c r="AA20" i="24"/>
  <c r="AT82" i="24"/>
  <c r="AT67" i="24"/>
  <c r="AT79" i="24"/>
  <c r="AT43" i="24"/>
  <c r="AT27" i="24"/>
  <c r="O9" i="24"/>
  <c r="G2" i="30" s="1"/>
  <c r="AA11" i="30" s="1"/>
  <c r="AS11" i="24"/>
  <c r="AT57" i="24"/>
  <c r="AT72" i="24"/>
  <c r="AN48" i="24"/>
  <c r="AO20" i="24"/>
  <c r="AS8" i="24"/>
  <c r="AN13" i="24"/>
  <c r="AB76" i="24"/>
  <c r="O48" i="24"/>
  <c r="AT71" i="24"/>
  <c r="AN62" i="24"/>
  <c r="R50" i="30" s="1"/>
  <c r="AT32" i="24"/>
  <c r="AT58" i="24"/>
  <c r="AT78" i="24"/>
  <c r="O34" i="24"/>
  <c r="O8" i="24"/>
  <c r="G2" i="22" s="1"/>
  <c r="AT31" i="24"/>
  <c r="AB8" i="24"/>
  <c r="I2" i="22" s="1"/>
  <c r="AA37" i="22" s="1"/>
  <c r="AT86" i="24"/>
  <c r="L28" i="20"/>
  <c r="J5" i="20"/>
  <c r="J19" i="20"/>
  <c r="K19" i="20" s="1"/>
  <c r="L19" i="20" s="1"/>
  <c r="I26" i="20"/>
  <c r="I13" i="20"/>
  <c r="J17" i="20"/>
  <c r="K17" i="20" s="1"/>
  <c r="L17" i="20" s="1"/>
  <c r="I24" i="20"/>
  <c r="J20" i="20"/>
  <c r="K20" i="20" s="1"/>
  <c r="L20" i="20" s="1"/>
  <c r="I27" i="20"/>
  <c r="L22" i="20"/>
  <c r="I23" i="20"/>
  <c r="I25" i="20"/>
  <c r="J16" i="20"/>
  <c r="K16" i="20" s="1"/>
  <c r="L16" i="20" s="1"/>
  <c r="H21" i="20"/>
  <c r="H29" i="20" s="1"/>
  <c r="H30" i="20" s="1"/>
  <c r="L27" i="47" l="1"/>
  <c r="K27" i="47"/>
  <c r="F61" i="47"/>
  <c r="F64" i="47"/>
  <c r="F63" i="47"/>
  <c r="F62" i="47"/>
  <c r="K49" i="47"/>
  <c r="J8" i="47"/>
  <c r="L42" i="47"/>
  <c r="J14" i="47"/>
  <c r="K36" i="47"/>
  <c r="K8" i="47"/>
  <c r="CY73" i="47"/>
  <c r="L14" i="47"/>
  <c r="K14" i="47"/>
  <c r="E75" i="47"/>
  <c r="L21" i="47"/>
  <c r="L8" i="47"/>
  <c r="K21" i="47"/>
  <c r="AQ60" i="40"/>
  <c r="CQ49" i="47" s="1"/>
  <c r="CR49" i="47" s="1"/>
  <c r="CX49" i="47" s="1"/>
  <c r="Z25" i="47"/>
  <c r="CR3" i="47"/>
  <c r="N83" i="47"/>
  <c r="K83" i="47"/>
  <c r="O83" i="47"/>
  <c r="J83" i="47"/>
  <c r="I83" i="47"/>
  <c r="J49" i="47"/>
  <c r="J36" i="47"/>
  <c r="L49" i="47"/>
  <c r="L36" i="47"/>
  <c r="M83" i="47"/>
  <c r="F83" i="47"/>
  <c r="H83" i="47"/>
  <c r="L83" i="47"/>
  <c r="P83" i="47"/>
  <c r="G83" i="47"/>
  <c r="Z10" i="47"/>
  <c r="CR7" i="47"/>
  <c r="K2" i="37"/>
  <c r="AA11" i="37"/>
  <c r="K2" i="36"/>
  <c r="AA11" i="36"/>
  <c r="K2" i="35"/>
  <c r="AA11" i="35"/>
  <c r="K2" i="33"/>
  <c r="AA11" i="33"/>
  <c r="K2" i="40"/>
  <c r="AA11" i="40"/>
  <c r="AT90" i="24"/>
  <c r="K2" i="39"/>
  <c r="AA11" i="39"/>
  <c r="K2" i="34"/>
  <c r="AA11" i="34"/>
  <c r="K2" i="31"/>
  <c r="AA11" i="31"/>
  <c r="K2" i="38"/>
  <c r="AA11" i="38"/>
  <c r="R52" i="22"/>
  <c r="R52" i="30"/>
  <c r="Q28" i="30"/>
  <c r="AT9" i="24"/>
  <c r="I2" i="43" s="1"/>
  <c r="Q54" i="30"/>
  <c r="K2" i="30"/>
  <c r="R28" i="30"/>
  <c r="AQ27" i="30" s="1"/>
  <c r="CG30" i="47" s="1"/>
  <c r="AT14" i="24"/>
  <c r="N2" i="43" s="1"/>
  <c r="AT76" i="24"/>
  <c r="R51" i="22"/>
  <c r="AT8" i="24"/>
  <c r="H2" i="43" s="1"/>
  <c r="AT16" i="24"/>
  <c r="P2" i="43" s="1"/>
  <c r="AT17" i="24"/>
  <c r="Q2" i="43" s="1"/>
  <c r="AT19" i="24"/>
  <c r="S2" i="43" s="1"/>
  <c r="AS20" i="24"/>
  <c r="AT13" i="24"/>
  <c r="M2" i="43" s="1"/>
  <c r="AT62" i="24"/>
  <c r="R50" i="22"/>
  <c r="O20" i="24"/>
  <c r="AT48" i="24"/>
  <c r="AT18" i="24"/>
  <c r="R2" i="43" s="1"/>
  <c r="AT15" i="24"/>
  <c r="O2" i="43" s="1"/>
  <c r="AT10" i="24"/>
  <c r="J2" i="43" s="1"/>
  <c r="AB20" i="24"/>
  <c r="AN20" i="24"/>
  <c r="AT12" i="24"/>
  <c r="L2" i="43" s="1"/>
  <c r="AT11" i="24"/>
  <c r="K2" i="43" s="1"/>
  <c r="K2" i="22"/>
  <c r="AA11" i="22"/>
  <c r="AT34" i="24"/>
  <c r="F60" i="47" s="1"/>
  <c r="R23" i="22"/>
  <c r="R28" i="22" s="1"/>
  <c r="AQ27" i="22" s="1"/>
  <c r="CF30" i="47" s="1"/>
  <c r="CR30" i="47" s="1"/>
  <c r="CW30" i="47" s="1"/>
  <c r="Q28" i="22"/>
  <c r="I25" i="22"/>
  <c r="L21" i="20"/>
  <c r="L29" i="20" s="1"/>
  <c r="L30" i="20" s="1"/>
  <c r="G33" i="20" s="1"/>
  <c r="H33" i="20" s="1"/>
  <c r="N62" i="47" l="1"/>
  <c r="M62" i="47"/>
  <c r="P62" i="47"/>
  <c r="O62" i="47"/>
  <c r="Q62" i="47"/>
  <c r="N64" i="47"/>
  <c r="M64" i="47"/>
  <c r="O64" i="47"/>
  <c r="Q64" i="47"/>
  <c r="P64" i="47"/>
  <c r="Q61" i="47"/>
  <c r="M61" i="47"/>
  <c r="N61" i="47"/>
  <c r="P61" i="47"/>
  <c r="O61" i="47"/>
  <c r="O63" i="47"/>
  <c r="M63" i="47"/>
  <c r="Q63" i="47"/>
  <c r="N63" i="47"/>
  <c r="P63" i="47"/>
  <c r="CV7" i="47"/>
  <c r="CW7" i="47"/>
  <c r="CW32" i="47"/>
  <c r="CX7" i="47"/>
  <c r="E83" i="47"/>
  <c r="E87" i="47" s="1"/>
  <c r="L87" i="47"/>
  <c r="O87" i="47"/>
  <c r="N87" i="47"/>
  <c r="P87" i="47"/>
  <c r="CX32" i="47"/>
  <c r="K87" i="47"/>
  <c r="H87" i="47"/>
  <c r="M87" i="47"/>
  <c r="J87" i="47"/>
  <c r="G87" i="47"/>
  <c r="F87" i="47"/>
  <c r="CV32" i="47"/>
  <c r="I87" i="47"/>
  <c r="Z8" i="47"/>
  <c r="Z108" i="47"/>
  <c r="Z9" i="47"/>
  <c r="G32" i="20"/>
  <c r="H32" i="20" s="1"/>
  <c r="F32" i="40"/>
  <c r="F28" i="40"/>
  <c r="F31" i="40"/>
  <c r="F30" i="40"/>
  <c r="F29" i="40"/>
  <c r="H42" i="20"/>
  <c r="H37" i="20"/>
  <c r="R54" i="30"/>
  <c r="AT20" i="24"/>
  <c r="Q54" i="22"/>
  <c r="R49" i="22"/>
  <c r="R54" i="22" s="1"/>
  <c r="J25" i="22"/>
  <c r="CW12" i="47" l="1"/>
  <c r="CY38" i="47"/>
  <c r="CV12" i="47"/>
  <c r="CW37" i="47"/>
  <c r="CZ13" i="47"/>
  <c r="CZ38" i="47"/>
  <c r="CY13" i="47"/>
  <c r="CX37" i="47"/>
  <c r="CX12" i="47"/>
  <c r="CV37" i="47"/>
  <c r="D9" i="16"/>
  <c r="AQ54" i="22"/>
  <c r="CF55" i="47" s="1"/>
  <c r="E9" i="16"/>
  <c r="AQ54" i="30"/>
  <c r="CG55" i="47" s="1"/>
  <c r="F61" i="40"/>
  <c r="I105" i="47"/>
  <c r="I98" i="47"/>
  <c r="J98" i="47"/>
  <c r="J105" i="47"/>
  <c r="O98" i="47"/>
  <c r="O105" i="47"/>
  <c r="H98" i="47"/>
  <c r="H105" i="47"/>
  <c r="K98" i="47"/>
  <c r="K105" i="47"/>
  <c r="P105" i="47"/>
  <c r="P98" i="47"/>
  <c r="N98" i="47"/>
  <c r="N105" i="47"/>
  <c r="F62" i="40"/>
  <c r="F63" i="40"/>
  <c r="F105" i="47"/>
  <c r="F98" i="47"/>
  <c r="G98" i="47"/>
  <c r="G105" i="47"/>
  <c r="E98" i="47"/>
  <c r="E105" i="47"/>
  <c r="L98" i="47"/>
  <c r="L105" i="47"/>
  <c r="F65" i="40"/>
  <c r="F64" i="40"/>
  <c r="M98" i="47"/>
  <c r="M105" i="47"/>
  <c r="CQ73" i="47"/>
  <c r="Z27" i="47"/>
  <c r="J32" i="40"/>
  <c r="K32" i="40"/>
  <c r="M32" i="40"/>
  <c r="I32" i="40"/>
  <c r="L32" i="40"/>
  <c r="H32" i="40"/>
  <c r="G32" i="40"/>
  <c r="J28" i="40"/>
  <c r="K28" i="40"/>
  <c r="M28" i="40"/>
  <c r="I28" i="40"/>
  <c r="L28" i="40"/>
  <c r="H28" i="40"/>
  <c r="G28" i="40"/>
  <c r="L31" i="40"/>
  <c r="M31" i="40"/>
  <c r="J31" i="40"/>
  <c r="I31" i="40"/>
  <c r="H31" i="40"/>
  <c r="K31" i="40"/>
  <c r="G31" i="40"/>
  <c r="L29" i="40"/>
  <c r="G29" i="40"/>
  <c r="M29" i="40"/>
  <c r="J29" i="40"/>
  <c r="K29" i="40"/>
  <c r="I29" i="40"/>
  <c r="H29" i="40"/>
  <c r="L30" i="40"/>
  <c r="H30" i="40"/>
  <c r="M30" i="40"/>
  <c r="G30" i="40"/>
  <c r="J30" i="40"/>
  <c r="I30" i="40"/>
  <c r="K30" i="40"/>
  <c r="K25" i="22"/>
  <c r="G7" i="1"/>
  <c r="F33" i="39" l="1"/>
  <c r="G9" i="39"/>
  <c r="J39" i="40"/>
  <c r="F39" i="40"/>
  <c r="G9" i="40"/>
  <c r="J33" i="39"/>
  <c r="M33" i="39"/>
  <c r="H12" i="39"/>
  <c r="L33" i="39"/>
  <c r="G33" i="39"/>
  <c r="F12" i="40"/>
  <c r="K39" i="40"/>
  <c r="I33" i="39"/>
  <c r="K33" i="39"/>
  <c r="H33" i="39"/>
  <c r="L39" i="40"/>
  <c r="I39" i="40"/>
  <c r="G39" i="40"/>
  <c r="F12" i="39"/>
  <c r="M39" i="40"/>
  <c r="H39" i="40"/>
  <c r="H12" i="40"/>
  <c r="J7" i="40"/>
  <c r="F7" i="39"/>
  <c r="J7" i="39"/>
  <c r="J61" i="39" s="1"/>
  <c r="J62" i="39" s="1"/>
  <c r="F7" i="40"/>
  <c r="L7" i="40"/>
  <c r="H7" i="39"/>
  <c r="H61" i="39" s="1"/>
  <c r="H62" i="39" s="1"/>
  <c r="I7" i="40"/>
  <c r="M7" i="40"/>
  <c r="L7" i="39"/>
  <c r="L61" i="39" s="1"/>
  <c r="L62" i="39" s="1"/>
  <c r="I7" i="39"/>
  <c r="I61" i="39" s="1"/>
  <c r="I62" i="39" s="1"/>
  <c r="G7" i="40"/>
  <c r="M7" i="39"/>
  <c r="K7" i="40"/>
  <c r="G7" i="39"/>
  <c r="H7" i="40"/>
  <c r="K7" i="39"/>
  <c r="BB57" i="29"/>
  <c r="E68" i="47"/>
  <c r="CU1" i="47"/>
  <c r="BH77" i="29"/>
  <c r="BL66" i="29"/>
  <c r="BL64" i="29"/>
  <c r="BH73" i="29"/>
  <c r="BH65" i="29"/>
  <c r="BV64" i="29"/>
  <c r="BH69" i="29"/>
  <c r="BE76" i="29"/>
  <c r="BF76" i="29" s="1"/>
  <c r="BE72" i="29"/>
  <c r="BF72" i="29" s="1"/>
  <c r="BE73" i="29"/>
  <c r="BF73" i="29" s="1"/>
  <c r="BE79" i="29"/>
  <c r="BF79" i="29" s="1"/>
  <c r="BE74" i="29"/>
  <c r="BF74" i="29" s="1"/>
  <c r="BE78" i="29"/>
  <c r="BF78" i="29" s="1"/>
  <c r="BE77" i="29"/>
  <c r="BF77" i="29" s="1"/>
  <c r="BE75" i="29"/>
  <c r="BF75" i="29" s="1"/>
  <c r="BE68" i="29"/>
  <c r="BF68" i="29" s="1"/>
  <c r="BE64" i="29"/>
  <c r="BF64" i="29" s="1"/>
  <c r="BE70" i="29"/>
  <c r="BF70" i="29" s="1"/>
  <c r="BE66" i="29"/>
  <c r="BF66" i="29" s="1"/>
  <c r="BE69" i="29"/>
  <c r="BF69" i="29" s="1"/>
  <c r="BE65" i="29"/>
  <c r="BF65" i="29" s="1"/>
  <c r="BE67" i="29"/>
  <c r="BF67" i="29" s="1"/>
  <c r="BE71" i="29"/>
  <c r="BF71" i="29" s="1"/>
  <c r="AQ32" i="40"/>
  <c r="CQ29" i="47" s="1"/>
  <c r="CR29" i="47" s="1"/>
  <c r="CX29" i="47" s="1"/>
  <c r="AQ29" i="40"/>
  <c r="CQ26" i="47" s="1"/>
  <c r="CR26" i="47" s="1"/>
  <c r="CX26" i="47" s="1"/>
  <c r="CR73" i="47"/>
  <c r="CR55" i="47"/>
  <c r="CW55" i="47" s="1"/>
  <c r="AQ31" i="40"/>
  <c r="CQ28" i="47" s="1"/>
  <c r="CR28" i="47" s="1"/>
  <c r="CX28" i="47" s="1"/>
  <c r="AQ30" i="40"/>
  <c r="CQ27" i="47" s="1"/>
  <c r="CR27" i="47" s="1"/>
  <c r="CX27" i="47" s="1"/>
  <c r="AQ28" i="40"/>
  <c r="CQ25" i="47" s="1"/>
  <c r="CR25" i="47" s="1"/>
  <c r="CX25" i="47" s="1"/>
  <c r="Q98" i="47"/>
  <c r="CZ11" i="47" s="1"/>
  <c r="Q105" i="47"/>
  <c r="CZ36" i="47" s="1"/>
  <c r="Y27" i="19"/>
  <c r="Z27" i="19" s="1"/>
  <c r="Y14" i="19"/>
  <c r="Z14" i="19" s="1"/>
  <c r="Y6" i="19"/>
  <c r="Z6" i="19" s="1"/>
  <c r="Y16" i="19"/>
  <c r="Z16" i="19" s="1"/>
  <c r="Y26" i="19"/>
  <c r="Z26" i="19" s="1"/>
  <c r="Y13" i="19"/>
  <c r="Z13" i="19" s="1"/>
  <c r="Y5" i="19"/>
  <c r="Z5" i="19" s="1"/>
  <c r="Y15" i="19"/>
  <c r="Z15" i="19" s="1"/>
  <c r="C1" i="43"/>
  <c r="Y10" i="19"/>
  <c r="Z10" i="19" s="1"/>
  <c r="C12" i="16"/>
  <c r="F10" i="40"/>
  <c r="F10" i="39"/>
  <c r="F45" i="36"/>
  <c r="F45" i="33"/>
  <c r="F45" i="38"/>
  <c r="F45" i="32"/>
  <c r="F45" i="37"/>
  <c r="F45" i="31"/>
  <c r="F45" i="30"/>
  <c r="F45" i="35"/>
  <c r="F45" i="34"/>
  <c r="F16" i="39"/>
  <c r="F16" i="40"/>
  <c r="F18" i="36"/>
  <c r="F18" i="34"/>
  <c r="F18" i="38"/>
  <c r="F18" i="33"/>
  <c r="M61" i="39"/>
  <c r="M62" i="39" s="1"/>
  <c r="F18" i="35"/>
  <c r="F18" i="37"/>
  <c r="F18" i="32"/>
  <c r="F18" i="30"/>
  <c r="F18" i="31"/>
  <c r="F18" i="22"/>
  <c r="F10" i="32"/>
  <c r="F10" i="31"/>
  <c r="F10" i="34"/>
  <c r="F36" i="34" s="1"/>
  <c r="F10" i="33"/>
  <c r="F10" i="35"/>
  <c r="F10" i="38"/>
  <c r="F10" i="22"/>
  <c r="F10" i="37"/>
  <c r="F10" i="30"/>
  <c r="F10" i="36"/>
  <c r="H41" i="20"/>
  <c r="H36" i="20"/>
  <c r="H38" i="20" s="1"/>
  <c r="H65" i="40"/>
  <c r="G65" i="40"/>
  <c r="K65" i="40"/>
  <c r="M65" i="40"/>
  <c r="I65" i="40"/>
  <c r="J65" i="40"/>
  <c r="L65" i="40"/>
  <c r="J62" i="40"/>
  <c r="G62" i="40"/>
  <c r="H62" i="40"/>
  <c r="K62" i="40"/>
  <c r="I62" i="40"/>
  <c r="L62" i="40"/>
  <c r="M62" i="40"/>
  <c r="K63" i="40"/>
  <c r="G63" i="40"/>
  <c r="L63" i="40"/>
  <c r="J63" i="40"/>
  <c r="M63" i="40"/>
  <c r="I63" i="40"/>
  <c r="H63" i="40"/>
  <c r="H64" i="40"/>
  <c r="K64" i="40"/>
  <c r="L64" i="40"/>
  <c r="G64" i="40"/>
  <c r="M64" i="40"/>
  <c r="J64" i="40"/>
  <c r="I64" i="40"/>
  <c r="G61" i="40"/>
  <c r="M61" i="40"/>
  <c r="K61" i="40"/>
  <c r="I61" i="40"/>
  <c r="H61" i="40"/>
  <c r="J61" i="40"/>
  <c r="L61" i="40"/>
  <c r="H12" i="22"/>
  <c r="H12" i="35"/>
  <c r="H12" i="37"/>
  <c r="F12" i="22"/>
  <c r="F12" i="31"/>
  <c r="F12" i="32"/>
  <c r="H12" i="33"/>
  <c r="H12" i="34"/>
  <c r="F12" i="36"/>
  <c r="F12" i="38"/>
  <c r="H12" i="38"/>
  <c r="F12" i="33"/>
  <c r="H12" i="31"/>
  <c r="H12" i="32"/>
  <c r="H12" i="36"/>
  <c r="F12" i="30"/>
  <c r="F38" i="30" s="1"/>
  <c r="F12" i="35"/>
  <c r="F12" i="37"/>
  <c r="H12" i="30"/>
  <c r="F12" i="34"/>
  <c r="J33" i="36"/>
  <c r="J33" i="32"/>
  <c r="J33" i="31"/>
  <c r="F33" i="36"/>
  <c r="F33" i="32"/>
  <c r="F33" i="30"/>
  <c r="G9" i="22"/>
  <c r="G9" i="38"/>
  <c r="G9" i="31"/>
  <c r="F16" i="37"/>
  <c r="F16" i="32"/>
  <c r="F16" i="31"/>
  <c r="F16" i="35"/>
  <c r="F16" i="30"/>
  <c r="J33" i="22"/>
  <c r="F33" i="22"/>
  <c r="G9" i="34"/>
  <c r="G35" i="34" s="1"/>
  <c r="F16" i="34"/>
  <c r="J33" i="38"/>
  <c r="J33" i="37"/>
  <c r="F33" i="35"/>
  <c r="G9" i="32"/>
  <c r="G35" i="32" s="1"/>
  <c r="G9" i="36"/>
  <c r="J33" i="34"/>
  <c r="J33" i="33"/>
  <c r="F33" i="34"/>
  <c r="F33" i="31"/>
  <c r="G9" i="35"/>
  <c r="G9" i="33"/>
  <c r="F16" i="38"/>
  <c r="J33" i="30"/>
  <c r="F33" i="33"/>
  <c r="G9" i="37"/>
  <c r="F16" i="22"/>
  <c r="J33" i="35"/>
  <c r="F33" i="38"/>
  <c r="F33" i="37"/>
  <c r="G9" i="30"/>
  <c r="F16" i="33"/>
  <c r="F16" i="36"/>
  <c r="I33" i="32"/>
  <c r="H33" i="22"/>
  <c r="H33" i="36"/>
  <c r="H33" i="31"/>
  <c r="L33" i="38"/>
  <c r="L33" i="30"/>
  <c r="M33" i="33"/>
  <c r="M33" i="32"/>
  <c r="K33" i="38"/>
  <c r="K33" i="31"/>
  <c r="G33" i="35"/>
  <c r="G33" i="33"/>
  <c r="G33" i="36"/>
  <c r="I33" i="30"/>
  <c r="I33" i="35"/>
  <c r="H33" i="33"/>
  <c r="H33" i="34"/>
  <c r="L33" i="32"/>
  <c r="L33" i="37"/>
  <c r="M33" i="22"/>
  <c r="G33" i="22"/>
  <c r="I33" i="33"/>
  <c r="I33" i="34"/>
  <c r="I33" i="37"/>
  <c r="H33" i="32"/>
  <c r="H33" i="37"/>
  <c r="L33" i="36"/>
  <c r="L33" i="31"/>
  <c r="L33" i="22"/>
  <c r="M33" i="30"/>
  <c r="M33" i="37"/>
  <c r="K33" i="37"/>
  <c r="K33" i="32"/>
  <c r="K33" i="22"/>
  <c r="G33" i="30"/>
  <c r="G33" i="38"/>
  <c r="I33" i="22"/>
  <c r="H33" i="35"/>
  <c r="M33" i="34"/>
  <c r="M33" i="35"/>
  <c r="K33" i="33"/>
  <c r="K33" i="34"/>
  <c r="G33" i="31"/>
  <c r="G33" i="37"/>
  <c r="I33" i="36"/>
  <c r="H33" i="38"/>
  <c r="L33" i="33"/>
  <c r="M33" i="31"/>
  <c r="K33" i="35"/>
  <c r="G33" i="32"/>
  <c r="K33" i="30"/>
  <c r="M33" i="38"/>
  <c r="G33" i="34"/>
  <c r="I33" i="38"/>
  <c r="H33" i="30"/>
  <c r="L33" i="35"/>
  <c r="I33" i="31"/>
  <c r="L33" i="34"/>
  <c r="M33" i="36"/>
  <c r="K33" i="36"/>
  <c r="F7" i="38"/>
  <c r="F7" i="32"/>
  <c r="F7" i="31"/>
  <c r="J7" i="36"/>
  <c r="J61" i="36" s="1"/>
  <c r="J62" i="36" s="1"/>
  <c r="J7" i="22"/>
  <c r="J61" i="22" s="1"/>
  <c r="J62" i="22" s="1"/>
  <c r="T27" i="19"/>
  <c r="U27" i="19" s="1"/>
  <c r="J7" i="38"/>
  <c r="J61" i="38" s="1"/>
  <c r="J62" i="38" s="1"/>
  <c r="J7" i="34"/>
  <c r="J61" i="34" s="1"/>
  <c r="J62" i="34" s="1"/>
  <c r="F7" i="22"/>
  <c r="J7" i="32"/>
  <c r="J61" i="32" s="1"/>
  <c r="J62" i="32" s="1"/>
  <c r="J7" i="37"/>
  <c r="J61" i="37" s="1"/>
  <c r="J62" i="37" s="1"/>
  <c r="F7" i="37"/>
  <c r="J7" i="33"/>
  <c r="J61" i="33" s="1"/>
  <c r="J62" i="33" s="1"/>
  <c r="F7" i="34"/>
  <c r="F7" i="30"/>
  <c r="J7" i="35"/>
  <c r="J61" i="35" s="1"/>
  <c r="J62" i="35" s="1"/>
  <c r="T15" i="19"/>
  <c r="U15" i="19" s="1"/>
  <c r="F7" i="36"/>
  <c r="F7" i="35"/>
  <c r="J7" i="30"/>
  <c r="J61" i="30" s="1"/>
  <c r="J62" i="30" s="1"/>
  <c r="F7" i="33"/>
  <c r="J7" i="31"/>
  <c r="J61" i="31" s="1"/>
  <c r="J62" i="31" s="1"/>
  <c r="K7" i="37"/>
  <c r="K7" i="36"/>
  <c r="K7" i="30"/>
  <c r="I7" i="32"/>
  <c r="I61" i="32" s="1"/>
  <c r="I62" i="32" s="1"/>
  <c r="I7" i="30"/>
  <c r="I61" i="30" s="1"/>
  <c r="I62" i="30" s="1"/>
  <c r="G7" i="37"/>
  <c r="G7" i="36"/>
  <c r="G7" i="38"/>
  <c r="M7" i="33"/>
  <c r="M61" i="33" s="1"/>
  <c r="M62" i="33" s="1"/>
  <c r="M7" i="30"/>
  <c r="M61" i="30" s="1"/>
  <c r="M62" i="30" s="1"/>
  <c r="L7" i="37"/>
  <c r="L61" i="37" s="1"/>
  <c r="L62" i="37" s="1"/>
  <c r="L7" i="36"/>
  <c r="L61" i="36" s="1"/>
  <c r="L62" i="36" s="1"/>
  <c r="L7" i="34"/>
  <c r="L61" i="34" s="1"/>
  <c r="L62" i="34" s="1"/>
  <c r="H7" i="22"/>
  <c r="H61" i="22" s="1"/>
  <c r="H62" i="22" s="1"/>
  <c r="H7" i="31"/>
  <c r="H61" i="31" s="1"/>
  <c r="H62" i="31" s="1"/>
  <c r="K7" i="38"/>
  <c r="K7" i="33"/>
  <c r="I7" i="38"/>
  <c r="I61" i="38" s="1"/>
  <c r="I62" i="38" s="1"/>
  <c r="I7" i="22"/>
  <c r="I61" i="22" s="1"/>
  <c r="I62" i="22" s="1"/>
  <c r="I7" i="34"/>
  <c r="I61" i="34" s="1"/>
  <c r="I62" i="34" s="1"/>
  <c r="G7" i="33"/>
  <c r="G7" i="30"/>
  <c r="M7" i="38"/>
  <c r="M61" i="38" s="1"/>
  <c r="M62" i="38" s="1"/>
  <c r="M7" i="35"/>
  <c r="M61" i="35" s="1"/>
  <c r="M62" i="35" s="1"/>
  <c r="M7" i="22"/>
  <c r="M61" i="22" s="1"/>
  <c r="M62" i="22" s="1"/>
  <c r="L7" i="33"/>
  <c r="L61" i="33" s="1"/>
  <c r="L62" i="33" s="1"/>
  <c r="L7" i="30"/>
  <c r="L61" i="30" s="1"/>
  <c r="L62" i="30" s="1"/>
  <c r="H7" i="36"/>
  <c r="H61" i="36" s="1"/>
  <c r="H62" i="36" s="1"/>
  <c r="H7" i="34"/>
  <c r="H61" i="34" s="1"/>
  <c r="H62" i="34" s="1"/>
  <c r="H7" i="37"/>
  <c r="H61" i="37" s="1"/>
  <c r="H62" i="37" s="1"/>
  <c r="K7" i="31"/>
  <c r="K7" i="35"/>
  <c r="K7" i="32"/>
  <c r="I7" i="37"/>
  <c r="I61" i="37" s="1"/>
  <c r="I62" i="37" s="1"/>
  <c r="I7" i="36"/>
  <c r="I61" i="36" s="1"/>
  <c r="I62" i="36" s="1"/>
  <c r="I7" i="31"/>
  <c r="I61" i="31" s="1"/>
  <c r="I62" i="31" s="1"/>
  <c r="G7" i="31"/>
  <c r="G7" i="35"/>
  <c r="G7" i="32"/>
  <c r="M7" i="32"/>
  <c r="M61" i="32" s="1"/>
  <c r="M62" i="32" s="1"/>
  <c r="M7" i="36"/>
  <c r="M61" i="36" s="1"/>
  <c r="M62" i="36" s="1"/>
  <c r="L7" i="32"/>
  <c r="L61" i="32" s="1"/>
  <c r="L62" i="32" s="1"/>
  <c r="L7" i="35"/>
  <c r="L61" i="35" s="1"/>
  <c r="L62" i="35" s="1"/>
  <c r="L7" i="38"/>
  <c r="L61" i="38" s="1"/>
  <c r="L62" i="38" s="1"/>
  <c r="H7" i="30"/>
  <c r="H61" i="30" s="1"/>
  <c r="H62" i="30" s="1"/>
  <c r="H7" i="33"/>
  <c r="H61" i="33" s="1"/>
  <c r="H62" i="33" s="1"/>
  <c r="K7" i="22"/>
  <c r="K7" i="34"/>
  <c r="I7" i="35"/>
  <c r="I61" i="35" s="1"/>
  <c r="I62" i="35" s="1"/>
  <c r="I7" i="33"/>
  <c r="I61" i="33" s="1"/>
  <c r="I62" i="33" s="1"/>
  <c r="G7" i="22"/>
  <c r="G7" i="34"/>
  <c r="M7" i="37"/>
  <c r="M61" i="37" s="1"/>
  <c r="M62" i="37" s="1"/>
  <c r="M7" i="34"/>
  <c r="M61" i="34" s="1"/>
  <c r="M62" i="34" s="1"/>
  <c r="M7" i="31"/>
  <c r="M61" i="31" s="1"/>
  <c r="M62" i="31" s="1"/>
  <c r="L7" i="22"/>
  <c r="L61" i="22" s="1"/>
  <c r="L62" i="22" s="1"/>
  <c r="L7" i="31"/>
  <c r="L61" i="31" s="1"/>
  <c r="L62" i="31" s="1"/>
  <c r="H7" i="35"/>
  <c r="H61" i="35" s="1"/>
  <c r="H62" i="35" s="1"/>
  <c r="H7" i="38"/>
  <c r="H61" i="38" s="1"/>
  <c r="H62" i="38" s="1"/>
  <c r="H7" i="32"/>
  <c r="H61" i="32" s="1"/>
  <c r="H62" i="32" s="1"/>
  <c r="T26" i="19"/>
  <c r="U26" i="19" s="1"/>
  <c r="T10" i="19"/>
  <c r="U10" i="19" s="1"/>
  <c r="T5" i="19"/>
  <c r="U5" i="19" s="1"/>
  <c r="T6" i="19"/>
  <c r="U6" i="19" s="1"/>
  <c r="T13" i="19"/>
  <c r="U13" i="19" s="1"/>
  <c r="L25" i="22"/>
  <c r="T16" i="19"/>
  <c r="U16" i="19" s="1"/>
  <c r="T14" i="19"/>
  <c r="U14" i="19" s="1"/>
  <c r="I31" i="43" l="1"/>
  <c r="AP31" i="43" s="1"/>
  <c r="M31" i="43"/>
  <c r="AT31" i="43" s="1"/>
  <c r="J31" i="43"/>
  <c r="AQ31" i="43" s="1"/>
  <c r="Q31" i="43"/>
  <c r="AX31" i="43" s="1"/>
  <c r="P31" i="43"/>
  <c r="AW31" i="43" s="1"/>
  <c r="H31" i="43"/>
  <c r="AO31" i="43" s="1"/>
  <c r="N31" i="43"/>
  <c r="AU31" i="43" s="1"/>
  <c r="O31" i="43"/>
  <c r="AV31" i="43" s="1"/>
  <c r="K31" i="43"/>
  <c r="AR31" i="43" s="1"/>
  <c r="R31" i="43"/>
  <c r="AY31" i="43" s="1"/>
  <c r="S31" i="43"/>
  <c r="AZ31" i="43" s="1"/>
  <c r="L31" i="43"/>
  <c r="AS31" i="43" s="1"/>
  <c r="I28" i="43"/>
  <c r="AB28" i="43" s="1"/>
  <c r="AB18" i="43" s="1"/>
  <c r="L28" i="43"/>
  <c r="AE28" i="43" s="1"/>
  <c r="AE18" i="43" s="1"/>
  <c r="Q28" i="43"/>
  <c r="O28" i="43"/>
  <c r="AH28" i="43" s="1"/>
  <c r="AH18" i="43" s="1"/>
  <c r="H28" i="43"/>
  <c r="AA28" i="43" s="1"/>
  <c r="AA18" i="43" s="1"/>
  <c r="N28" i="43"/>
  <c r="M28" i="43"/>
  <c r="S28" i="43"/>
  <c r="AL28" i="43" s="1"/>
  <c r="AL18" i="43" s="1"/>
  <c r="P28" i="43"/>
  <c r="AI28" i="43" s="1"/>
  <c r="AI18" i="43" s="1"/>
  <c r="K28" i="43"/>
  <c r="R28" i="43"/>
  <c r="J28" i="43"/>
  <c r="AC28" i="43" s="1"/>
  <c r="AC18" i="43" s="1"/>
  <c r="H26" i="43"/>
  <c r="BV68" i="29"/>
  <c r="BV72" i="29"/>
  <c r="BV76" i="29"/>
  <c r="BV65" i="29"/>
  <c r="BV69" i="29"/>
  <c r="BV73" i="29"/>
  <c r="BV77" i="29"/>
  <c r="BV66" i="29"/>
  <c r="BV70" i="29"/>
  <c r="BV74" i="29"/>
  <c r="BV78" i="29"/>
  <c r="BV67" i="29"/>
  <c r="BV71" i="29"/>
  <c r="BV75" i="29"/>
  <c r="BV79" i="29"/>
  <c r="BL65" i="29"/>
  <c r="BL73" i="29"/>
  <c r="BL68" i="29"/>
  <c r="BL72" i="29"/>
  <c r="BL69" i="29"/>
  <c r="BL77" i="29"/>
  <c r="BL76" i="29"/>
  <c r="J85" i="47"/>
  <c r="M85" i="47"/>
  <c r="H85" i="47"/>
  <c r="G85" i="47"/>
  <c r="O85" i="47"/>
  <c r="P85" i="47"/>
  <c r="I85" i="47"/>
  <c r="F85" i="47"/>
  <c r="K85" i="47"/>
  <c r="N85" i="47"/>
  <c r="L85" i="47"/>
  <c r="E85" i="47"/>
  <c r="L86" i="47"/>
  <c r="M86" i="47"/>
  <c r="G86" i="47"/>
  <c r="O86" i="47"/>
  <c r="K86" i="47"/>
  <c r="J86" i="47"/>
  <c r="F86" i="47"/>
  <c r="I86" i="47"/>
  <c r="N86" i="47"/>
  <c r="P86" i="47"/>
  <c r="H86" i="47"/>
  <c r="E86" i="47"/>
  <c r="BL79" i="29"/>
  <c r="BL71" i="29"/>
  <c r="BL74" i="29"/>
  <c r="BL70" i="29"/>
  <c r="BL75" i="29"/>
  <c r="BL67" i="29"/>
  <c r="BL78" i="29"/>
  <c r="AF28" i="43"/>
  <c r="AF18" i="43" s="1"/>
  <c r="AD28" i="43"/>
  <c r="AD18" i="43" s="1"/>
  <c r="AJ28" i="43"/>
  <c r="AJ18" i="43" s="1"/>
  <c r="AG28" i="43"/>
  <c r="AG18" i="43" s="1"/>
  <c r="AK28" i="43"/>
  <c r="AK18" i="43" s="1"/>
  <c r="AI31" i="43"/>
  <c r="AI21" i="43" s="1"/>
  <c r="AD31" i="43"/>
  <c r="AD21" i="43" s="1"/>
  <c r="AJ31" i="43"/>
  <c r="AJ21" i="43" s="1"/>
  <c r="AL31" i="43"/>
  <c r="AL21" i="43" s="1"/>
  <c r="I36" i="34"/>
  <c r="K36" i="34"/>
  <c r="G36" i="34"/>
  <c r="H36" i="34"/>
  <c r="J36" i="34"/>
  <c r="L36" i="34"/>
  <c r="M36" i="34"/>
  <c r="L38" i="30"/>
  <c r="G38" i="30"/>
  <c r="I38" i="30"/>
  <c r="J38" i="30"/>
  <c r="K38" i="30"/>
  <c r="M38" i="30"/>
  <c r="H38" i="30"/>
  <c r="H65" i="30" s="1"/>
  <c r="H66" i="30" s="1"/>
  <c r="H68" i="30" s="1"/>
  <c r="F19" i="30"/>
  <c r="F29" i="30" s="1"/>
  <c r="F19" i="31"/>
  <c r="F29" i="31" s="1"/>
  <c r="H19" i="30"/>
  <c r="H19" i="33"/>
  <c r="F61" i="39"/>
  <c r="F62" i="39" s="1"/>
  <c r="AQ7" i="39"/>
  <c r="CP8" i="47" s="1"/>
  <c r="H19" i="32"/>
  <c r="F19" i="32"/>
  <c r="F29" i="32" s="1"/>
  <c r="F34" i="40"/>
  <c r="AQ7" i="40"/>
  <c r="CQ8" i="47" s="1"/>
  <c r="H19" i="31"/>
  <c r="H19" i="22"/>
  <c r="F19" i="34"/>
  <c r="F29" i="34" s="1"/>
  <c r="F19" i="33"/>
  <c r="F29" i="33" s="1"/>
  <c r="H19" i="34"/>
  <c r="F19" i="22"/>
  <c r="F20" i="22" s="1"/>
  <c r="Q60" i="47"/>
  <c r="AQ63" i="40"/>
  <c r="CQ52" i="47" s="1"/>
  <c r="CR52" i="47" s="1"/>
  <c r="CX52" i="47" s="1"/>
  <c r="AQ65" i="40"/>
  <c r="CQ54" i="47" s="1"/>
  <c r="CR54" i="47" s="1"/>
  <c r="CX54" i="47" s="1"/>
  <c r="AQ33" i="39"/>
  <c r="CP33" i="47" s="1"/>
  <c r="AQ61" i="40"/>
  <c r="CQ50" i="47" s="1"/>
  <c r="CR50" i="47" s="1"/>
  <c r="CX50" i="47" s="1"/>
  <c r="AQ64" i="40"/>
  <c r="CQ53" i="47" s="1"/>
  <c r="CR53" i="47" s="1"/>
  <c r="CX53" i="47" s="1"/>
  <c r="AQ62" i="40"/>
  <c r="CQ51" i="47" s="1"/>
  <c r="CR51" i="47" s="1"/>
  <c r="CX51" i="47" s="1"/>
  <c r="F49" i="40"/>
  <c r="AQ39" i="40"/>
  <c r="CQ33" i="47" s="1"/>
  <c r="H19" i="36"/>
  <c r="H19" i="38"/>
  <c r="H19" i="37"/>
  <c r="H19" i="39"/>
  <c r="H19" i="40"/>
  <c r="F19" i="37"/>
  <c r="F29" i="37" s="1"/>
  <c r="F19" i="38"/>
  <c r="F29" i="38" s="1"/>
  <c r="H19" i="35"/>
  <c r="F36" i="39"/>
  <c r="F38" i="39"/>
  <c r="F19" i="39"/>
  <c r="F29" i="39" s="1"/>
  <c r="F19" i="35"/>
  <c r="F29" i="35" s="1"/>
  <c r="F19" i="36"/>
  <c r="F29" i="36" s="1"/>
  <c r="F42" i="40"/>
  <c r="F19" i="40"/>
  <c r="F35" i="40" s="1"/>
  <c r="F61" i="37"/>
  <c r="F62" i="37" s="1"/>
  <c r="AQ7" i="37"/>
  <c r="AQ33" i="38"/>
  <c r="AQ33" i="33"/>
  <c r="F43" i="22"/>
  <c r="AQ33" i="22"/>
  <c r="AQ33" i="36"/>
  <c r="F38" i="34"/>
  <c r="F38" i="33"/>
  <c r="F65" i="33" s="1"/>
  <c r="F66" i="33" s="1"/>
  <c r="F36" i="22"/>
  <c r="H36" i="22" s="1"/>
  <c r="F61" i="35"/>
  <c r="F62" i="35" s="1"/>
  <c r="AQ7" i="35"/>
  <c r="F61" i="30"/>
  <c r="F62" i="30" s="1"/>
  <c r="AQ7" i="30"/>
  <c r="F61" i="31"/>
  <c r="F62" i="31" s="1"/>
  <c r="AQ7" i="31"/>
  <c r="AQ33" i="31"/>
  <c r="CH33" i="47" s="1"/>
  <c r="F36" i="36"/>
  <c r="F36" i="38"/>
  <c r="F36" i="31"/>
  <c r="F61" i="36"/>
  <c r="F62" i="36" s="1"/>
  <c r="AQ7" i="36"/>
  <c r="F61" i="34"/>
  <c r="F62" i="34" s="1"/>
  <c r="AQ7" i="34"/>
  <c r="F61" i="32"/>
  <c r="F62" i="32" s="1"/>
  <c r="AQ7" i="32"/>
  <c r="AQ33" i="34"/>
  <c r="AQ33" i="30"/>
  <c r="CG33" i="47" s="1"/>
  <c r="F38" i="37"/>
  <c r="F65" i="37" s="1"/>
  <c r="F66" i="37" s="1"/>
  <c r="F38" i="38"/>
  <c r="F65" i="38" s="1"/>
  <c r="F66" i="38" s="1"/>
  <c r="F38" i="32"/>
  <c r="F65" i="32" s="1"/>
  <c r="F66" i="32" s="1"/>
  <c r="F36" i="30"/>
  <c r="F36" i="35"/>
  <c r="F36" i="32"/>
  <c r="F61" i="33"/>
  <c r="F62" i="33" s="1"/>
  <c r="AQ7" i="33"/>
  <c r="F61" i="22"/>
  <c r="F62" i="22" s="1"/>
  <c r="AQ7" i="22"/>
  <c r="F61" i="38"/>
  <c r="F62" i="38" s="1"/>
  <c r="AQ7" i="38"/>
  <c r="AQ33" i="37"/>
  <c r="AQ33" i="35"/>
  <c r="CL33" i="47" s="1"/>
  <c r="AQ33" i="32"/>
  <c r="F38" i="35"/>
  <c r="F38" i="36"/>
  <c r="F38" i="31"/>
  <c r="F36" i="37"/>
  <c r="F36" i="33"/>
  <c r="L27" i="43"/>
  <c r="AS27" i="43" s="1"/>
  <c r="P27" i="43"/>
  <c r="AW27" i="43" s="1"/>
  <c r="L29" i="43"/>
  <c r="AS29" i="43" s="1"/>
  <c r="P29" i="43"/>
  <c r="AW29" i="43" s="1"/>
  <c r="J30" i="43"/>
  <c r="AQ30" i="43" s="1"/>
  <c r="N30" i="43"/>
  <c r="AU30" i="43" s="1"/>
  <c r="R30" i="43"/>
  <c r="AY30" i="43" s="1"/>
  <c r="J32" i="43"/>
  <c r="AQ32" i="43" s="1"/>
  <c r="N32" i="43"/>
  <c r="AU32" i="43" s="1"/>
  <c r="R32" i="43"/>
  <c r="AY32" i="43" s="1"/>
  <c r="I32" i="43"/>
  <c r="AP32" i="43" s="1"/>
  <c r="H27" i="43"/>
  <c r="AO27" i="43" s="1"/>
  <c r="I29" i="43"/>
  <c r="AP29" i="43" s="1"/>
  <c r="S27" i="43"/>
  <c r="AZ27" i="43" s="1"/>
  <c r="S29" i="43"/>
  <c r="AZ29" i="43" s="1"/>
  <c r="M32" i="43"/>
  <c r="AT32" i="43" s="1"/>
  <c r="M27" i="43"/>
  <c r="AT27" i="43" s="1"/>
  <c r="Q27" i="43"/>
  <c r="AX27" i="43" s="1"/>
  <c r="M29" i="43"/>
  <c r="AT29" i="43" s="1"/>
  <c r="Q29" i="43"/>
  <c r="AX29" i="43" s="1"/>
  <c r="K30" i="43"/>
  <c r="AR30" i="43" s="1"/>
  <c r="O30" i="43"/>
  <c r="AV30" i="43" s="1"/>
  <c r="S30" i="43"/>
  <c r="AZ30" i="43" s="1"/>
  <c r="K32" i="43"/>
  <c r="AR32" i="43" s="1"/>
  <c r="O32" i="43"/>
  <c r="AV32" i="43" s="1"/>
  <c r="S32" i="43"/>
  <c r="AZ32" i="43" s="1"/>
  <c r="H30" i="43"/>
  <c r="AO30" i="43" s="1"/>
  <c r="O29" i="43"/>
  <c r="AV29" i="43" s="1"/>
  <c r="Q30" i="43"/>
  <c r="AX30" i="43" s="1"/>
  <c r="I27" i="43"/>
  <c r="AP27" i="43" s="1"/>
  <c r="J27" i="43"/>
  <c r="AQ27" i="43" s="1"/>
  <c r="N27" i="43"/>
  <c r="AU27" i="43" s="1"/>
  <c r="R27" i="43"/>
  <c r="AY27" i="43" s="1"/>
  <c r="J29" i="43"/>
  <c r="AQ29" i="43" s="1"/>
  <c r="N29" i="43"/>
  <c r="AU29" i="43" s="1"/>
  <c r="R29" i="43"/>
  <c r="AY29" i="43" s="1"/>
  <c r="L30" i="43"/>
  <c r="AS30" i="43" s="1"/>
  <c r="P30" i="43"/>
  <c r="AW30" i="43" s="1"/>
  <c r="L32" i="43"/>
  <c r="AS32" i="43" s="1"/>
  <c r="P32" i="43"/>
  <c r="AW32" i="43" s="1"/>
  <c r="I30" i="43"/>
  <c r="AP30" i="43" s="1"/>
  <c r="H29" i="43"/>
  <c r="AO29" i="43" s="1"/>
  <c r="H32" i="43"/>
  <c r="AO32" i="43" s="1"/>
  <c r="K27" i="43"/>
  <c r="AR27" i="43" s="1"/>
  <c r="O27" i="43"/>
  <c r="AV27" i="43" s="1"/>
  <c r="K29" i="43"/>
  <c r="AR29" i="43" s="1"/>
  <c r="M30" i="43"/>
  <c r="AT30" i="43" s="1"/>
  <c r="Q32" i="43"/>
  <c r="AX32" i="43" s="1"/>
  <c r="I26" i="43"/>
  <c r="AP26" i="43" s="1"/>
  <c r="K26" i="43"/>
  <c r="AR26" i="43" s="1"/>
  <c r="P26" i="43"/>
  <c r="J26" i="43"/>
  <c r="AQ26" i="43" s="1"/>
  <c r="O26" i="43"/>
  <c r="AV26" i="43" s="1"/>
  <c r="N26" i="43"/>
  <c r="AU26" i="43" s="1"/>
  <c r="S26" i="43"/>
  <c r="AZ26" i="43" s="1"/>
  <c r="M26" i="43"/>
  <c r="AT26" i="43" s="1"/>
  <c r="R26" i="43"/>
  <c r="AY26" i="43" s="1"/>
  <c r="L26" i="43"/>
  <c r="Q26" i="43"/>
  <c r="AX26" i="43" s="1"/>
  <c r="F65" i="30"/>
  <c r="F66" i="30" s="1"/>
  <c r="G61" i="30"/>
  <c r="G62" i="30" s="1"/>
  <c r="G61" i="32"/>
  <c r="G62" i="32" s="1"/>
  <c r="J18" i="31"/>
  <c r="K18" i="31"/>
  <c r="I18" i="31"/>
  <c r="G18" i="31"/>
  <c r="H18" i="31"/>
  <c r="L18" i="31"/>
  <c r="M18" i="31"/>
  <c r="L18" i="38"/>
  <c r="G18" i="38"/>
  <c r="M18" i="38"/>
  <c r="H18" i="38"/>
  <c r="J18" i="38"/>
  <c r="I18" i="38"/>
  <c r="K18" i="38"/>
  <c r="I18" i="34"/>
  <c r="G18" i="34"/>
  <c r="K18" i="34"/>
  <c r="L18" i="34"/>
  <c r="H18" i="34"/>
  <c r="M18" i="34"/>
  <c r="J18" i="34"/>
  <c r="G61" i="39"/>
  <c r="G62" i="39" s="1"/>
  <c r="M45" i="22"/>
  <c r="H45" i="22"/>
  <c r="I45" i="22"/>
  <c r="J45" i="22"/>
  <c r="G45" i="22"/>
  <c r="L45" i="22"/>
  <c r="K45" i="22"/>
  <c r="J45" i="33"/>
  <c r="M45" i="33"/>
  <c r="K45" i="33"/>
  <c r="I45" i="33"/>
  <c r="G45" i="33"/>
  <c r="L45" i="33"/>
  <c r="H45" i="33"/>
  <c r="G51" i="40"/>
  <c r="H51" i="40"/>
  <c r="L51" i="40"/>
  <c r="K51" i="40"/>
  <c r="I51" i="40"/>
  <c r="J51" i="40"/>
  <c r="M51" i="40"/>
  <c r="F21" i="40"/>
  <c r="F21" i="39"/>
  <c r="F73" i="40"/>
  <c r="F74" i="40" s="1"/>
  <c r="G61" i="37"/>
  <c r="G62" i="37" s="1"/>
  <c r="G61" i="33"/>
  <c r="G62" i="33" s="1"/>
  <c r="G61" i="34"/>
  <c r="G62" i="34" s="1"/>
  <c r="G61" i="31"/>
  <c r="G62" i="31" s="1"/>
  <c r="M18" i="30"/>
  <c r="L18" i="30"/>
  <c r="J18" i="30"/>
  <c r="H18" i="30"/>
  <c r="K18" i="30"/>
  <c r="G18" i="30"/>
  <c r="I18" i="30"/>
  <c r="M18" i="32"/>
  <c r="I18" i="32"/>
  <c r="J18" i="32"/>
  <c r="G18" i="32"/>
  <c r="H18" i="32"/>
  <c r="K18" i="32"/>
  <c r="L18" i="32"/>
  <c r="K18" i="36"/>
  <c r="H18" i="36"/>
  <c r="M18" i="36"/>
  <c r="I18" i="36"/>
  <c r="G18" i="36"/>
  <c r="L18" i="36"/>
  <c r="J18" i="36"/>
  <c r="I18" i="39"/>
  <c r="L18" i="39"/>
  <c r="H18" i="39"/>
  <c r="G18" i="39"/>
  <c r="M18" i="39"/>
  <c r="J18" i="39"/>
  <c r="K18" i="39"/>
  <c r="G45" i="34"/>
  <c r="J45" i="34"/>
  <c r="L45" i="34"/>
  <c r="K45" i="34"/>
  <c r="I45" i="34"/>
  <c r="M45" i="34"/>
  <c r="H45" i="34"/>
  <c r="J45" i="30"/>
  <c r="H45" i="30"/>
  <c r="I45" i="30"/>
  <c r="M45" i="30"/>
  <c r="G45" i="30"/>
  <c r="K45" i="30"/>
  <c r="L45" i="30"/>
  <c r="H45" i="36"/>
  <c r="L45" i="36"/>
  <c r="J45" i="36"/>
  <c r="K45" i="36"/>
  <c r="I45" i="36"/>
  <c r="M45" i="36"/>
  <c r="G45" i="36"/>
  <c r="L45" i="39"/>
  <c r="K45" i="39"/>
  <c r="J45" i="39"/>
  <c r="I45" i="39"/>
  <c r="G45" i="39"/>
  <c r="H45" i="39"/>
  <c r="M45" i="39"/>
  <c r="H73" i="40"/>
  <c r="H74" i="40" s="1"/>
  <c r="G61" i="35"/>
  <c r="G62" i="35" s="1"/>
  <c r="G61" i="38"/>
  <c r="G62" i="38" s="1"/>
  <c r="M18" i="37"/>
  <c r="L18" i="37"/>
  <c r="J18" i="37"/>
  <c r="H18" i="37"/>
  <c r="I18" i="37"/>
  <c r="K18" i="37"/>
  <c r="G18" i="37"/>
  <c r="K45" i="35"/>
  <c r="G45" i="35"/>
  <c r="J45" i="35"/>
  <c r="I45" i="35"/>
  <c r="H45" i="35"/>
  <c r="M45" i="35"/>
  <c r="L45" i="35"/>
  <c r="G45" i="31"/>
  <c r="M45" i="31"/>
  <c r="H45" i="31"/>
  <c r="I45" i="31"/>
  <c r="K45" i="31"/>
  <c r="L45" i="31"/>
  <c r="J45" i="31"/>
  <c r="L45" i="32"/>
  <c r="H45" i="32"/>
  <c r="M45" i="32"/>
  <c r="K45" i="32"/>
  <c r="J45" i="32"/>
  <c r="I45" i="32"/>
  <c r="G45" i="32"/>
  <c r="G61" i="36"/>
  <c r="G62" i="36" s="1"/>
  <c r="G61" i="22"/>
  <c r="G62" i="22" s="1"/>
  <c r="G18" i="22"/>
  <c r="L18" i="22"/>
  <c r="J18" i="22"/>
  <c r="H18" i="22"/>
  <c r="K18" i="22"/>
  <c r="M18" i="22"/>
  <c r="I18" i="22"/>
  <c r="M18" i="35"/>
  <c r="K18" i="35"/>
  <c r="L18" i="35"/>
  <c r="J18" i="35"/>
  <c r="G18" i="35"/>
  <c r="H18" i="35"/>
  <c r="I18" i="35"/>
  <c r="J18" i="33"/>
  <c r="H18" i="33"/>
  <c r="M18" i="33"/>
  <c r="K18" i="33"/>
  <c r="I18" i="33"/>
  <c r="G18" i="33"/>
  <c r="L18" i="33"/>
  <c r="J18" i="40"/>
  <c r="I18" i="40"/>
  <c r="G18" i="40"/>
  <c r="L18" i="40"/>
  <c r="H18" i="40"/>
  <c r="M18" i="40"/>
  <c r="K18" i="40"/>
  <c r="I45" i="37"/>
  <c r="G45" i="37"/>
  <c r="L45" i="37"/>
  <c r="H45" i="37"/>
  <c r="J45" i="37"/>
  <c r="M45" i="37"/>
  <c r="K45" i="37"/>
  <c r="L45" i="38"/>
  <c r="H45" i="38"/>
  <c r="G45" i="38"/>
  <c r="K45" i="38"/>
  <c r="J45" i="38"/>
  <c r="I45" i="38"/>
  <c r="M45" i="38"/>
  <c r="E7" i="43"/>
  <c r="K51" i="43"/>
  <c r="E11" i="43"/>
  <c r="R51" i="43"/>
  <c r="Q51" i="43"/>
  <c r="P51" i="43"/>
  <c r="E9" i="43"/>
  <c r="E8" i="43"/>
  <c r="S51" i="43"/>
  <c r="E10" i="43"/>
  <c r="E12" i="43"/>
  <c r="E6" i="43"/>
  <c r="U17" i="19"/>
  <c r="F24" i="32" s="1"/>
  <c r="H43" i="20"/>
  <c r="Z17" i="19" s="1"/>
  <c r="F21" i="32"/>
  <c r="F21" i="31"/>
  <c r="F21" i="34"/>
  <c r="F21" i="22"/>
  <c r="F21" i="37"/>
  <c r="F21" i="36"/>
  <c r="F21" i="30"/>
  <c r="F21" i="35"/>
  <c r="F21" i="33"/>
  <c r="F21" i="38"/>
  <c r="F23" i="32"/>
  <c r="F23" i="39"/>
  <c r="F23" i="38"/>
  <c r="F23" i="37"/>
  <c r="F23" i="22"/>
  <c r="F23" i="31"/>
  <c r="F23" i="33"/>
  <c r="F23" i="35"/>
  <c r="F23" i="36"/>
  <c r="F23" i="30"/>
  <c r="F23" i="34"/>
  <c r="F23" i="40"/>
  <c r="F26" i="32"/>
  <c r="F26" i="39"/>
  <c r="F26" i="37"/>
  <c r="F26" i="36"/>
  <c r="F26" i="35"/>
  <c r="F26" i="34"/>
  <c r="F26" i="33"/>
  <c r="F26" i="40"/>
  <c r="F26" i="38"/>
  <c r="F26" i="22"/>
  <c r="F26" i="31"/>
  <c r="F26" i="30"/>
  <c r="F22" i="32"/>
  <c r="F22" i="40"/>
  <c r="F22" i="33"/>
  <c r="F22" i="30"/>
  <c r="F22" i="39"/>
  <c r="F22" i="38"/>
  <c r="F22" i="37"/>
  <c r="F22" i="22"/>
  <c r="F22" i="31"/>
  <c r="F22" i="34"/>
  <c r="F22" i="35"/>
  <c r="F22" i="36"/>
  <c r="F38" i="22"/>
  <c r="F28" i="22"/>
  <c r="F44" i="40"/>
  <c r="G35" i="35"/>
  <c r="M43" i="22"/>
  <c r="G35" i="30"/>
  <c r="F42" i="22"/>
  <c r="F48" i="40"/>
  <c r="G35" i="39"/>
  <c r="F28" i="35"/>
  <c r="F42" i="35"/>
  <c r="G35" i="31"/>
  <c r="L43" i="22"/>
  <c r="H43" i="22"/>
  <c r="F28" i="36"/>
  <c r="F42" i="36"/>
  <c r="G35" i="37"/>
  <c r="G41" i="40"/>
  <c r="G35" i="36"/>
  <c r="F28" i="31"/>
  <c r="F42" i="31"/>
  <c r="G35" i="38"/>
  <c r="F43" i="36"/>
  <c r="G43" i="22"/>
  <c r="F28" i="33"/>
  <c r="F42" i="33"/>
  <c r="F28" i="38"/>
  <c r="F42" i="38"/>
  <c r="F28" i="34"/>
  <c r="F42" i="34"/>
  <c r="J43" i="22"/>
  <c r="F28" i="32"/>
  <c r="F42" i="32"/>
  <c r="G35" i="22"/>
  <c r="I43" i="22"/>
  <c r="K43" i="22"/>
  <c r="F28" i="39"/>
  <c r="F42" i="39"/>
  <c r="G35" i="33"/>
  <c r="F28" i="30"/>
  <c r="F42" i="30"/>
  <c r="F28" i="37"/>
  <c r="F42" i="37"/>
  <c r="I43" i="38"/>
  <c r="M43" i="34"/>
  <c r="K43" i="38"/>
  <c r="I49" i="40"/>
  <c r="K9" i="35"/>
  <c r="J43" i="37"/>
  <c r="K9" i="31"/>
  <c r="K10" i="38"/>
  <c r="I10" i="38"/>
  <c r="H10" i="38"/>
  <c r="J10" i="38"/>
  <c r="G10" i="38"/>
  <c r="L10" i="38"/>
  <c r="M10" i="38"/>
  <c r="K10" i="32"/>
  <c r="I10" i="32"/>
  <c r="G10" i="32"/>
  <c r="H10" i="32"/>
  <c r="L10" i="32"/>
  <c r="M10" i="32"/>
  <c r="J10" i="32"/>
  <c r="K10" i="40"/>
  <c r="I10" i="40"/>
  <c r="G10" i="40"/>
  <c r="H10" i="40"/>
  <c r="M10" i="40"/>
  <c r="J10" i="40"/>
  <c r="L10" i="40"/>
  <c r="G43" i="39"/>
  <c r="I43" i="31"/>
  <c r="G43" i="34"/>
  <c r="G43" i="32"/>
  <c r="H43" i="38"/>
  <c r="K43" i="34"/>
  <c r="L49" i="40"/>
  <c r="G43" i="30"/>
  <c r="K43" i="37"/>
  <c r="H43" i="32"/>
  <c r="I43" i="33"/>
  <c r="L43" i="37"/>
  <c r="I43" i="35"/>
  <c r="G43" i="35"/>
  <c r="M43" i="32"/>
  <c r="L43" i="38"/>
  <c r="M16" i="36"/>
  <c r="J16" i="36"/>
  <c r="K16" i="36"/>
  <c r="L16" i="36"/>
  <c r="G16" i="36"/>
  <c r="I16" i="36"/>
  <c r="H16" i="36"/>
  <c r="H29" i="36" s="1"/>
  <c r="F43" i="37"/>
  <c r="K9" i="37"/>
  <c r="J43" i="30"/>
  <c r="K9" i="40"/>
  <c r="J49" i="40"/>
  <c r="K9" i="36"/>
  <c r="J43" i="38"/>
  <c r="I16" i="31"/>
  <c r="K16" i="31"/>
  <c r="M16" i="31"/>
  <c r="J16" i="31"/>
  <c r="L16" i="31"/>
  <c r="H16" i="31"/>
  <c r="G16" i="31"/>
  <c r="K9" i="38"/>
  <c r="G12" i="34"/>
  <c r="J12" i="34"/>
  <c r="K12" i="34"/>
  <c r="I10" i="35"/>
  <c r="H10" i="35"/>
  <c r="L10" i="35"/>
  <c r="J10" i="35"/>
  <c r="G10" i="35"/>
  <c r="K10" i="35"/>
  <c r="M10" i="35"/>
  <c r="I12" i="36"/>
  <c r="M12" i="36"/>
  <c r="L12" i="36"/>
  <c r="G12" i="33"/>
  <c r="J12" i="33"/>
  <c r="K12" i="33"/>
  <c r="J10" i="37"/>
  <c r="I10" i="37"/>
  <c r="K10" i="37"/>
  <c r="H10" i="37"/>
  <c r="M10" i="37"/>
  <c r="L10" i="37"/>
  <c r="G10" i="37"/>
  <c r="M12" i="34"/>
  <c r="L12" i="34"/>
  <c r="I12" i="34"/>
  <c r="K12" i="39"/>
  <c r="G12" i="39"/>
  <c r="J12" i="39"/>
  <c r="G10" i="39"/>
  <c r="H10" i="39"/>
  <c r="L10" i="39"/>
  <c r="K10" i="39"/>
  <c r="M10" i="39"/>
  <c r="I10" i="39"/>
  <c r="J10" i="39"/>
  <c r="M12" i="37"/>
  <c r="I12" i="37"/>
  <c r="L12" i="37"/>
  <c r="L43" i="34"/>
  <c r="L43" i="33"/>
  <c r="K43" i="32"/>
  <c r="M43" i="39"/>
  <c r="I43" i="34"/>
  <c r="G43" i="33"/>
  <c r="H43" i="36"/>
  <c r="G16" i="22"/>
  <c r="M16" i="22"/>
  <c r="H16" i="22"/>
  <c r="J16" i="22"/>
  <c r="I16" i="22"/>
  <c r="L16" i="22"/>
  <c r="K16" i="22"/>
  <c r="F43" i="34"/>
  <c r="H16" i="35"/>
  <c r="L16" i="35"/>
  <c r="J16" i="35"/>
  <c r="I16" i="35"/>
  <c r="G16" i="35"/>
  <c r="M16" i="35"/>
  <c r="K16" i="35"/>
  <c r="J43" i="36"/>
  <c r="L10" i="33"/>
  <c r="G10" i="33"/>
  <c r="I10" i="33"/>
  <c r="H10" i="33"/>
  <c r="K10" i="33"/>
  <c r="M10" i="33"/>
  <c r="J10" i="33"/>
  <c r="K12" i="36"/>
  <c r="J12" i="36"/>
  <c r="G12" i="36"/>
  <c r="G12" i="22"/>
  <c r="G19" i="22" s="1"/>
  <c r="J12" i="22"/>
  <c r="J19" i="22" s="1"/>
  <c r="K12" i="22"/>
  <c r="L10" i="22"/>
  <c r="H10" i="22"/>
  <c r="G10" i="22"/>
  <c r="J10" i="22"/>
  <c r="I10" i="22"/>
  <c r="M10" i="22"/>
  <c r="K10" i="22"/>
  <c r="K43" i="36"/>
  <c r="L43" i="35"/>
  <c r="M43" i="38"/>
  <c r="K43" i="35"/>
  <c r="I43" i="36"/>
  <c r="K43" i="33"/>
  <c r="H43" i="35"/>
  <c r="G49" i="40"/>
  <c r="M43" i="37"/>
  <c r="L43" i="31"/>
  <c r="H49" i="40"/>
  <c r="L43" i="32"/>
  <c r="I43" i="30"/>
  <c r="K43" i="31"/>
  <c r="M43" i="33"/>
  <c r="L43" i="39"/>
  <c r="I43" i="32"/>
  <c r="J16" i="33"/>
  <c r="G16" i="33"/>
  <c r="H16" i="33"/>
  <c r="L16" i="33"/>
  <c r="M16" i="33"/>
  <c r="K16" i="33"/>
  <c r="I16" i="33"/>
  <c r="F43" i="38"/>
  <c r="F43" i="39"/>
  <c r="I16" i="38"/>
  <c r="G16" i="38"/>
  <c r="M16" i="38"/>
  <c r="J16" i="38"/>
  <c r="H16" i="38"/>
  <c r="H29" i="38" s="1"/>
  <c r="K16" i="38"/>
  <c r="L16" i="38"/>
  <c r="J43" i="33"/>
  <c r="K9" i="32"/>
  <c r="M16" i="34"/>
  <c r="J16" i="34"/>
  <c r="I16" i="34"/>
  <c r="K16" i="34"/>
  <c r="G16" i="34"/>
  <c r="H16" i="34"/>
  <c r="L16" i="34"/>
  <c r="K16" i="32"/>
  <c r="G16" i="32"/>
  <c r="L16" i="32"/>
  <c r="M16" i="32"/>
  <c r="I16" i="32"/>
  <c r="J16" i="32"/>
  <c r="H16" i="32"/>
  <c r="K9" i="22"/>
  <c r="J43" i="31"/>
  <c r="L12" i="30"/>
  <c r="I12" i="30"/>
  <c r="M12" i="30"/>
  <c r="K12" i="37"/>
  <c r="G12" i="37"/>
  <c r="J12" i="37"/>
  <c r="L12" i="32"/>
  <c r="M12" i="32"/>
  <c r="I12" i="32"/>
  <c r="I12" i="38"/>
  <c r="M12" i="38"/>
  <c r="L12" i="38"/>
  <c r="G12" i="38"/>
  <c r="J12" i="38"/>
  <c r="K12" i="38"/>
  <c r="M12" i="33"/>
  <c r="L12" i="33"/>
  <c r="I12" i="33"/>
  <c r="I12" i="40"/>
  <c r="M12" i="40"/>
  <c r="L12" i="40"/>
  <c r="K12" i="32"/>
  <c r="J12" i="32"/>
  <c r="G12" i="32"/>
  <c r="L12" i="35"/>
  <c r="M12" i="35"/>
  <c r="I12" i="35"/>
  <c r="K43" i="30"/>
  <c r="G43" i="31"/>
  <c r="G43" i="38"/>
  <c r="H43" i="37"/>
  <c r="H43" i="33"/>
  <c r="L43" i="30"/>
  <c r="K9" i="30"/>
  <c r="K61" i="30" s="1"/>
  <c r="K62" i="30" s="1"/>
  <c r="J43" i="39"/>
  <c r="M16" i="40"/>
  <c r="M34" i="40" s="1"/>
  <c r="AE79" i="40" s="1"/>
  <c r="L16" i="40"/>
  <c r="L34" i="40" s="1"/>
  <c r="AE78" i="40" s="1"/>
  <c r="I16" i="40"/>
  <c r="H16" i="40"/>
  <c r="K16" i="40"/>
  <c r="G16" i="40"/>
  <c r="J16" i="40"/>
  <c r="K9" i="39"/>
  <c r="F43" i="32"/>
  <c r="G12" i="30"/>
  <c r="J12" i="30"/>
  <c r="K12" i="30"/>
  <c r="K10" i="34"/>
  <c r="M10" i="34"/>
  <c r="L10" i="34"/>
  <c r="J10" i="34"/>
  <c r="H10" i="34"/>
  <c r="G10" i="34"/>
  <c r="I10" i="34"/>
  <c r="M43" i="36"/>
  <c r="H43" i="30"/>
  <c r="H43" i="39"/>
  <c r="M43" i="31"/>
  <c r="G43" i="37"/>
  <c r="M43" i="35"/>
  <c r="M43" i="30"/>
  <c r="L43" i="36"/>
  <c r="I43" i="37"/>
  <c r="K43" i="39"/>
  <c r="H43" i="34"/>
  <c r="G43" i="36"/>
  <c r="K49" i="40"/>
  <c r="M49" i="40"/>
  <c r="H43" i="31"/>
  <c r="I43" i="39"/>
  <c r="M16" i="39"/>
  <c r="H16" i="39"/>
  <c r="K16" i="39"/>
  <c r="G16" i="39"/>
  <c r="L16" i="39"/>
  <c r="J16" i="39"/>
  <c r="I16" i="39"/>
  <c r="J43" i="35"/>
  <c r="F43" i="33"/>
  <c r="K9" i="33"/>
  <c r="K61" i="33" s="1"/>
  <c r="K62" i="33" s="1"/>
  <c r="F43" i="31"/>
  <c r="J43" i="34"/>
  <c r="F43" i="35"/>
  <c r="K9" i="34"/>
  <c r="G16" i="30"/>
  <c r="M16" i="30"/>
  <c r="J16" i="30"/>
  <c r="H16" i="30"/>
  <c r="K16" i="30"/>
  <c r="I16" i="30"/>
  <c r="L16" i="30"/>
  <c r="G16" i="37"/>
  <c r="L16" i="37"/>
  <c r="K16" i="37"/>
  <c r="J16" i="37"/>
  <c r="M16" i="37"/>
  <c r="H16" i="37"/>
  <c r="I16" i="37"/>
  <c r="F43" i="30"/>
  <c r="J43" i="32"/>
  <c r="M10" i="30"/>
  <c r="K10" i="30"/>
  <c r="G10" i="30"/>
  <c r="H10" i="30"/>
  <c r="I10" i="30"/>
  <c r="L10" i="30"/>
  <c r="J10" i="30"/>
  <c r="K12" i="35"/>
  <c r="G12" i="35"/>
  <c r="J12" i="35"/>
  <c r="L12" i="31"/>
  <c r="I12" i="31"/>
  <c r="M12" i="31"/>
  <c r="H10" i="31"/>
  <c r="I10" i="31"/>
  <c r="L10" i="31"/>
  <c r="K10" i="31"/>
  <c r="J10" i="31"/>
  <c r="G10" i="31"/>
  <c r="M10" i="31"/>
  <c r="K12" i="40"/>
  <c r="J12" i="40"/>
  <c r="G12" i="40"/>
  <c r="G19" i="40" s="1"/>
  <c r="M12" i="39"/>
  <c r="L12" i="39"/>
  <c r="I12" i="39"/>
  <c r="M10" i="36"/>
  <c r="G10" i="36"/>
  <c r="J10" i="36"/>
  <c r="I10" i="36"/>
  <c r="H10" i="36"/>
  <c r="K10" i="36"/>
  <c r="L10" i="36"/>
  <c r="J12" i="31"/>
  <c r="G12" i="31"/>
  <c r="K12" i="31"/>
  <c r="L12" i="22"/>
  <c r="L19" i="22" s="1"/>
  <c r="M12" i="22"/>
  <c r="M19" i="22" s="1"/>
  <c r="I12" i="22"/>
  <c r="I19" i="22" s="1"/>
  <c r="AA37" i="30"/>
  <c r="M25" i="22"/>
  <c r="AQ25" i="22" s="1"/>
  <c r="CF22" i="47" s="1"/>
  <c r="CR22" i="47" s="1"/>
  <c r="CX22" i="47" s="1"/>
  <c r="G5" i="1"/>
  <c r="J51" i="43" l="1"/>
  <c r="AK31" i="43"/>
  <c r="AK21" i="43" s="1"/>
  <c r="O51" i="43"/>
  <c r="AH31" i="43"/>
  <c r="AH21" i="43" s="1"/>
  <c r="N51" i="43"/>
  <c r="AG31" i="43"/>
  <c r="AG21" i="43" s="1"/>
  <c r="AF31" i="43"/>
  <c r="AF21" i="43" s="1"/>
  <c r="M51" i="43"/>
  <c r="L51" i="43"/>
  <c r="AE31" i="43"/>
  <c r="AE21" i="43" s="1"/>
  <c r="AC31" i="43"/>
  <c r="AC21" i="43" s="1"/>
  <c r="AB31" i="43"/>
  <c r="AB21" i="43" s="1"/>
  <c r="I51" i="43"/>
  <c r="H51" i="43"/>
  <c r="AA31" i="43"/>
  <c r="AA21" i="43" s="1"/>
  <c r="H29" i="37"/>
  <c r="AQ28" i="43"/>
  <c r="J48" i="43"/>
  <c r="S48" i="43"/>
  <c r="AZ28" i="43"/>
  <c r="O48" i="43"/>
  <c r="AV28" i="43"/>
  <c r="H18" i="43"/>
  <c r="H38" i="43" s="1"/>
  <c r="N18" i="43"/>
  <c r="N38" i="43" s="1"/>
  <c r="M18" i="43"/>
  <c r="M38" i="43" s="1"/>
  <c r="L18" i="43"/>
  <c r="L38" i="43" s="1"/>
  <c r="I18" i="43"/>
  <c r="I38" i="43" s="1"/>
  <c r="S18" i="43"/>
  <c r="S38" i="43" s="1"/>
  <c r="R18" i="43"/>
  <c r="R38" i="43" s="1"/>
  <c r="J18" i="43"/>
  <c r="J38" i="43" s="1"/>
  <c r="Q18" i="43"/>
  <c r="Q38" i="43" s="1"/>
  <c r="O18" i="43"/>
  <c r="O38" i="43" s="1"/>
  <c r="P18" i="43"/>
  <c r="P38" i="43" s="1"/>
  <c r="K18" i="43"/>
  <c r="K38" i="43" s="1"/>
  <c r="AY28" i="43"/>
  <c r="R48" i="43"/>
  <c r="M48" i="43"/>
  <c r="AT28" i="43"/>
  <c r="Q48" i="43"/>
  <c r="AX28" i="43"/>
  <c r="K48" i="43"/>
  <c r="AR28" i="43"/>
  <c r="N48" i="43"/>
  <c r="AU28" i="43"/>
  <c r="AS28" i="43"/>
  <c r="L48" i="43"/>
  <c r="H46" i="43"/>
  <c r="AO26" i="43"/>
  <c r="AW28" i="43"/>
  <c r="P48" i="43"/>
  <c r="H48" i="43"/>
  <c r="AO28" i="43"/>
  <c r="I48" i="43"/>
  <c r="AP28" i="43"/>
  <c r="F29" i="22"/>
  <c r="F20" i="40"/>
  <c r="O88" i="47"/>
  <c r="P97" i="47"/>
  <c r="P104" i="47"/>
  <c r="J104" i="47"/>
  <c r="J97" i="47"/>
  <c r="M97" i="47"/>
  <c r="M104" i="47"/>
  <c r="N88" i="47"/>
  <c r="N91" i="47" s="1"/>
  <c r="P88" i="47"/>
  <c r="M88" i="47"/>
  <c r="N97" i="47"/>
  <c r="N104" i="47"/>
  <c r="K104" i="47"/>
  <c r="K97" i="47"/>
  <c r="L97" i="47"/>
  <c r="L104" i="47"/>
  <c r="K88" i="47"/>
  <c r="J88" i="47"/>
  <c r="E88" i="47"/>
  <c r="E91" i="47" s="1"/>
  <c r="E97" i="47"/>
  <c r="E104" i="47"/>
  <c r="I104" i="47"/>
  <c r="I97" i="47"/>
  <c r="O97" i="47"/>
  <c r="O104" i="47"/>
  <c r="F88" i="47"/>
  <c r="F91" i="47" s="1"/>
  <c r="G88" i="47"/>
  <c r="H104" i="47"/>
  <c r="H97" i="47"/>
  <c r="F104" i="47"/>
  <c r="F97" i="47"/>
  <c r="G97" i="47"/>
  <c r="G104" i="47"/>
  <c r="L88" i="47"/>
  <c r="L92" i="47" s="1"/>
  <c r="I88" i="47"/>
  <c r="I91" i="47" s="1"/>
  <c r="H88" i="47"/>
  <c r="I36" i="22"/>
  <c r="L47" i="43"/>
  <c r="H35" i="40"/>
  <c r="J50" i="43"/>
  <c r="I49" i="43"/>
  <c r="K61" i="32"/>
  <c r="K62" i="32" s="1"/>
  <c r="K35" i="32"/>
  <c r="F55" i="22"/>
  <c r="K61" i="34"/>
  <c r="K62" i="34" s="1"/>
  <c r="K35" i="34"/>
  <c r="L36" i="22"/>
  <c r="J34" i="40"/>
  <c r="I34" i="40"/>
  <c r="AE75" i="40" s="1"/>
  <c r="J38" i="36"/>
  <c r="G38" i="36"/>
  <c r="G46" i="36" s="1"/>
  <c r="K38" i="36"/>
  <c r="H38" i="36"/>
  <c r="H46" i="36" s="1"/>
  <c r="L38" i="36"/>
  <c r="I38" i="36"/>
  <c r="M38" i="36"/>
  <c r="I38" i="37"/>
  <c r="M38" i="37"/>
  <c r="J38" i="37"/>
  <c r="K38" i="37"/>
  <c r="G38" i="37"/>
  <c r="G46" i="37" s="1"/>
  <c r="H38" i="37"/>
  <c r="L38" i="37"/>
  <c r="F46" i="33"/>
  <c r="F56" i="33" s="1"/>
  <c r="H38" i="33"/>
  <c r="H65" i="33" s="1"/>
  <c r="H66" i="33" s="1"/>
  <c r="H68" i="33" s="1"/>
  <c r="L38" i="33"/>
  <c r="I38" i="33"/>
  <c r="M38" i="33"/>
  <c r="J38" i="33"/>
  <c r="G38" i="33"/>
  <c r="G46" i="33" s="1"/>
  <c r="K38" i="33"/>
  <c r="F65" i="35"/>
  <c r="F66" i="35" s="1"/>
  <c r="F68" i="35" s="1"/>
  <c r="H38" i="35"/>
  <c r="H46" i="35" s="1"/>
  <c r="L38" i="35"/>
  <c r="I38" i="35"/>
  <c r="M38" i="35"/>
  <c r="J38" i="35"/>
  <c r="G38" i="35"/>
  <c r="K38" i="35"/>
  <c r="K38" i="34"/>
  <c r="H38" i="34"/>
  <c r="H65" i="34" s="1"/>
  <c r="H66" i="34" s="1"/>
  <c r="H68" i="34" s="1"/>
  <c r="L38" i="34"/>
  <c r="I38" i="34"/>
  <c r="M38" i="34"/>
  <c r="J38" i="34"/>
  <c r="G38" i="34"/>
  <c r="G46" i="34" s="1"/>
  <c r="G34" i="40"/>
  <c r="AE67" i="40" s="1"/>
  <c r="F46" i="32"/>
  <c r="F56" i="32" s="1"/>
  <c r="I38" i="32"/>
  <c r="M38" i="32"/>
  <c r="J38" i="32"/>
  <c r="G38" i="32"/>
  <c r="G46" i="32" s="1"/>
  <c r="K38" i="32"/>
  <c r="H38" i="32"/>
  <c r="H65" i="32" s="1"/>
  <c r="H66" i="32" s="1"/>
  <c r="H68" i="32" s="1"/>
  <c r="L38" i="32"/>
  <c r="K38" i="39"/>
  <c r="H38" i="39"/>
  <c r="H65" i="39" s="1"/>
  <c r="H66" i="39" s="1"/>
  <c r="H68" i="39" s="1"/>
  <c r="L38" i="39"/>
  <c r="L65" i="39" s="1"/>
  <c r="L66" i="39" s="1"/>
  <c r="L68" i="39" s="1"/>
  <c r="I38" i="39"/>
  <c r="I65" i="39" s="1"/>
  <c r="I66" i="39" s="1"/>
  <c r="I68" i="39" s="1"/>
  <c r="M38" i="39"/>
  <c r="J38" i="39"/>
  <c r="G38" i="39"/>
  <c r="K34" i="40"/>
  <c r="AE77" i="40" s="1"/>
  <c r="I44" i="40"/>
  <c r="M44" i="40"/>
  <c r="J44" i="40"/>
  <c r="G44" i="40"/>
  <c r="G77" i="40" s="1"/>
  <c r="G78" i="40" s="1"/>
  <c r="K44" i="40"/>
  <c r="H44" i="40"/>
  <c r="H52" i="40" s="1"/>
  <c r="L44" i="40"/>
  <c r="F46" i="31"/>
  <c r="F56" i="31" s="1"/>
  <c r="J38" i="31"/>
  <c r="M38" i="31"/>
  <c r="I38" i="31"/>
  <c r="L38" i="31"/>
  <c r="H38" i="31"/>
  <c r="H65" i="31" s="1"/>
  <c r="H66" i="31" s="1"/>
  <c r="H68" i="31" s="1"/>
  <c r="K38" i="31"/>
  <c r="G38" i="31"/>
  <c r="G46" i="31" s="1"/>
  <c r="I38" i="38"/>
  <c r="M38" i="38"/>
  <c r="G38" i="38"/>
  <c r="G46" i="38" s="1"/>
  <c r="J38" i="38"/>
  <c r="K38" i="38"/>
  <c r="H38" i="38"/>
  <c r="H46" i="38" s="1"/>
  <c r="L38" i="38"/>
  <c r="AE76" i="40"/>
  <c r="AE69" i="40"/>
  <c r="AE68" i="40"/>
  <c r="AE81" i="40"/>
  <c r="AE73" i="40"/>
  <c r="H29" i="35"/>
  <c r="J42" i="39"/>
  <c r="G42" i="39"/>
  <c r="K42" i="39"/>
  <c r="H42" i="39"/>
  <c r="L42" i="39"/>
  <c r="I42" i="39"/>
  <c r="M42" i="39"/>
  <c r="G42" i="34"/>
  <c r="G55" i="34" s="1"/>
  <c r="K42" i="34"/>
  <c r="H42" i="34"/>
  <c r="L42" i="34"/>
  <c r="I42" i="34"/>
  <c r="M42" i="34"/>
  <c r="J42" i="34"/>
  <c r="J42" i="33"/>
  <c r="K42" i="33"/>
  <c r="H42" i="33"/>
  <c r="L42" i="33"/>
  <c r="M42" i="33"/>
  <c r="G42" i="33"/>
  <c r="G55" i="33" s="1"/>
  <c r="I42" i="33"/>
  <c r="J42" i="30"/>
  <c r="J55" i="30" s="1"/>
  <c r="M42" i="30"/>
  <c r="I42" i="30"/>
  <c r="I55" i="30" s="1"/>
  <c r="G42" i="30"/>
  <c r="L42" i="30"/>
  <c r="L55" i="30" s="1"/>
  <c r="K42" i="30"/>
  <c r="H42" i="30"/>
  <c r="H55" i="30" s="1"/>
  <c r="J42" i="32"/>
  <c r="L42" i="32"/>
  <c r="K42" i="32"/>
  <c r="H42" i="32"/>
  <c r="H55" i="32" s="1"/>
  <c r="M42" i="32"/>
  <c r="G42" i="32"/>
  <c r="I42" i="32"/>
  <c r="J42" i="31"/>
  <c r="K42" i="31"/>
  <c r="G42" i="31"/>
  <c r="L42" i="31"/>
  <c r="H42" i="31"/>
  <c r="M42" i="31"/>
  <c r="I42" i="31"/>
  <c r="H34" i="40"/>
  <c r="AE74" i="40" s="1"/>
  <c r="H42" i="38"/>
  <c r="L42" i="38"/>
  <c r="I42" i="38"/>
  <c r="M42" i="38"/>
  <c r="G42" i="38"/>
  <c r="J42" i="38"/>
  <c r="K42" i="38"/>
  <c r="I42" i="36"/>
  <c r="M42" i="36"/>
  <c r="M55" i="36" s="1"/>
  <c r="J42" i="36"/>
  <c r="G42" i="36"/>
  <c r="K42" i="36"/>
  <c r="H42" i="36"/>
  <c r="L42" i="36"/>
  <c r="H48" i="40"/>
  <c r="H67" i="40" s="1"/>
  <c r="L48" i="40"/>
  <c r="L67" i="40" s="1"/>
  <c r="I48" i="40"/>
  <c r="M48" i="40"/>
  <c r="J48" i="40"/>
  <c r="G48" i="40"/>
  <c r="K48" i="40"/>
  <c r="AI26" i="43"/>
  <c r="AI16" i="43" s="1"/>
  <c r="AW26" i="43"/>
  <c r="AE64" i="40"/>
  <c r="AE72" i="40"/>
  <c r="AE80" i="40"/>
  <c r="AE65" i="40"/>
  <c r="H42" i="37"/>
  <c r="L42" i="37"/>
  <c r="I42" i="37"/>
  <c r="M42" i="37"/>
  <c r="J42" i="37"/>
  <c r="G42" i="37"/>
  <c r="K42" i="37"/>
  <c r="J42" i="35"/>
  <c r="G42" i="35"/>
  <c r="M42" i="35"/>
  <c r="M55" i="35" s="1"/>
  <c r="K42" i="35"/>
  <c r="H42" i="35"/>
  <c r="L42" i="35"/>
  <c r="I42" i="35"/>
  <c r="AE26" i="43"/>
  <c r="AE16" i="43" s="1"/>
  <c r="AS26" i="43"/>
  <c r="F67" i="40"/>
  <c r="F49" i="35"/>
  <c r="F49" i="37"/>
  <c r="F49" i="33"/>
  <c r="F53" i="31"/>
  <c r="F53" i="33"/>
  <c r="F53" i="37"/>
  <c r="F50" i="34"/>
  <c r="F50" i="33"/>
  <c r="F50" i="38"/>
  <c r="F48" i="33"/>
  <c r="F48" i="37"/>
  <c r="F48" i="32"/>
  <c r="M50" i="43"/>
  <c r="AF30" i="43"/>
  <c r="AF20" i="43" s="1"/>
  <c r="H52" i="43"/>
  <c r="AA32" i="43"/>
  <c r="L52" i="43"/>
  <c r="AE32" i="43"/>
  <c r="AE22" i="43" s="1"/>
  <c r="N49" i="43"/>
  <c r="AG29" i="43"/>
  <c r="AG19" i="43" s="1"/>
  <c r="J47" i="43"/>
  <c r="AC27" i="43"/>
  <c r="AC17" i="43" s="1"/>
  <c r="H50" i="43"/>
  <c r="AA30" i="43"/>
  <c r="S50" i="43"/>
  <c r="AL30" i="43"/>
  <c r="AL20" i="43" s="1"/>
  <c r="M49" i="43"/>
  <c r="AF29" i="43"/>
  <c r="AF19" i="43" s="1"/>
  <c r="S49" i="43"/>
  <c r="AL29" i="43"/>
  <c r="AL19" i="43" s="1"/>
  <c r="I52" i="43"/>
  <c r="AB32" i="43"/>
  <c r="AB22" i="43" s="1"/>
  <c r="R50" i="43"/>
  <c r="AK30" i="43"/>
  <c r="AK20" i="43" s="1"/>
  <c r="L49" i="43"/>
  <c r="AE29" i="43"/>
  <c r="AE19" i="43" s="1"/>
  <c r="I36" i="37"/>
  <c r="J36" i="37"/>
  <c r="M36" i="37"/>
  <c r="K36" i="37"/>
  <c r="G36" i="37"/>
  <c r="H36" i="37"/>
  <c r="L36" i="37"/>
  <c r="H36" i="38"/>
  <c r="L36" i="38"/>
  <c r="I36" i="38"/>
  <c r="M36" i="38"/>
  <c r="J36" i="38"/>
  <c r="G36" i="38"/>
  <c r="K36" i="38"/>
  <c r="K42" i="40"/>
  <c r="H42" i="40"/>
  <c r="L42" i="40"/>
  <c r="I42" i="40"/>
  <c r="M42" i="40"/>
  <c r="G42" i="40"/>
  <c r="J42" i="40"/>
  <c r="F49" i="34"/>
  <c r="F49" i="38"/>
  <c r="F55" i="40"/>
  <c r="F53" i="22"/>
  <c r="K53" i="22" s="1"/>
  <c r="F53" i="34"/>
  <c r="F53" i="39"/>
  <c r="F50" i="30"/>
  <c r="F50" i="31"/>
  <c r="F50" i="39"/>
  <c r="F48" i="35"/>
  <c r="F48" i="22"/>
  <c r="L48" i="22" s="1"/>
  <c r="F48" i="39"/>
  <c r="AD26" i="43"/>
  <c r="AD16" i="43" s="1"/>
  <c r="K49" i="43"/>
  <c r="AD29" i="43"/>
  <c r="AD19" i="43" s="1"/>
  <c r="H49" i="43"/>
  <c r="AA29" i="43"/>
  <c r="AA19" i="43" s="1"/>
  <c r="P50" i="43"/>
  <c r="AI30" i="43"/>
  <c r="AI20" i="43" s="1"/>
  <c r="J49" i="43"/>
  <c r="AC29" i="43"/>
  <c r="AC19" i="43" s="1"/>
  <c r="I47" i="43"/>
  <c r="AB27" i="43"/>
  <c r="AB17" i="43" s="1"/>
  <c r="S52" i="43"/>
  <c r="AL32" i="43"/>
  <c r="AL22" i="43" s="1"/>
  <c r="O50" i="43"/>
  <c r="AH30" i="43"/>
  <c r="AH20" i="43" s="1"/>
  <c r="Q47" i="43"/>
  <c r="AJ27" i="43"/>
  <c r="AJ17" i="43" s="1"/>
  <c r="S47" i="43"/>
  <c r="AL27" i="43"/>
  <c r="AL17" i="43" s="1"/>
  <c r="R52" i="43"/>
  <c r="AK32" i="43"/>
  <c r="AK22" i="43" s="1"/>
  <c r="N50" i="43"/>
  <c r="AG30" i="43"/>
  <c r="AG20" i="43" s="1"/>
  <c r="P47" i="43"/>
  <c r="AI27" i="43"/>
  <c r="AI17" i="43" s="1"/>
  <c r="M36" i="32"/>
  <c r="K36" i="32"/>
  <c r="J36" i="32"/>
  <c r="H36" i="32"/>
  <c r="L36" i="32"/>
  <c r="I36" i="32"/>
  <c r="G36" i="32"/>
  <c r="M36" i="36"/>
  <c r="K36" i="36"/>
  <c r="H36" i="36"/>
  <c r="L36" i="36"/>
  <c r="I36" i="36"/>
  <c r="G36" i="36"/>
  <c r="J36" i="36"/>
  <c r="K36" i="39"/>
  <c r="H36" i="39"/>
  <c r="L36" i="39"/>
  <c r="I36" i="39"/>
  <c r="M36" i="39"/>
  <c r="J36" i="39"/>
  <c r="G36" i="39"/>
  <c r="F49" i="31"/>
  <c r="F49" i="32"/>
  <c r="F53" i="38"/>
  <c r="F53" i="35"/>
  <c r="F53" i="32"/>
  <c r="F50" i="36"/>
  <c r="F50" i="22"/>
  <c r="K50" i="22" s="1"/>
  <c r="F50" i="32"/>
  <c r="F48" i="30"/>
  <c r="F48" i="34"/>
  <c r="F54" i="40"/>
  <c r="AF26" i="43"/>
  <c r="AF16" i="43" s="1"/>
  <c r="AC26" i="43"/>
  <c r="AC16" i="43" s="1"/>
  <c r="AB26" i="43"/>
  <c r="AB16" i="43" s="1"/>
  <c r="O47" i="43"/>
  <c r="AH27" i="43"/>
  <c r="AH17" i="43" s="1"/>
  <c r="I50" i="43"/>
  <c r="AB30" i="43"/>
  <c r="AB20" i="43" s="1"/>
  <c r="L50" i="43"/>
  <c r="AE30" i="43"/>
  <c r="AE20" i="43" s="1"/>
  <c r="R47" i="43"/>
  <c r="AK27" i="43"/>
  <c r="AK17" i="43" s="1"/>
  <c r="Q50" i="43"/>
  <c r="AJ30" i="43"/>
  <c r="AJ20" i="43" s="1"/>
  <c r="O52" i="43"/>
  <c r="AH32" i="43"/>
  <c r="AH22" i="43" s="1"/>
  <c r="K50" i="43"/>
  <c r="AD30" i="43"/>
  <c r="AD20" i="43" s="1"/>
  <c r="M47" i="43"/>
  <c r="AF27" i="43"/>
  <c r="AF17" i="43" s="1"/>
  <c r="AB29" i="43"/>
  <c r="AB19" i="43" s="1"/>
  <c r="N52" i="43"/>
  <c r="AG32" i="43"/>
  <c r="AG22" i="43" s="1"/>
  <c r="AC30" i="43"/>
  <c r="AC20" i="43" s="1"/>
  <c r="AE27" i="43"/>
  <c r="AE17" i="43" s="1"/>
  <c r="H36" i="35"/>
  <c r="L36" i="35"/>
  <c r="I36" i="35"/>
  <c r="G36" i="35"/>
  <c r="J36" i="35"/>
  <c r="M36" i="35"/>
  <c r="K36" i="35"/>
  <c r="F49" i="39"/>
  <c r="F49" i="36"/>
  <c r="F49" i="22"/>
  <c r="I49" i="22" s="1"/>
  <c r="F49" i="30"/>
  <c r="F53" i="30"/>
  <c r="F59" i="40"/>
  <c r="F53" i="36"/>
  <c r="F56" i="40"/>
  <c r="F50" i="35"/>
  <c r="F50" i="37"/>
  <c r="F48" i="38"/>
  <c r="F48" i="36"/>
  <c r="F48" i="31"/>
  <c r="AA26" i="43"/>
  <c r="AA16" i="43" s="1"/>
  <c r="Q52" i="43"/>
  <c r="AJ32" i="43"/>
  <c r="AJ22" i="43" s="1"/>
  <c r="K47" i="43"/>
  <c r="AD27" i="43"/>
  <c r="AD17" i="43" s="1"/>
  <c r="P52" i="43"/>
  <c r="AI32" i="43"/>
  <c r="AI22" i="43" s="1"/>
  <c r="R49" i="43"/>
  <c r="AK29" i="43"/>
  <c r="AK19" i="43" s="1"/>
  <c r="N47" i="43"/>
  <c r="AG27" i="43"/>
  <c r="AG17" i="43" s="1"/>
  <c r="O49" i="43"/>
  <c r="AH29" i="43"/>
  <c r="AH19" i="43" s="1"/>
  <c r="K52" i="43"/>
  <c r="AD32" i="43"/>
  <c r="AD22" i="43" s="1"/>
  <c r="Q49" i="43"/>
  <c r="AJ29" i="43"/>
  <c r="AJ19" i="43" s="1"/>
  <c r="M52" i="43"/>
  <c r="AF32" i="43"/>
  <c r="AF22" i="43" s="1"/>
  <c r="H47" i="43"/>
  <c r="AA27" i="43"/>
  <c r="J52" i="43"/>
  <c r="AC32" i="43"/>
  <c r="AC22" i="43" s="1"/>
  <c r="P49" i="43"/>
  <c r="AI29" i="43"/>
  <c r="AI19" i="43" s="1"/>
  <c r="H36" i="33"/>
  <c r="L36" i="33"/>
  <c r="I36" i="33"/>
  <c r="G36" i="33"/>
  <c r="J36" i="33"/>
  <c r="K36" i="33"/>
  <c r="M36" i="33"/>
  <c r="M36" i="30"/>
  <c r="I36" i="30"/>
  <c r="J36" i="30"/>
  <c r="L36" i="30"/>
  <c r="H36" i="30"/>
  <c r="K36" i="30"/>
  <c r="G36" i="30"/>
  <c r="M36" i="31"/>
  <c r="K36" i="31"/>
  <c r="J36" i="31"/>
  <c r="H36" i="31"/>
  <c r="L36" i="31"/>
  <c r="I36" i="31"/>
  <c r="G36" i="31"/>
  <c r="L19" i="31"/>
  <c r="L29" i="31" s="1"/>
  <c r="K19" i="32"/>
  <c r="K29" i="32" s="1"/>
  <c r="AQ43" i="33"/>
  <c r="CJ64" i="47" s="1"/>
  <c r="K19" i="30"/>
  <c r="K29" i="30" s="1"/>
  <c r="G19" i="32"/>
  <c r="G29" i="32" s="1"/>
  <c r="I19" i="31"/>
  <c r="I20" i="31" s="1"/>
  <c r="J19" i="30"/>
  <c r="J29" i="30" s="1"/>
  <c r="J19" i="32"/>
  <c r="J29" i="32" s="1"/>
  <c r="L19" i="33"/>
  <c r="L29" i="33" s="1"/>
  <c r="M19" i="30"/>
  <c r="M29" i="30" s="1"/>
  <c r="M19" i="34"/>
  <c r="M29" i="34" s="1"/>
  <c r="K19" i="33"/>
  <c r="K29" i="33" s="1"/>
  <c r="G19" i="34"/>
  <c r="G20" i="34" s="1"/>
  <c r="K61" i="31"/>
  <c r="K62" i="31" s="1"/>
  <c r="K19" i="31"/>
  <c r="K29" i="31" s="1"/>
  <c r="H29" i="33"/>
  <c r="H29" i="22"/>
  <c r="F65" i="31"/>
  <c r="F66" i="31" s="1"/>
  <c r="F68" i="31" s="1"/>
  <c r="H29" i="31"/>
  <c r="AQ49" i="40"/>
  <c r="CQ64" i="47" s="1"/>
  <c r="F46" i="30"/>
  <c r="F56" i="30" s="1"/>
  <c r="J19" i="31"/>
  <c r="J29" i="31" s="1"/>
  <c r="G46" i="30"/>
  <c r="G19" i="30"/>
  <c r="G29" i="30" s="1"/>
  <c r="M19" i="33"/>
  <c r="M20" i="33" s="1"/>
  <c r="I19" i="32"/>
  <c r="I29" i="32" s="1"/>
  <c r="I19" i="30"/>
  <c r="I29" i="30" s="1"/>
  <c r="J19" i="33"/>
  <c r="J29" i="33" s="1"/>
  <c r="I29" i="22"/>
  <c r="J29" i="22"/>
  <c r="H29" i="32"/>
  <c r="H29" i="30"/>
  <c r="F46" i="34"/>
  <c r="F56" i="34" s="1"/>
  <c r="K61" i="22"/>
  <c r="K62" i="22" s="1"/>
  <c r="K19" i="22"/>
  <c r="K29" i="22" s="1"/>
  <c r="AQ43" i="30"/>
  <c r="CG64" i="47" s="1"/>
  <c r="M19" i="32"/>
  <c r="M29" i="32" s="1"/>
  <c r="L19" i="30"/>
  <c r="L29" i="30" s="1"/>
  <c r="AQ43" i="39"/>
  <c r="CP64" i="47" s="1"/>
  <c r="I19" i="34"/>
  <c r="I29" i="34" s="1"/>
  <c r="G19" i="33"/>
  <c r="G29" i="33" s="1"/>
  <c r="K19" i="34"/>
  <c r="K29" i="34" s="1"/>
  <c r="M29" i="22"/>
  <c r="L29" i="22"/>
  <c r="H29" i="34"/>
  <c r="F65" i="34"/>
  <c r="F66" i="34" s="1"/>
  <c r="F68" i="34" s="1"/>
  <c r="F46" i="22"/>
  <c r="F56" i="22" s="1"/>
  <c r="M19" i="31"/>
  <c r="M29" i="31" s="1"/>
  <c r="I19" i="33"/>
  <c r="I29" i="33" s="1"/>
  <c r="L19" i="32"/>
  <c r="L29" i="32" s="1"/>
  <c r="L19" i="34"/>
  <c r="L29" i="34" s="1"/>
  <c r="J19" i="34"/>
  <c r="J29" i="34" s="1"/>
  <c r="M29" i="33"/>
  <c r="G29" i="22"/>
  <c r="H46" i="30"/>
  <c r="G19" i="31"/>
  <c r="G29" i="31" s="1"/>
  <c r="V64" i="40"/>
  <c r="V65" i="40"/>
  <c r="V72" i="40"/>
  <c r="V80" i="40"/>
  <c r="H29" i="39"/>
  <c r="F20" i="39"/>
  <c r="H46" i="39"/>
  <c r="I19" i="40"/>
  <c r="I20" i="40" s="1"/>
  <c r="M19" i="37"/>
  <c r="M29" i="37" s="1"/>
  <c r="F55" i="39"/>
  <c r="V74" i="35"/>
  <c r="V59" i="35"/>
  <c r="V58" i="35"/>
  <c r="V66" i="35"/>
  <c r="F46" i="39"/>
  <c r="F56" i="39" s="1"/>
  <c r="L19" i="39"/>
  <c r="L29" i="39" s="1"/>
  <c r="J19" i="35"/>
  <c r="J29" i="35" s="1"/>
  <c r="L19" i="40"/>
  <c r="L20" i="40" s="1"/>
  <c r="K19" i="38"/>
  <c r="K29" i="38" s="1"/>
  <c r="M19" i="38"/>
  <c r="M29" i="38" s="1"/>
  <c r="G19" i="37"/>
  <c r="G29" i="37" s="1"/>
  <c r="G19" i="36"/>
  <c r="G29" i="36" s="1"/>
  <c r="H65" i="37"/>
  <c r="H66" i="37" s="1"/>
  <c r="H68" i="37" s="1"/>
  <c r="H46" i="37"/>
  <c r="J19" i="39"/>
  <c r="J29" i="39" s="1"/>
  <c r="I19" i="36"/>
  <c r="I29" i="36" s="1"/>
  <c r="K61" i="36"/>
  <c r="K62" i="36" s="1"/>
  <c r="K61" i="37"/>
  <c r="K62" i="37" s="1"/>
  <c r="K61" i="35"/>
  <c r="K62" i="35" s="1"/>
  <c r="AK26" i="43"/>
  <c r="AK16" i="43" s="1"/>
  <c r="AH26" i="43"/>
  <c r="AH16" i="43" s="1"/>
  <c r="F46" i="38"/>
  <c r="F47" i="38" s="1"/>
  <c r="AQ10" i="39"/>
  <c r="CP11" i="47" s="1"/>
  <c r="L19" i="35"/>
  <c r="L29" i="35" s="1"/>
  <c r="L19" i="38"/>
  <c r="L29" i="38" s="1"/>
  <c r="AG26" i="43"/>
  <c r="AG16" i="43" s="1"/>
  <c r="K19" i="40"/>
  <c r="K35" i="40" s="1"/>
  <c r="M19" i="39"/>
  <c r="M29" i="39" s="1"/>
  <c r="G46" i="35"/>
  <c r="G19" i="35"/>
  <c r="G29" i="35" s="1"/>
  <c r="I19" i="35"/>
  <c r="I29" i="35" s="1"/>
  <c r="M19" i="40"/>
  <c r="M35" i="40" s="1"/>
  <c r="J19" i="38"/>
  <c r="J29" i="38" s="1"/>
  <c r="H65" i="38"/>
  <c r="H66" i="38" s="1"/>
  <c r="H68" i="38" s="1"/>
  <c r="K19" i="37"/>
  <c r="K29" i="37" s="1"/>
  <c r="J19" i="36"/>
  <c r="J29" i="36" s="1"/>
  <c r="L19" i="37"/>
  <c r="L29" i="37" s="1"/>
  <c r="G19" i="39"/>
  <c r="G29" i="39" s="1"/>
  <c r="L19" i="36"/>
  <c r="L29" i="36" s="1"/>
  <c r="F65" i="36"/>
  <c r="F66" i="36" s="1"/>
  <c r="F68" i="36" s="1"/>
  <c r="F46" i="36"/>
  <c r="F56" i="36" s="1"/>
  <c r="F46" i="37"/>
  <c r="F56" i="37" s="1"/>
  <c r="G35" i="40"/>
  <c r="AQ16" i="40"/>
  <c r="CQ17" i="47" s="1"/>
  <c r="J19" i="40"/>
  <c r="J35" i="40" s="1"/>
  <c r="J19" i="37"/>
  <c r="J29" i="37" s="1"/>
  <c r="M19" i="36"/>
  <c r="M29" i="36" s="1"/>
  <c r="K61" i="38"/>
  <c r="K62" i="38" s="1"/>
  <c r="AQ10" i="40"/>
  <c r="CQ11" i="47" s="1"/>
  <c r="I19" i="39"/>
  <c r="I29" i="39" s="1"/>
  <c r="K19" i="35"/>
  <c r="K29" i="35" s="1"/>
  <c r="M19" i="35"/>
  <c r="M29" i="35" s="1"/>
  <c r="G19" i="38"/>
  <c r="G29" i="38" s="1"/>
  <c r="I19" i="38"/>
  <c r="I29" i="38" s="1"/>
  <c r="K19" i="36"/>
  <c r="K29" i="36" s="1"/>
  <c r="I19" i="37"/>
  <c r="I29" i="37" s="1"/>
  <c r="K19" i="39"/>
  <c r="K29" i="39" s="1"/>
  <c r="F77" i="40"/>
  <c r="F78" i="40" s="1"/>
  <c r="F80" i="40" s="1"/>
  <c r="F52" i="40"/>
  <c r="F68" i="40" s="1"/>
  <c r="F65" i="39"/>
  <c r="F66" i="39" s="1"/>
  <c r="F68" i="39" s="1"/>
  <c r="AJ26" i="43"/>
  <c r="AJ16" i="43" s="1"/>
  <c r="AL26" i="43"/>
  <c r="AL16" i="43" s="1"/>
  <c r="F46" i="35"/>
  <c r="F56" i="35" s="1"/>
  <c r="AQ12" i="40"/>
  <c r="CQ13" i="47" s="1"/>
  <c r="AQ12" i="39"/>
  <c r="CP13" i="47" s="1"/>
  <c r="AQ16" i="39"/>
  <c r="CP17" i="47" s="1"/>
  <c r="K61" i="39"/>
  <c r="K62" i="39" s="1"/>
  <c r="AQ9" i="40"/>
  <c r="CQ10" i="47" s="1"/>
  <c r="F68" i="33"/>
  <c r="F68" i="38"/>
  <c r="F68" i="37"/>
  <c r="AQ45" i="22"/>
  <c r="CF66" i="47" s="1"/>
  <c r="AQ45" i="39"/>
  <c r="CP66" i="47" s="1"/>
  <c r="AQ18" i="40"/>
  <c r="CQ61" i="47" s="1"/>
  <c r="AQ18" i="39"/>
  <c r="CP61" i="47" s="1"/>
  <c r="AQ51" i="40"/>
  <c r="CQ66" i="47" s="1"/>
  <c r="AQ18" i="30"/>
  <c r="CG61" i="47" s="1"/>
  <c r="AQ18" i="33"/>
  <c r="CJ61" i="47" s="1"/>
  <c r="AQ18" i="35"/>
  <c r="CL61" i="47" s="1"/>
  <c r="AQ9" i="39"/>
  <c r="CP10" i="47" s="1"/>
  <c r="AQ43" i="31"/>
  <c r="CH64" i="47" s="1"/>
  <c r="AQ10" i="22"/>
  <c r="CF11" i="47" s="1"/>
  <c r="AQ18" i="22"/>
  <c r="CF61" i="47" s="1"/>
  <c r="J36" i="22"/>
  <c r="AQ18" i="36"/>
  <c r="CM61" i="47" s="1"/>
  <c r="AQ18" i="32"/>
  <c r="CI61" i="47" s="1"/>
  <c r="AQ18" i="34"/>
  <c r="CK61" i="47" s="1"/>
  <c r="AQ18" i="31"/>
  <c r="CH61" i="47" s="1"/>
  <c r="F68" i="30"/>
  <c r="AQ45" i="35"/>
  <c r="CL66" i="47" s="1"/>
  <c r="M36" i="22"/>
  <c r="K36" i="22"/>
  <c r="AQ45" i="32"/>
  <c r="CI66" i="47" s="1"/>
  <c r="AQ45" i="36"/>
  <c r="CM66" i="47" s="1"/>
  <c r="AQ45" i="34"/>
  <c r="CK66" i="47" s="1"/>
  <c r="AQ45" i="33"/>
  <c r="CJ66" i="47" s="1"/>
  <c r="AQ16" i="22"/>
  <c r="CF17" i="47" s="1"/>
  <c r="AQ45" i="38"/>
  <c r="CO66" i="47" s="1"/>
  <c r="AQ45" i="37"/>
  <c r="CN66" i="47" s="1"/>
  <c r="G36" i="22"/>
  <c r="AQ45" i="31"/>
  <c r="CH66" i="47" s="1"/>
  <c r="AQ18" i="37"/>
  <c r="CN61" i="47" s="1"/>
  <c r="AQ45" i="30"/>
  <c r="CG66" i="47" s="1"/>
  <c r="F68" i="32"/>
  <c r="AQ18" i="38"/>
  <c r="CO61" i="47" s="1"/>
  <c r="F20" i="38"/>
  <c r="F20" i="31"/>
  <c r="AQ43" i="37"/>
  <c r="CN64" i="47" s="1"/>
  <c r="F20" i="30"/>
  <c r="F55" i="37"/>
  <c r="M46" i="43"/>
  <c r="J46" i="43"/>
  <c r="I46" i="43"/>
  <c r="AQ9" i="31"/>
  <c r="CH10" i="47" s="1"/>
  <c r="AQ9" i="33"/>
  <c r="CJ10" i="47" s="1"/>
  <c r="AQ16" i="37"/>
  <c r="CN17" i="47" s="1"/>
  <c r="CK33" i="47"/>
  <c r="CI8" i="47"/>
  <c r="CM8" i="47"/>
  <c r="CG8" i="47"/>
  <c r="CF33" i="47"/>
  <c r="CO33" i="47"/>
  <c r="AQ43" i="35"/>
  <c r="CL64" i="47" s="1"/>
  <c r="F20" i="37"/>
  <c r="F20" i="34"/>
  <c r="AQ43" i="34"/>
  <c r="CK64" i="47" s="1"/>
  <c r="F20" i="36"/>
  <c r="F55" i="38"/>
  <c r="F55" i="33"/>
  <c r="AQ43" i="36"/>
  <c r="CM64" i="47" s="1"/>
  <c r="F55" i="36"/>
  <c r="Q46" i="43"/>
  <c r="S46" i="43"/>
  <c r="AQ10" i="33"/>
  <c r="CJ11" i="47" s="1"/>
  <c r="AQ12" i="31"/>
  <c r="CH13" i="47" s="1"/>
  <c r="AQ12" i="35"/>
  <c r="CL13" i="47" s="1"/>
  <c r="AQ16" i="35"/>
  <c r="CL17" i="47" s="1"/>
  <c r="AQ9" i="37"/>
  <c r="CN10" i="47" s="1"/>
  <c r="CF8" i="47"/>
  <c r="AQ10" i="35"/>
  <c r="CL11" i="47" s="1"/>
  <c r="AQ12" i="32"/>
  <c r="CI13" i="47" s="1"/>
  <c r="AQ12" i="37"/>
  <c r="CN13" i="47" s="1"/>
  <c r="AQ16" i="30"/>
  <c r="CG17" i="47" s="1"/>
  <c r="AQ16" i="38"/>
  <c r="CO17" i="47" s="1"/>
  <c r="AQ10" i="38"/>
  <c r="CO11" i="47" s="1"/>
  <c r="AQ9" i="22"/>
  <c r="CF10" i="47" s="1"/>
  <c r="AQ16" i="33"/>
  <c r="CJ17" i="47" s="1"/>
  <c r="AQ10" i="34"/>
  <c r="CK11" i="47" s="1"/>
  <c r="AQ12" i="22"/>
  <c r="CF13" i="47" s="1"/>
  <c r="AQ12" i="30"/>
  <c r="CG13" i="47" s="1"/>
  <c r="CM33" i="47"/>
  <c r="AQ43" i="22"/>
  <c r="CF64" i="47" s="1"/>
  <c r="AQ16" i="36"/>
  <c r="CM17" i="47" s="1"/>
  <c r="F20" i="32"/>
  <c r="F27" i="32" s="1"/>
  <c r="AQ43" i="32"/>
  <c r="CI64" i="47" s="1"/>
  <c r="F20" i="33"/>
  <c r="F55" i="30"/>
  <c r="F55" i="34"/>
  <c r="F55" i="35"/>
  <c r="L38" i="22"/>
  <c r="L46" i="43"/>
  <c r="N46" i="43"/>
  <c r="P46" i="43"/>
  <c r="AQ9" i="34"/>
  <c r="CK10" i="47" s="1"/>
  <c r="CN33" i="47"/>
  <c r="AQ16" i="34"/>
  <c r="CK17" i="47" s="1"/>
  <c r="CK8" i="47"/>
  <c r="AQ16" i="32"/>
  <c r="CI17" i="47" s="1"/>
  <c r="CH8" i="47"/>
  <c r="CL8" i="47"/>
  <c r="AQ36" i="34"/>
  <c r="CK36" i="47" s="1"/>
  <c r="AQ38" i="30"/>
  <c r="CG38" i="47" s="1"/>
  <c r="AQ9" i="38"/>
  <c r="CO10" i="47" s="1"/>
  <c r="AQ9" i="35"/>
  <c r="CL10" i="47" s="1"/>
  <c r="CN8" i="47"/>
  <c r="F20" i="35"/>
  <c r="AQ43" i="38"/>
  <c r="CO64" i="47" s="1"/>
  <c r="F55" i="32"/>
  <c r="F55" i="31"/>
  <c r="R46" i="43"/>
  <c r="O46" i="43"/>
  <c r="K46" i="43"/>
  <c r="AQ10" i="37"/>
  <c r="CN11" i="47" s="1"/>
  <c r="AQ12" i="36"/>
  <c r="CM13" i="47" s="1"/>
  <c r="CI33" i="47"/>
  <c r="CO8" i="47"/>
  <c r="CJ8" i="47"/>
  <c r="AQ10" i="32"/>
  <c r="CI11" i="47" s="1"/>
  <c r="AQ10" i="30"/>
  <c r="CG11" i="47" s="1"/>
  <c r="AQ12" i="38"/>
  <c r="CO13" i="47" s="1"/>
  <c r="AQ9" i="32"/>
  <c r="CI10" i="47" s="1"/>
  <c r="AQ9" i="30"/>
  <c r="CG10" i="47" s="1"/>
  <c r="AQ10" i="31"/>
  <c r="CH11" i="47" s="1"/>
  <c r="AQ10" i="36"/>
  <c r="CM11" i="47" s="1"/>
  <c r="AQ9" i="36"/>
  <c r="CM10" i="47" s="1"/>
  <c r="AQ12" i="33"/>
  <c r="CJ13" i="47" s="1"/>
  <c r="AQ12" i="34"/>
  <c r="CK13" i="47" s="1"/>
  <c r="AQ16" i="31"/>
  <c r="CH17" i="47" s="1"/>
  <c r="CJ33" i="47"/>
  <c r="G65" i="34"/>
  <c r="G66" i="34" s="1"/>
  <c r="G68" i="34" s="1"/>
  <c r="G23" i="22"/>
  <c r="H23" i="22" s="1"/>
  <c r="F65" i="22"/>
  <c r="F66" i="22" s="1"/>
  <c r="F68" i="22" s="1"/>
  <c r="F24" i="22"/>
  <c r="F27" i="22" s="1"/>
  <c r="G22" i="22"/>
  <c r="H22" i="22" s="1"/>
  <c r="G21" i="22"/>
  <c r="H21" i="22" s="1"/>
  <c r="F47" i="37"/>
  <c r="I22" i="43"/>
  <c r="I42" i="43" s="1"/>
  <c r="H22" i="43"/>
  <c r="H42" i="43" s="1"/>
  <c r="L22" i="43"/>
  <c r="L42" i="43" s="1"/>
  <c r="K22" i="43"/>
  <c r="K42" i="43" s="1"/>
  <c r="S22" i="43"/>
  <c r="S42" i="43" s="1"/>
  <c r="J22" i="43"/>
  <c r="J42" i="43" s="1"/>
  <c r="P22" i="43"/>
  <c r="P42" i="43" s="1"/>
  <c r="O22" i="43"/>
  <c r="O42" i="43" s="1"/>
  <c r="Q22" i="43"/>
  <c r="Q42" i="43" s="1"/>
  <c r="N22" i="43"/>
  <c r="N42" i="43" s="1"/>
  <c r="M22" i="43"/>
  <c r="M42" i="43" s="1"/>
  <c r="R22" i="43"/>
  <c r="R42" i="43" s="1"/>
  <c r="H28" i="22"/>
  <c r="V60" i="22" s="1"/>
  <c r="J38" i="22"/>
  <c r="I20" i="43"/>
  <c r="I40" i="43" s="1"/>
  <c r="L20" i="43"/>
  <c r="L40" i="43" s="1"/>
  <c r="O20" i="43"/>
  <c r="O40" i="43" s="1"/>
  <c r="R20" i="43"/>
  <c r="R40" i="43" s="1"/>
  <c r="M20" i="43"/>
  <c r="M40" i="43" s="1"/>
  <c r="K20" i="43"/>
  <c r="K40" i="43" s="1"/>
  <c r="P20" i="43"/>
  <c r="P40" i="43" s="1"/>
  <c r="H20" i="43"/>
  <c r="H40" i="43" s="1"/>
  <c r="J20" i="43"/>
  <c r="J40" i="43" s="1"/>
  <c r="Q20" i="43"/>
  <c r="Q40" i="43" s="1"/>
  <c r="N20" i="43"/>
  <c r="N40" i="43" s="1"/>
  <c r="S20" i="43"/>
  <c r="S40" i="43" s="1"/>
  <c r="S19" i="43"/>
  <c r="S39" i="43" s="1"/>
  <c r="L19" i="43"/>
  <c r="L39" i="43" s="1"/>
  <c r="K19" i="43"/>
  <c r="K39" i="43" s="1"/>
  <c r="P19" i="43"/>
  <c r="P39" i="43" s="1"/>
  <c r="J19" i="43"/>
  <c r="J39" i="43" s="1"/>
  <c r="I19" i="43"/>
  <c r="I39" i="43" s="1"/>
  <c r="H19" i="43"/>
  <c r="H39" i="43" s="1"/>
  <c r="O19" i="43"/>
  <c r="O39" i="43" s="1"/>
  <c r="R19" i="43"/>
  <c r="R39" i="43" s="1"/>
  <c r="M19" i="43"/>
  <c r="M39" i="43" s="1"/>
  <c r="Q19" i="43"/>
  <c r="Q39" i="43" s="1"/>
  <c r="N19" i="43"/>
  <c r="N39" i="43" s="1"/>
  <c r="H21" i="43"/>
  <c r="H41" i="43" s="1"/>
  <c r="K21" i="43"/>
  <c r="K41" i="43" s="1"/>
  <c r="R21" i="43"/>
  <c r="R41" i="43" s="1"/>
  <c r="J21" i="43"/>
  <c r="J41" i="43" s="1"/>
  <c r="L21" i="43"/>
  <c r="L41" i="43" s="1"/>
  <c r="P21" i="43"/>
  <c r="P41" i="43" s="1"/>
  <c r="O21" i="43"/>
  <c r="O41" i="43" s="1"/>
  <c r="I21" i="43"/>
  <c r="I41" i="43" s="1"/>
  <c r="Q21" i="43"/>
  <c r="Q41" i="43" s="1"/>
  <c r="S21" i="43"/>
  <c r="S41" i="43" s="1"/>
  <c r="N21" i="43"/>
  <c r="N41" i="43" s="1"/>
  <c r="M21" i="43"/>
  <c r="M41" i="43" s="1"/>
  <c r="O17" i="43"/>
  <c r="O37" i="43" s="1"/>
  <c r="M17" i="43"/>
  <c r="M37" i="43" s="1"/>
  <c r="P17" i="43"/>
  <c r="P37" i="43" s="1"/>
  <c r="N17" i="43"/>
  <c r="N37" i="43" s="1"/>
  <c r="Q17" i="43"/>
  <c r="Q37" i="43" s="1"/>
  <c r="H17" i="43"/>
  <c r="H37" i="43" s="1"/>
  <c r="J17" i="43"/>
  <c r="J37" i="43" s="1"/>
  <c r="S17" i="43"/>
  <c r="S37" i="43" s="1"/>
  <c r="I17" i="43"/>
  <c r="I37" i="43" s="1"/>
  <c r="L17" i="43"/>
  <c r="L37" i="43" s="1"/>
  <c r="R17" i="43"/>
  <c r="R37" i="43" s="1"/>
  <c r="K17" i="43"/>
  <c r="K37" i="43" s="1"/>
  <c r="H16" i="43"/>
  <c r="P16" i="43"/>
  <c r="Q16" i="43"/>
  <c r="O16" i="43"/>
  <c r="M16" i="43"/>
  <c r="K16" i="43"/>
  <c r="S16" i="43"/>
  <c r="I16" i="43"/>
  <c r="R16" i="43"/>
  <c r="J16" i="43"/>
  <c r="L16" i="43"/>
  <c r="N16" i="43"/>
  <c r="F24" i="39"/>
  <c r="F24" i="40"/>
  <c r="F24" i="38"/>
  <c r="F24" i="35"/>
  <c r="F24" i="33"/>
  <c r="F24" i="31"/>
  <c r="F24" i="36"/>
  <c r="F24" i="30"/>
  <c r="F24" i="34"/>
  <c r="F24" i="37"/>
  <c r="M38" i="22"/>
  <c r="G55" i="35"/>
  <c r="G28" i="22"/>
  <c r="V59" i="22" s="1"/>
  <c r="F47" i="36"/>
  <c r="G65" i="30"/>
  <c r="G66" i="30" s="1"/>
  <c r="G68" i="30" s="1"/>
  <c r="G38" i="22"/>
  <c r="I38" i="22"/>
  <c r="G65" i="31"/>
  <c r="G66" i="31" s="1"/>
  <c r="G68" i="31" s="1"/>
  <c r="G65" i="33"/>
  <c r="G66" i="33" s="1"/>
  <c r="G68" i="33" s="1"/>
  <c r="G65" i="35"/>
  <c r="G66" i="35" s="1"/>
  <c r="G68" i="35" s="1"/>
  <c r="F51" i="32"/>
  <c r="K91" i="43"/>
  <c r="K95" i="43" s="1"/>
  <c r="K38" i="22"/>
  <c r="H38" i="22"/>
  <c r="G55" i="30"/>
  <c r="G73" i="40"/>
  <c r="G74" i="40" s="1"/>
  <c r="J73" i="40"/>
  <c r="J74" i="40" s="1"/>
  <c r="M73" i="40"/>
  <c r="M74" i="40" s="1"/>
  <c r="I73" i="40"/>
  <c r="I74" i="40" s="1"/>
  <c r="K73" i="40"/>
  <c r="L73" i="40"/>
  <c r="L74" i="40" s="1"/>
  <c r="M65" i="39"/>
  <c r="M66" i="39" s="1"/>
  <c r="M68" i="39" s="1"/>
  <c r="V81" i="22"/>
  <c r="F47" i="34"/>
  <c r="F47" i="39"/>
  <c r="J20" i="32"/>
  <c r="J28" i="22"/>
  <c r="L28" i="22"/>
  <c r="M28" i="22"/>
  <c r="I28" i="22"/>
  <c r="V61" i="22" s="1"/>
  <c r="M55" i="32"/>
  <c r="M28" i="32"/>
  <c r="K28" i="32"/>
  <c r="H28" i="33"/>
  <c r="M55" i="37"/>
  <c r="M28" i="37"/>
  <c r="H28" i="30"/>
  <c r="I28" i="39"/>
  <c r="V68" i="39" s="1"/>
  <c r="H28" i="32"/>
  <c r="L28" i="32"/>
  <c r="V61" i="32" s="1"/>
  <c r="V78" i="32" s="1"/>
  <c r="K71" i="43" s="1"/>
  <c r="K73" i="43" s="1"/>
  <c r="K81" i="43" s="1"/>
  <c r="H28" i="34"/>
  <c r="J28" i="34"/>
  <c r="H28" i="38"/>
  <c r="I28" i="38"/>
  <c r="V67" i="38" s="1"/>
  <c r="V78" i="38" s="1"/>
  <c r="Q71" i="43" s="1"/>
  <c r="Q73" i="43" s="1"/>
  <c r="Q81" i="43" s="1"/>
  <c r="J28" i="35"/>
  <c r="H28" i="31"/>
  <c r="L28" i="36"/>
  <c r="K28" i="31"/>
  <c r="V60" i="31" s="1"/>
  <c r="V78" i="31" s="1"/>
  <c r="J71" i="43" s="1"/>
  <c r="J73" i="43" s="1"/>
  <c r="J81" i="43" s="1"/>
  <c r="K35" i="31"/>
  <c r="AQ35" i="31" s="1"/>
  <c r="G28" i="34"/>
  <c r="G28" i="33"/>
  <c r="L42" i="22"/>
  <c r="M42" i="22"/>
  <c r="I42" i="22"/>
  <c r="J42" i="22"/>
  <c r="G42" i="22"/>
  <c r="K42" i="22"/>
  <c r="H42" i="22"/>
  <c r="J28" i="37"/>
  <c r="L28" i="30"/>
  <c r="J28" i="30"/>
  <c r="K28" i="34"/>
  <c r="K28" i="33"/>
  <c r="K35" i="33"/>
  <c r="J28" i="39"/>
  <c r="H28" i="39"/>
  <c r="K28" i="39"/>
  <c r="K35" i="39"/>
  <c r="J28" i="32"/>
  <c r="M28" i="34"/>
  <c r="J55" i="38"/>
  <c r="J28" i="38"/>
  <c r="M28" i="33"/>
  <c r="J28" i="33"/>
  <c r="M28" i="35"/>
  <c r="L55" i="35"/>
  <c r="L28" i="35"/>
  <c r="L28" i="31"/>
  <c r="I28" i="31"/>
  <c r="K41" i="40"/>
  <c r="H28" i="36"/>
  <c r="G28" i="36"/>
  <c r="V65" i="36" s="1"/>
  <c r="V78" i="36" s="1"/>
  <c r="O71" i="43" s="1"/>
  <c r="O73" i="43" s="1"/>
  <c r="O81" i="43" s="1"/>
  <c r="G28" i="37"/>
  <c r="V58" i="22"/>
  <c r="V72" i="22"/>
  <c r="H55" i="37"/>
  <c r="H28" i="37"/>
  <c r="L28" i="37"/>
  <c r="V66" i="37" s="1"/>
  <c r="V78" i="37" s="1"/>
  <c r="P71" i="43" s="1"/>
  <c r="P73" i="43" s="1"/>
  <c r="P81" i="43" s="1"/>
  <c r="L55" i="34"/>
  <c r="L28" i="34"/>
  <c r="V63" i="34" s="1"/>
  <c r="V78" i="34" s="1"/>
  <c r="M71" i="43" s="1"/>
  <c r="M73" i="43" s="1"/>
  <c r="M81" i="43" s="1"/>
  <c r="I28" i="37"/>
  <c r="I28" i="30"/>
  <c r="M55" i="30"/>
  <c r="M28" i="30"/>
  <c r="L55" i="39"/>
  <c r="L28" i="39"/>
  <c r="M55" i="39"/>
  <c r="M28" i="39"/>
  <c r="K28" i="30"/>
  <c r="K35" i="30"/>
  <c r="K65" i="30" s="1"/>
  <c r="K66" i="30" s="1"/>
  <c r="K68" i="30" s="1"/>
  <c r="I28" i="32"/>
  <c r="L28" i="38"/>
  <c r="M55" i="38"/>
  <c r="M28" i="38"/>
  <c r="L28" i="33"/>
  <c r="H28" i="35"/>
  <c r="K28" i="38"/>
  <c r="K35" i="38"/>
  <c r="J28" i="31"/>
  <c r="I28" i="36"/>
  <c r="J55" i="36"/>
  <c r="J28" i="36"/>
  <c r="K28" i="35"/>
  <c r="K35" i="35"/>
  <c r="G28" i="32"/>
  <c r="K28" i="22"/>
  <c r="K35" i="22"/>
  <c r="AQ35" i="22" s="1"/>
  <c r="I28" i="34"/>
  <c r="I28" i="33"/>
  <c r="V62" i="33" s="1"/>
  <c r="V78" i="33" s="1"/>
  <c r="L71" i="43" s="1"/>
  <c r="L73" i="43" s="1"/>
  <c r="L81" i="43" s="1"/>
  <c r="I28" i="35"/>
  <c r="M28" i="31"/>
  <c r="K28" i="36"/>
  <c r="K35" i="36"/>
  <c r="K28" i="37"/>
  <c r="K35" i="37"/>
  <c r="M28" i="36"/>
  <c r="G28" i="38"/>
  <c r="G28" i="31"/>
  <c r="G28" i="39"/>
  <c r="V58" i="39" s="1"/>
  <c r="G28" i="30"/>
  <c r="V59" i="30" s="1"/>
  <c r="V78" i="30" s="1"/>
  <c r="I71" i="43" s="1"/>
  <c r="I73" i="43" s="1"/>
  <c r="I81" i="43" s="1"/>
  <c r="G28" i="35"/>
  <c r="F47" i="33"/>
  <c r="M20" i="38"/>
  <c r="J20" i="38"/>
  <c r="L20" i="38"/>
  <c r="J20" i="33"/>
  <c r="L20" i="39"/>
  <c r="I20" i="32"/>
  <c r="G20" i="38"/>
  <c r="H20" i="39"/>
  <c r="K20" i="38"/>
  <c r="G26" i="22"/>
  <c r="H26" i="22" s="1"/>
  <c r="H20" i="37"/>
  <c r="H20" i="32"/>
  <c r="H20" i="40"/>
  <c r="L20" i="32"/>
  <c r="H20" i="38"/>
  <c r="I20" i="34"/>
  <c r="G23" i="32"/>
  <c r="G23" i="31"/>
  <c r="G23" i="33"/>
  <c r="G26" i="31"/>
  <c r="G26" i="32"/>
  <c r="G26" i="35"/>
  <c r="G22" i="39"/>
  <c r="G22" i="32"/>
  <c r="G22" i="37"/>
  <c r="M20" i="22"/>
  <c r="J20" i="34"/>
  <c r="G20" i="31"/>
  <c r="G21" i="36"/>
  <c r="G21" i="35"/>
  <c r="G21" i="40"/>
  <c r="J20" i="36"/>
  <c r="H20" i="36"/>
  <c r="J20" i="31"/>
  <c r="G23" i="38"/>
  <c r="G23" i="34"/>
  <c r="G23" i="36"/>
  <c r="G26" i="37"/>
  <c r="G26" i="38"/>
  <c r="G22" i="40"/>
  <c r="G22" i="38"/>
  <c r="K20" i="31"/>
  <c r="M20" i="34"/>
  <c r="H20" i="22"/>
  <c r="G21" i="39"/>
  <c r="G21" i="30"/>
  <c r="M20" i="31"/>
  <c r="K20" i="33"/>
  <c r="L20" i="30"/>
  <c r="H20" i="30"/>
  <c r="G23" i="37"/>
  <c r="G23" i="35"/>
  <c r="G23" i="40"/>
  <c r="G26" i="30"/>
  <c r="G26" i="40"/>
  <c r="G26" i="33"/>
  <c r="G22" i="30"/>
  <c r="G22" i="34"/>
  <c r="G22" i="33"/>
  <c r="J20" i="30"/>
  <c r="I20" i="36"/>
  <c r="I20" i="22"/>
  <c r="L20" i="22"/>
  <c r="G21" i="31"/>
  <c r="G21" i="37"/>
  <c r="G21" i="32"/>
  <c r="H20" i="31"/>
  <c r="G20" i="30"/>
  <c r="H20" i="35"/>
  <c r="G23" i="30"/>
  <c r="G23" i="39"/>
  <c r="G26" i="39"/>
  <c r="G26" i="36"/>
  <c r="G26" i="34"/>
  <c r="G22" i="31"/>
  <c r="G22" i="35"/>
  <c r="G22" i="36"/>
  <c r="K20" i="22"/>
  <c r="J20" i="22"/>
  <c r="K20" i="30"/>
  <c r="H20" i="34"/>
  <c r="G21" i="33"/>
  <c r="G21" i="34"/>
  <c r="G21" i="38"/>
  <c r="H20" i="33"/>
  <c r="G24" i="32"/>
  <c r="G20" i="36" l="1"/>
  <c r="K20" i="34"/>
  <c r="K20" i="32"/>
  <c r="T51" i="43"/>
  <c r="M20" i="36"/>
  <c r="I20" i="38"/>
  <c r="I67" i="40"/>
  <c r="H55" i="38"/>
  <c r="H55" i="31"/>
  <c r="J55" i="31"/>
  <c r="L55" i="31"/>
  <c r="J55" i="32"/>
  <c r="I55" i="33"/>
  <c r="I55" i="35"/>
  <c r="I55" i="34"/>
  <c r="K20" i="36"/>
  <c r="I20" i="35"/>
  <c r="K20" i="35"/>
  <c r="L55" i="37"/>
  <c r="G20" i="37"/>
  <c r="G20" i="35"/>
  <c r="F47" i="31"/>
  <c r="J20" i="37"/>
  <c r="M20" i="32"/>
  <c r="K65" i="33"/>
  <c r="K66" i="33" s="1"/>
  <c r="K68" i="33" s="1"/>
  <c r="G20" i="32"/>
  <c r="L20" i="31"/>
  <c r="AQ20" i="31" s="1"/>
  <c r="CH63" i="47" s="1"/>
  <c r="I20" i="33"/>
  <c r="L20" i="33"/>
  <c r="G20" i="33"/>
  <c r="M20" i="37"/>
  <c r="G53" i="22"/>
  <c r="J53" i="22"/>
  <c r="S53" i="43"/>
  <c r="T48" i="43"/>
  <c r="T38" i="43"/>
  <c r="G55" i="39"/>
  <c r="K67" i="40"/>
  <c r="M20" i="40"/>
  <c r="M20" i="39"/>
  <c r="G46" i="39"/>
  <c r="G56" i="39" s="1"/>
  <c r="G65" i="39"/>
  <c r="G66" i="39" s="1"/>
  <c r="G68" i="39" s="1"/>
  <c r="L107" i="47"/>
  <c r="L100" i="47"/>
  <c r="F106" i="47"/>
  <c r="F99" i="47"/>
  <c r="J91" i="47"/>
  <c r="J92" i="47"/>
  <c r="M92" i="47"/>
  <c r="M91" i="47"/>
  <c r="K91" i="47"/>
  <c r="K92" i="47"/>
  <c r="P92" i="47"/>
  <c r="P91" i="47"/>
  <c r="O91" i="47"/>
  <c r="O99" i="47" s="1"/>
  <c r="O92" i="47"/>
  <c r="H92" i="47"/>
  <c r="H91" i="47"/>
  <c r="N99" i="47"/>
  <c r="N106" i="47"/>
  <c r="I106" i="47"/>
  <c r="I99" i="47"/>
  <c r="G91" i="47"/>
  <c r="G92" i="47"/>
  <c r="E106" i="47"/>
  <c r="E99" i="47"/>
  <c r="R53" i="43"/>
  <c r="P53" i="43"/>
  <c r="Q53" i="43"/>
  <c r="Q104" i="47"/>
  <c r="CY36" i="47" s="1"/>
  <c r="Q97" i="47"/>
  <c r="CY11" i="47" s="1"/>
  <c r="L55" i="38"/>
  <c r="M55" i="34"/>
  <c r="K65" i="34"/>
  <c r="K66" i="34" s="1"/>
  <c r="K68" i="34" s="1"/>
  <c r="M55" i="33"/>
  <c r="F47" i="32"/>
  <c r="F54" i="32" s="1"/>
  <c r="Q45" i="32" s="1"/>
  <c r="G65" i="32"/>
  <c r="G66" i="32" s="1"/>
  <c r="G68" i="32" s="1"/>
  <c r="H46" i="31"/>
  <c r="H46" i="32"/>
  <c r="H56" i="32" s="1"/>
  <c r="L55" i="33"/>
  <c r="H65" i="36"/>
  <c r="H66" i="36" s="1"/>
  <c r="H68" i="36" s="1"/>
  <c r="H55" i="33"/>
  <c r="AQ38" i="34"/>
  <c r="CK38" i="47" s="1"/>
  <c r="H46" i="34"/>
  <c r="H56" i="34" s="1"/>
  <c r="H46" i="33"/>
  <c r="H56" i="33" s="1"/>
  <c r="G56" i="37"/>
  <c r="G56" i="33"/>
  <c r="G56" i="30"/>
  <c r="G55" i="36"/>
  <c r="I92" i="47"/>
  <c r="I93" i="47" s="1"/>
  <c r="E92" i="47"/>
  <c r="E93" i="47" s="1"/>
  <c r="L91" i="47"/>
  <c r="L93" i="47" s="1"/>
  <c r="F92" i="47"/>
  <c r="F93" i="47" s="1"/>
  <c r="N92" i="47"/>
  <c r="N93" i="47" s="1"/>
  <c r="J55" i="22"/>
  <c r="V82" i="22" s="1"/>
  <c r="V101" i="22" s="1"/>
  <c r="H72" i="43" s="1"/>
  <c r="I55" i="38"/>
  <c r="G55" i="32"/>
  <c r="L55" i="32"/>
  <c r="K65" i="32"/>
  <c r="K66" i="32" s="1"/>
  <c r="F47" i="22"/>
  <c r="G47" i="30"/>
  <c r="M55" i="31"/>
  <c r="J55" i="39"/>
  <c r="I55" i="31"/>
  <c r="G55" i="31"/>
  <c r="AQ38" i="31"/>
  <c r="CH38" i="47" s="1"/>
  <c r="K68" i="32"/>
  <c r="J55" i="34"/>
  <c r="H55" i="35"/>
  <c r="J55" i="33"/>
  <c r="G55" i="37"/>
  <c r="I55" i="37"/>
  <c r="O53" i="43"/>
  <c r="N53" i="43"/>
  <c r="M53" i="43"/>
  <c r="L53" i="43"/>
  <c r="T46" i="43"/>
  <c r="K53" i="43"/>
  <c r="J53" i="43"/>
  <c r="T47" i="43"/>
  <c r="I53" i="43"/>
  <c r="T50" i="43"/>
  <c r="T49" i="43"/>
  <c r="AQ38" i="32"/>
  <c r="CI38" i="47" s="1"/>
  <c r="AQ36" i="35"/>
  <c r="CL36" i="47" s="1"/>
  <c r="AQ36" i="33"/>
  <c r="CJ36" i="47" s="1"/>
  <c r="G47" i="35"/>
  <c r="AQ36" i="31"/>
  <c r="CH36" i="47" s="1"/>
  <c r="L50" i="22"/>
  <c r="H53" i="22"/>
  <c r="K49" i="22"/>
  <c r="I50" i="22"/>
  <c r="M49" i="22"/>
  <c r="L53" i="22"/>
  <c r="H48" i="22"/>
  <c r="H50" i="22"/>
  <c r="M53" i="22"/>
  <c r="I53" i="22"/>
  <c r="J49" i="22"/>
  <c r="G49" i="22"/>
  <c r="G50" i="22"/>
  <c r="H49" i="22"/>
  <c r="K48" i="22"/>
  <c r="H53" i="43"/>
  <c r="L49" i="22"/>
  <c r="T52" i="43"/>
  <c r="G24" i="22"/>
  <c r="H24" i="22" s="1"/>
  <c r="I24" i="22" s="1"/>
  <c r="AE82" i="40"/>
  <c r="AE71" i="40"/>
  <c r="AE66" i="40"/>
  <c r="I20" i="39"/>
  <c r="K20" i="39"/>
  <c r="I55" i="39"/>
  <c r="J50" i="22"/>
  <c r="M50" i="22"/>
  <c r="AQ36" i="39"/>
  <c r="CP36" i="47" s="1"/>
  <c r="AQ36" i="36"/>
  <c r="CM36" i="47" s="1"/>
  <c r="AQ36" i="32"/>
  <c r="CI36" i="47" s="1"/>
  <c r="AQ42" i="40"/>
  <c r="CQ36" i="47" s="1"/>
  <c r="AQ36" i="37"/>
  <c r="CN36" i="47" s="1"/>
  <c r="AQ36" i="30"/>
  <c r="CG36" i="47" s="1"/>
  <c r="AQ36" i="38"/>
  <c r="CO36" i="47" s="1"/>
  <c r="L20" i="35"/>
  <c r="L20" i="34"/>
  <c r="G47" i="38"/>
  <c r="H55" i="39"/>
  <c r="H77" i="40"/>
  <c r="H78" i="40" s="1"/>
  <c r="H80" i="40" s="1"/>
  <c r="G65" i="38"/>
  <c r="G66" i="38" s="1"/>
  <c r="G68" i="38" s="1"/>
  <c r="G48" i="22"/>
  <c r="M48" i="22"/>
  <c r="G55" i="38"/>
  <c r="AQ38" i="33"/>
  <c r="CJ38" i="47" s="1"/>
  <c r="H65" i="35"/>
  <c r="H66" i="35" s="1"/>
  <c r="H68" i="35" s="1"/>
  <c r="I29" i="31"/>
  <c r="M67" i="40"/>
  <c r="I20" i="30"/>
  <c r="G47" i="39"/>
  <c r="I55" i="32"/>
  <c r="H55" i="36"/>
  <c r="M55" i="22"/>
  <c r="J65" i="39"/>
  <c r="J66" i="39" s="1"/>
  <c r="J68" i="39" s="1"/>
  <c r="G65" i="37"/>
  <c r="G66" i="37" s="1"/>
  <c r="G68" i="37" s="1"/>
  <c r="J48" i="22"/>
  <c r="I48" i="22"/>
  <c r="AQ38" i="37"/>
  <c r="CN38" i="47" s="1"/>
  <c r="G56" i="36"/>
  <c r="G29" i="34"/>
  <c r="G56" i="32"/>
  <c r="M20" i="30"/>
  <c r="K20" i="37"/>
  <c r="L55" i="22"/>
  <c r="H55" i="34"/>
  <c r="F47" i="35"/>
  <c r="G67" i="40"/>
  <c r="J67" i="40"/>
  <c r="G47" i="31"/>
  <c r="G56" i="31"/>
  <c r="AE83" i="40"/>
  <c r="AE70" i="40"/>
  <c r="G56" i="34"/>
  <c r="CY19" i="47"/>
  <c r="CY44" i="47"/>
  <c r="H54" i="40"/>
  <c r="L54" i="40"/>
  <c r="G54" i="40"/>
  <c r="I54" i="40"/>
  <c r="M54" i="40"/>
  <c r="J54" i="40"/>
  <c r="K54" i="40"/>
  <c r="J48" i="30"/>
  <c r="K48" i="30"/>
  <c r="M48" i="30"/>
  <c r="I48" i="30"/>
  <c r="G48" i="30"/>
  <c r="L48" i="30"/>
  <c r="H48" i="30"/>
  <c r="I53" i="32"/>
  <c r="M53" i="32"/>
  <c r="L53" i="32"/>
  <c r="J53" i="32"/>
  <c r="G53" i="32"/>
  <c r="K53" i="32"/>
  <c r="H53" i="32"/>
  <c r="I53" i="38"/>
  <c r="M53" i="38"/>
  <c r="J53" i="38"/>
  <c r="G53" i="38"/>
  <c r="K53" i="38"/>
  <c r="L53" i="38"/>
  <c r="H53" i="38"/>
  <c r="J49" i="31"/>
  <c r="M49" i="31"/>
  <c r="K49" i="31"/>
  <c r="G49" i="31"/>
  <c r="I49" i="31"/>
  <c r="H49" i="31"/>
  <c r="L49" i="31"/>
  <c r="H50" i="39"/>
  <c r="L50" i="39"/>
  <c r="I50" i="39"/>
  <c r="M50" i="39"/>
  <c r="J50" i="39"/>
  <c r="K50" i="39"/>
  <c r="G50" i="39"/>
  <c r="L50" i="30"/>
  <c r="H50" i="30"/>
  <c r="K50" i="30"/>
  <c r="G50" i="30"/>
  <c r="I50" i="30"/>
  <c r="J50" i="30"/>
  <c r="M50" i="30"/>
  <c r="H53" i="34"/>
  <c r="L53" i="34"/>
  <c r="I53" i="34"/>
  <c r="M53" i="34"/>
  <c r="J53" i="34"/>
  <c r="G53" i="34"/>
  <c r="K53" i="34"/>
  <c r="J55" i="40"/>
  <c r="K55" i="40"/>
  <c r="G55" i="40"/>
  <c r="H55" i="40"/>
  <c r="L55" i="40"/>
  <c r="I55" i="40"/>
  <c r="M55" i="40"/>
  <c r="H49" i="34"/>
  <c r="L49" i="34"/>
  <c r="I49" i="34"/>
  <c r="M49" i="34"/>
  <c r="J49" i="34"/>
  <c r="G49" i="34"/>
  <c r="K49" i="34"/>
  <c r="AA22" i="43"/>
  <c r="CZ48" i="47"/>
  <c r="CZ23" i="47"/>
  <c r="H48" i="37"/>
  <c r="L48" i="37"/>
  <c r="I48" i="37"/>
  <c r="M48" i="37"/>
  <c r="G48" i="37"/>
  <c r="J48" i="37"/>
  <c r="K48" i="37"/>
  <c r="K50" i="38"/>
  <c r="G50" i="38"/>
  <c r="H50" i="38"/>
  <c r="L50" i="38"/>
  <c r="I50" i="38"/>
  <c r="M50" i="38"/>
  <c r="J50" i="38"/>
  <c r="J50" i="34"/>
  <c r="K50" i="34"/>
  <c r="G50" i="34"/>
  <c r="H50" i="34"/>
  <c r="L50" i="34"/>
  <c r="I50" i="34"/>
  <c r="M50" i="34"/>
  <c r="K53" i="33"/>
  <c r="H53" i="33"/>
  <c r="L53" i="33"/>
  <c r="I53" i="33"/>
  <c r="J53" i="33"/>
  <c r="G53" i="33"/>
  <c r="M53" i="33"/>
  <c r="K49" i="33"/>
  <c r="H49" i="33"/>
  <c r="L49" i="33"/>
  <c r="M49" i="33"/>
  <c r="I49" i="33"/>
  <c r="G49" i="33"/>
  <c r="J49" i="33"/>
  <c r="K49" i="35"/>
  <c r="H49" i="35"/>
  <c r="L49" i="35"/>
  <c r="I49" i="35"/>
  <c r="M49" i="35"/>
  <c r="J49" i="35"/>
  <c r="G49" i="35"/>
  <c r="K48" i="31"/>
  <c r="H48" i="31"/>
  <c r="L48" i="31"/>
  <c r="J48" i="31"/>
  <c r="I48" i="31"/>
  <c r="M48" i="31"/>
  <c r="G48" i="31"/>
  <c r="K48" i="38"/>
  <c r="H48" i="38"/>
  <c r="L48" i="38"/>
  <c r="I48" i="38"/>
  <c r="M48" i="38"/>
  <c r="G48" i="38"/>
  <c r="J48" i="38"/>
  <c r="I50" i="35"/>
  <c r="M50" i="35"/>
  <c r="G50" i="35"/>
  <c r="J50" i="35"/>
  <c r="K50" i="35"/>
  <c r="H50" i="35"/>
  <c r="L50" i="35"/>
  <c r="K53" i="36"/>
  <c r="H53" i="36"/>
  <c r="L53" i="36"/>
  <c r="I53" i="36"/>
  <c r="M53" i="36"/>
  <c r="G53" i="36"/>
  <c r="J53" i="36"/>
  <c r="K53" i="30"/>
  <c r="G53" i="30"/>
  <c r="H53" i="30"/>
  <c r="J53" i="30"/>
  <c r="M53" i="30"/>
  <c r="L53" i="30"/>
  <c r="I53" i="30"/>
  <c r="J49" i="39"/>
  <c r="G49" i="39"/>
  <c r="K49" i="39"/>
  <c r="H49" i="39"/>
  <c r="L49" i="39"/>
  <c r="I49" i="39"/>
  <c r="M49" i="39"/>
  <c r="AA20" i="43"/>
  <c r="CZ20" i="47"/>
  <c r="CZ45" i="47"/>
  <c r="I51" i="32"/>
  <c r="M51" i="32"/>
  <c r="H51" i="32"/>
  <c r="L51" i="32"/>
  <c r="J51" i="32"/>
  <c r="G51" i="32"/>
  <c r="K51" i="32"/>
  <c r="AQ36" i="22"/>
  <c r="CF36" i="47" s="1"/>
  <c r="AA17" i="43"/>
  <c r="CZ18" i="47"/>
  <c r="CZ43" i="47"/>
  <c r="J48" i="34"/>
  <c r="K48" i="34"/>
  <c r="H48" i="34"/>
  <c r="L48" i="34"/>
  <c r="G48" i="34"/>
  <c r="M48" i="34"/>
  <c r="I48" i="34"/>
  <c r="K50" i="32"/>
  <c r="H50" i="32"/>
  <c r="L50" i="32"/>
  <c r="J50" i="32"/>
  <c r="I50" i="32"/>
  <c r="M50" i="32"/>
  <c r="G50" i="32"/>
  <c r="I50" i="36"/>
  <c r="M50" i="36"/>
  <c r="G50" i="36"/>
  <c r="J50" i="36"/>
  <c r="K50" i="36"/>
  <c r="H50" i="36"/>
  <c r="L50" i="36"/>
  <c r="K53" i="35"/>
  <c r="H53" i="35"/>
  <c r="L53" i="35"/>
  <c r="I53" i="35"/>
  <c r="M53" i="35"/>
  <c r="G53" i="35"/>
  <c r="J53" i="35"/>
  <c r="I49" i="32"/>
  <c r="M49" i="32"/>
  <c r="H49" i="32"/>
  <c r="J49" i="32"/>
  <c r="G49" i="32"/>
  <c r="K49" i="32"/>
  <c r="L49" i="32"/>
  <c r="H48" i="39"/>
  <c r="L48" i="39"/>
  <c r="I48" i="39"/>
  <c r="M48" i="39"/>
  <c r="G48" i="39"/>
  <c r="J48" i="39"/>
  <c r="K48" i="39"/>
  <c r="I48" i="35"/>
  <c r="M48" i="35"/>
  <c r="G48" i="35"/>
  <c r="J48" i="35"/>
  <c r="K48" i="35"/>
  <c r="H48" i="35"/>
  <c r="L48" i="35"/>
  <c r="H50" i="31"/>
  <c r="L50" i="31"/>
  <c r="I50" i="31"/>
  <c r="M50" i="31"/>
  <c r="J50" i="31"/>
  <c r="G50" i="31"/>
  <c r="K50" i="31"/>
  <c r="J53" i="39"/>
  <c r="G53" i="39"/>
  <c r="K53" i="39"/>
  <c r="H53" i="39"/>
  <c r="L53" i="39"/>
  <c r="I53" i="39"/>
  <c r="M53" i="39"/>
  <c r="I49" i="38"/>
  <c r="M49" i="38"/>
  <c r="J49" i="38"/>
  <c r="G49" i="38"/>
  <c r="K49" i="38"/>
  <c r="H49" i="38"/>
  <c r="L49" i="38"/>
  <c r="K48" i="32"/>
  <c r="H48" i="32"/>
  <c r="L48" i="32"/>
  <c r="J48" i="32"/>
  <c r="I48" i="32"/>
  <c r="M48" i="32"/>
  <c r="G48" i="32"/>
  <c r="I48" i="33"/>
  <c r="M48" i="33"/>
  <c r="G48" i="33"/>
  <c r="J48" i="33"/>
  <c r="K48" i="33"/>
  <c r="L48" i="33"/>
  <c r="H48" i="33"/>
  <c r="I50" i="33"/>
  <c r="M50" i="33"/>
  <c r="G50" i="33"/>
  <c r="J50" i="33"/>
  <c r="H50" i="33"/>
  <c r="K50" i="33"/>
  <c r="L50" i="33"/>
  <c r="J53" i="37"/>
  <c r="G53" i="37"/>
  <c r="K53" i="37"/>
  <c r="H53" i="37"/>
  <c r="L53" i="37"/>
  <c r="M53" i="37"/>
  <c r="I53" i="37"/>
  <c r="J53" i="31"/>
  <c r="G53" i="31"/>
  <c r="M53" i="31"/>
  <c r="K53" i="31"/>
  <c r="I53" i="31"/>
  <c r="H53" i="31"/>
  <c r="L53" i="31"/>
  <c r="J49" i="37"/>
  <c r="G49" i="37"/>
  <c r="K49" i="37"/>
  <c r="H49" i="37"/>
  <c r="L49" i="37"/>
  <c r="M49" i="37"/>
  <c r="I49" i="37"/>
  <c r="I48" i="36"/>
  <c r="M48" i="36"/>
  <c r="G48" i="36"/>
  <c r="J48" i="36"/>
  <c r="K48" i="36"/>
  <c r="L48" i="36"/>
  <c r="H48" i="36"/>
  <c r="H50" i="37"/>
  <c r="L50" i="37"/>
  <c r="I50" i="37"/>
  <c r="M50" i="37"/>
  <c r="J50" i="37"/>
  <c r="K50" i="37"/>
  <c r="G50" i="37"/>
  <c r="H56" i="40"/>
  <c r="L56" i="40"/>
  <c r="G56" i="40"/>
  <c r="I56" i="40"/>
  <c r="M56" i="40"/>
  <c r="J56" i="40"/>
  <c r="K56" i="40"/>
  <c r="J59" i="40"/>
  <c r="K59" i="40"/>
  <c r="G59" i="40"/>
  <c r="H59" i="40"/>
  <c r="L59" i="40"/>
  <c r="I59" i="40"/>
  <c r="M59" i="40"/>
  <c r="K49" i="30"/>
  <c r="G49" i="30"/>
  <c r="L49" i="30"/>
  <c r="J49" i="30"/>
  <c r="M49" i="30"/>
  <c r="I49" i="30"/>
  <c r="H49" i="30"/>
  <c r="K49" i="36"/>
  <c r="H49" i="36"/>
  <c r="L49" i="36"/>
  <c r="I49" i="36"/>
  <c r="M49" i="36"/>
  <c r="J49" i="36"/>
  <c r="G49" i="36"/>
  <c r="CZ19" i="47"/>
  <c r="CZ44" i="47"/>
  <c r="G47" i="37"/>
  <c r="G47" i="34"/>
  <c r="G47" i="33"/>
  <c r="G47" i="32"/>
  <c r="F47" i="30"/>
  <c r="H65" i="22"/>
  <c r="H66" i="22" s="1"/>
  <c r="H68" i="22" s="1"/>
  <c r="H46" i="22"/>
  <c r="H56" i="22" s="1"/>
  <c r="I65" i="22"/>
  <c r="I66" i="22" s="1"/>
  <c r="I68" i="22" s="1"/>
  <c r="I46" i="22"/>
  <c r="I56" i="22" s="1"/>
  <c r="F51" i="30"/>
  <c r="N91" i="43"/>
  <c r="N95" i="43" s="1"/>
  <c r="H91" i="43"/>
  <c r="H95" i="43" s="1"/>
  <c r="J65" i="34"/>
  <c r="J66" i="34" s="1"/>
  <c r="J68" i="34" s="1"/>
  <c r="J46" i="34"/>
  <c r="J47" i="34" s="1"/>
  <c r="L65" i="32"/>
  <c r="L66" i="32" s="1"/>
  <c r="L68" i="32" s="1"/>
  <c r="L46" i="32"/>
  <c r="L56" i="32" s="1"/>
  <c r="M65" i="31"/>
  <c r="M66" i="31" s="1"/>
  <c r="M68" i="31" s="1"/>
  <c r="M46" i="31"/>
  <c r="M56" i="31" s="1"/>
  <c r="L65" i="30"/>
  <c r="L66" i="30" s="1"/>
  <c r="L68" i="30" s="1"/>
  <c r="L46" i="30"/>
  <c r="L56" i="30" s="1"/>
  <c r="I65" i="30"/>
  <c r="I66" i="30" s="1"/>
  <c r="I68" i="30" s="1"/>
  <c r="I46" i="30"/>
  <c r="I47" i="30" s="1"/>
  <c r="M65" i="33"/>
  <c r="M66" i="33" s="1"/>
  <c r="M68" i="33" s="1"/>
  <c r="M46" i="33"/>
  <c r="M56" i="33" s="1"/>
  <c r="J65" i="31"/>
  <c r="J66" i="31" s="1"/>
  <c r="J68" i="31" s="1"/>
  <c r="J46" i="31"/>
  <c r="J56" i="31" s="1"/>
  <c r="M65" i="34"/>
  <c r="M66" i="34" s="1"/>
  <c r="M68" i="34" s="1"/>
  <c r="M46" i="34"/>
  <c r="M47" i="34" s="1"/>
  <c r="L65" i="33"/>
  <c r="L66" i="33" s="1"/>
  <c r="L68" i="33" s="1"/>
  <c r="L46" i="33"/>
  <c r="L56" i="33" s="1"/>
  <c r="J65" i="30"/>
  <c r="J66" i="30" s="1"/>
  <c r="J68" i="30" s="1"/>
  <c r="J46" i="30"/>
  <c r="J47" i="30" s="1"/>
  <c r="K46" i="22"/>
  <c r="K56" i="22" s="1"/>
  <c r="G65" i="22"/>
  <c r="G66" i="22" s="1"/>
  <c r="G68" i="22" s="1"/>
  <c r="G46" i="22"/>
  <c r="G56" i="22" s="1"/>
  <c r="M65" i="22"/>
  <c r="M66" i="22" s="1"/>
  <c r="M68" i="22" s="1"/>
  <c r="M46" i="22"/>
  <c r="M47" i="22" s="1"/>
  <c r="F51" i="36"/>
  <c r="F54" i="36" s="1"/>
  <c r="Q42" i="36" s="1"/>
  <c r="Q91" i="43"/>
  <c r="Q95" i="43" s="1"/>
  <c r="K46" i="34"/>
  <c r="K56" i="34" s="1"/>
  <c r="I65" i="34"/>
  <c r="I66" i="34" s="1"/>
  <c r="I68" i="34" s="1"/>
  <c r="I46" i="34"/>
  <c r="I56" i="34" s="1"/>
  <c r="K46" i="32"/>
  <c r="K56" i="32" s="1"/>
  <c r="K46" i="31"/>
  <c r="K56" i="31" s="1"/>
  <c r="P91" i="43"/>
  <c r="P95" i="43" s="1"/>
  <c r="J91" i="43"/>
  <c r="J95" i="43" s="1"/>
  <c r="F33" i="40"/>
  <c r="AC65" i="40" s="1"/>
  <c r="AD65" i="40" s="1"/>
  <c r="J65" i="22"/>
  <c r="J66" i="22" s="1"/>
  <c r="J68" i="22" s="1"/>
  <c r="J46" i="22"/>
  <c r="J47" i="22" s="1"/>
  <c r="K20" i="40"/>
  <c r="H56" i="31"/>
  <c r="L65" i="34"/>
  <c r="L66" i="34" s="1"/>
  <c r="L68" i="34" s="1"/>
  <c r="L46" i="34"/>
  <c r="L56" i="34" s="1"/>
  <c r="I65" i="33"/>
  <c r="I66" i="33" s="1"/>
  <c r="I68" i="33" s="1"/>
  <c r="I46" i="33"/>
  <c r="I56" i="33" s="1"/>
  <c r="M65" i="32"/>
  <c r="M66" i="32" s="1"/>
  <c r="M68" i="32" s="1"/>
  <c r="M46" i="32"/>
  <c r="M56" i="32" s="1"/>
  <c r="J65" i="33"/>
  <c r="J66" i="33" s="1"/>
  <c r="J68" i="33" s="1"/>
  <c r="J46" i="33"/>
  <c r="J56" i="33" s="1"/>
  <c r="I65" i="32"/>
  <c r="I66" i="32" s="1"/>
  <c r="I68" i="32" s="1"/>
  <c r="I46" i="32"/>
  <c r="I56" i="32" s="1"/>
  <c r="H56" i="30"/>
  <c r="K46" i="33"/>
  <c r="K56" i="33" s="1"/>
  <c r="M65" i="30"/>
  <c r="M66" i="30" s="1"/>
  <c r="M68" i="30" s="1"/>
  <c r="M46" i="30"/>
  <c r="M56" i="30" s="1"/>
  <c r="J65" i="32"/>
  <c r="J66" i="32" s="1"/>
  <c r="J68" i="32" s="1"/>
  <c r="J46" i="32"/>
  <c r="J56" i="32" s="1"/>
  <c r="I65" i="31"/>
  <c r="I66" i="31" s="1"/>
  <c r="I68" i="31" s="1"/>
  <c r="I46" i="31"/>
  <c r="I56" i="31" s="1"/>
  <c r="K46" i="30"/>
  <c r="K56" i="30" s="1"/>
  <c r="M91" i="43"/>
  <c r="M95" i="43" s="1"/>
  <c r="F51" i="33"/>
  <c r="F54" i="33" s="1"/>
  <c r="Q45" i="33" s="1"/>
  <c r="F51" i="39"/>
  <c r="F54" i="39" s="1"/>
  <c r="Q41" i="39" s="1"/>
  <c r="L65" i="22"/>
  <c r="L66" i="22" s="1"/>
  <c r="L68" i="22" s="1"/>
  <c r="L46" i="22"/>
  <c r="L56" i="22" s="1"/>
  <c r="AG28" i="22"/>
  <c r="H63" i="43" s="1"/>
  <c r="L65" i="31"/>
  <c r="L66" i="31" s="1"/>
  <c r="L68" i="31" s="1"/>
  <c r="L46" i="31"/>
  <c r="L56" i="31" s="1"/>
  <c r="V73" i="40"/>
  <c r="V82" i="40"/>
  <c r="V67" i="40"/>
  <c r="V66" i="40"/>
  <c r="V79" i="40"/>
  <c r="V103" i="40"/>
  <c r="V87" i="40"/>
  <c r="V88" i="40"/>
  <c r="V95" i="40"/>
  <c r="V78" i="40"/>
  <c r="V75" i="40"/>
  <c r="V68" i="40"/>
  <c r="V81" i="40"/>
  <c r="V76" i="40"/>
  <c r="V69" i="40"/>
  <c r="V74" i="40"/>
  <c r="V83" i="40"/>
  <c r="V71" i="40"/>
  <c r="V77" i="40"/>
  <c r="V70" i="40"/>
  <c r="V97" i="40"/>
  <c r="T80" i="40"/>
  <c r="U80" i="40" s="1"/>
  <c r="F53" i="40"/>
  <c r="L20" i="36"/>
  <c r="J20" i="35"/>
  <c r="L20" i="37"/>
  <c r="J20" i="39"/>
  <c r="J20" i="40"/>
  <c r="AQ44" i="40"/>
  <c r="CQ38" i="47" s="1"/>
  <c r="G56" i="35"/>
  <c r="H56" i="37"/>
  <c r="AQ38" i="35"/>
  <c r="CL38" i="47" s="1"/>
  <c r="K52" i="40"/>
  <c r="K68" i="40" s="1"/>
  <c r="V82" i="35"/>
  <c r="V89" i="35"/>
  <c r="V81" i="35"/>
  <c r="V97" i="35"/>
  <c r="G56" i="38"/>
  <c r="J65" i="37"/>
  <c r="J66" i="37" s="1"/>
  <c r="J68" i="37" s="1"/>
  <c r="J46" i="37"/>
  <c r="J56" i="37" s="1"/>
  <c r="L65" i="36"/>
  <c r="L66" i="36" s="1"/>
  <c r="L68" i="36" s="1"/>
  <c r="L46" i="36"/>
  <c r="L56" i="36" s="1"/>
  <c r="J65" i="36"/>
  <c r="J66" i="36" s="1"/>
  <c r="J68" i="36" s="1"/>
  <c r="J46" i="36"/>
  <c r="J56" i="36" s="1"/>
  <c r="J65" i="38"/>
  <c r="J66" i="38" s="1"/>
  <c r="J68" i="38" s="1"/>
  <c r="J46" i="38"/>
  <c r="J56" i="38" s="1"/>
  <c r="G47" i="36"/>
  <c r="I20" i="37"/>
  <c r="K65" i="35"/>
  <c r="K66" i="35" s="1"/>
  <c r="K68" i="35" s="1"/>
  <c r="K65" i="38"/>
  <c r="K66" i="38" s="1"/>
  <c r="K68" i="38" s="1"/>
  <c r="V73" i="35"/>
  <c r="I52" i="40"/>
  <c r="I53" i="40" s="1"/>
  <c r="I65" i="37"/>
  <c r="I66" i="37" s="1"/>
  <c r="I68" i="37" s="1"/>
  <c r="I46" i="37"/>
  <c r="I56" i="37" s="1"/>
  <c r="M65" i="35"/>
  <c r="M66" i="35" s="1"/>
  <c r="M68" i="35" s="1"/>
  <c r="M46" i="35"/>
  <c r="M56" i="35" s="1"/>
  <c r="M65" i="36"/>
  <c r="M66" i="36" s="1"/>
  <c r="M68" i="36" s="1"/>
  <c r="M46" i="36"/>
  <c r="M56" i="36" s="1"/>
  <c r="AQ48" i="40"/>
  <c r="CQ42" i="47" s="1"/>
  <c r="L65" i="37"/>
  <c r="L66" i="37" s="1"/>
  <c r="L68" i="37" s="1"/>
  <c r="L46" i="37"/>
  <c r="L47" i="37" s="1"/>
  <c r="I65" i="35"/>
  <c r="I66" i="35" s="1"/>
  <c r="I68" i="35" s="1"/>
  <c r="I46" i="35"/>
  <c r="I56" i="35" s="1"/>
  <c r="L65" i="35"/>
  <c r="L66" i="35" s="1"/>
  <c r="L68" i="35" s="1"/>
  <c r="L46" i="35"/>
  <c r="L56" i="35" s="1"/>
  <c r="F56" i="38"/>
  <c r="M65" i="38"/>
  <c r="M66" i="38" s="1"/>
  <c r="M68" i="38" s="1"/>
  <c r="M46" i="38"/>
  <c r="M56" i="38" s="1"/>
  <c r="L35" i="40"/>
  <c r="I35" i="40"/>
  <c r="V60" i="35"/>
  <c r="V61" i="35"/>
  <c r="V67" i="35"/>
  <c r="V76" i="35"/>
  <c r="K65" i="37"/>
  <c r="K66" i="37" s="1"/>
  <c r="K68" i="37" s="1"/>
  <c r="V91" i="35"/>
  <c r="I65" i="36"/>
  <c r="I66" i="36" s="1"/>
  <c r="I68" i="36" s="1"/>
  <c r="I46" i="36"/>
  <c r="I56" i="36" s="1"/>
  <c r="AQ35" i="36"/>
  <c r="CM35" i="47" s="1"/>
  <c r="V69" i="35"/>
  <c r="V65" i="35"/>
  <c r="V77" i="35"/>
  <c r="V71" i="35"/>
  <c r="I55" i="36"/>
  <c r="V96" i="35"/>
  <c r="J55" i="37"/>
  <c r="V64" i="35"/>
  <c r="V62" i="35"/>
  <c r="V70" i="35"/>
  <c r="V75" i="35"/>
  <c r="V63" i="35"/>
  <c r="L52" i="40"/>
  <c r="L68" i="40" s="1"/>
  <c r="J52" i="40"/>
  <c r="J53" i="40" s="1"/>
  <c r="AQ38" i="38"/>
  <c r="CO38" i="47" s="1"/>
  <c r="K46" i="39"/>
  <c r="K56" i="39" s="1"/>
  <c r="I65" i="38"/>
  <c r="I66" i="38" s="1"/>
  <c r="I68" i="38" s="1"/>
  <c r="I46" i="38"/>
  <c r="I56" i="38" s="1"/>
  <c r="H68" i="40"/>
  <c r="I46" i="39"/>
  <c r="I56" i="39" s="1"/>
  <c r="K46" i="37"/>
  <c r="K56" i="37" s="1"/>
  <c r="M46" i="39"/>
  <c r="M56" i="39" s="1"/>
  <c r="L65" i="38"/>
  <c r="L66" i="38" s="1"/>
  <c r="L68" i="38" s="1"/>
  <c r="L46" i="38"/>
  <c r="L56" i="38" s="1"/>
  <c r="AQ38" i="39"/>
  <c r="CP38" i="47" s="1"/>
  <c r="V95" i="35"/>
  <c r="V89" i="40"/>
  <c r="G52" i="40"/>
  <c r="G53" i="40" s="1"/>
  <c r="J65" i="35"/>
  <c r="J66" i="35" s="1"/>
  <c r="J68" i="35" s="1"/>
  <c r="J46" i="35"/>
  <c r="J47" i="35" s="1"/>
  <c r="M20" i="35"/>
  <c r="V92" i="35"/>
  <c r="V68" i="35"/>
  <c r="V72" i="35"/>
  <c r="L55" i="36"/>
  <c r="J55" i="35"/>
  <c r="M52" i="40"/>
  <c r="M53" i="40" s="1"/>
  <c r="G65" i="36"/>
  <c r="G66" i="36" s="1"/>
  <c r="G68" i="36" s="1"/>
  <c r="V99" i="35"/>
  <c r="V84" i="35"/>
  <c r="V90" i="35"/>
  <c r="V83" i="35"/>
  <c r="AQ38" i="36"/>
  <c r="CM38" i="47" s="1"/>
  <c r="H56" i="36"/>
  <c r="K46" i="36"/>
  <c r="K47" i="36" s="1"/>
  <c r="K46" i="35"/>
  <c r="K56" i="35" s="1"/>
  <c r="H56" i="38"/>
  <c r="J46" i="39"/>
  <c r="J56" i="39" s="1"/>
  <c r="K46" i="38"/>
  <c r="K56" i="38" s="1"/>
  <c r="H56" i="35"/>
  <c r="L46" i="39"/>
  <c r="L56" i="39" s="1"/>
  <c r="AQ42" i="39"/>
  <c r="CP42" i="47" s="1"/>
  <c r="M65" i="37"/>
  <c r="M66" i="37" s="1"/>
  <c r="M68" i="37" s="1"/>
  <c r="M46" i="37"/>
  <c r="M56" i="37" s="1"/>
  <c r="H56" i="39"/>
  <c r="AC58" i="22"/>
  <c r="AD58" i="22" s="1"/>
  <c r="T58" i="22"/>
  <c r="V78" i="39"/>
  <c r="R71" i="43" s="1"/>
  <c r="R73" i="43" s="1"/>
  <c r="R81" i="43" s="1"/>
  <c r="AQ41" i="40"/>
  <c r="CQ35" i="47" s="1"/>
  <c r="K65" i="39"/>
  <c r="K66" i="39" s="1"/>
  <c r="K68" i="39" s="1"/>
  <c r="CR66" i="47"/>
  <c r="G20" i="40"/>
  <c r="AQ19" i="40"/>
  <c r="CQ62" i="47" s="1"/>
  <c r="G20" i="39"/>
  <c r="AQ19" i="39"/>
  <c r="CP62" i="47" s="1"/>
  <c r="AQ35" i="39"/>
  <c r="CP35" i="47" s="1"/>
  <c r="AQ19" i="22"/>
  <c r="CF62" i="47" s="1"/>
  <c r="CR61" i="47"/>
  <c r="AQ42" i="22"/>
  <c r="CF42" i="47" s="1"/>
  <c r="CR11" i="47"/>
  <c r="CR17" i="47"/>
  <c r="CZ17" i="47" s="1"/>
  <c r="CF35" i="47"/>
  <c r="CH35" i="47"/>
  <c r="R36" i="43"/>
  <c r="R43" i="43" s="1"/>
  <c r="M36" i="43"/>
  <c r="M43" i="43" s="1"/>
  <c r="H36" i="43"/>
  <c r="H43" i="43" s="1"/>
  <c r="AQ42" i="31"/>
  <c r="CH42" i="47" s="1"/>
  <c r="AQ42" i="34"/>
  <c r="CK42" i="47" s="1"/>
  <c r="AQ19" i="36"/>
  <c r="CM62" i="47" s="1"/>
  <c r="G20" i="22"/>
  <c r="AQ19" i="30"/>
  <c r="CG62" i="47" s="1"/>
  <c r="AQ19" i="31"/>
  <c r="CH62" i="47" s="1"/>
  <c r="AQ20" i="38"/>
  <c r="CO63" i="47" s="1"/>
  <c r="N36" i="43"/>
  <c r="N43" i="43" s="1"/>
  <c r="I36" i="43"/>
  <c r="I43" i="43" s="1"/>
  <c r="O36" i="43"/>
  <c r="O43" i="43" s="1"/>
  <c r="AQ35" i="34"/>
  <c r="AQ38" i="22"/>
  <c r="CF38" i="47" s="1"/>
  <c r="AQ42" i="35"/>
  <c r="CL42" i="47" s="1"/>
  <c r="AQ19" i="33"/>
  <c r="AQ42" i="38"/>
  <c r="CO42" i="47" s="1"/>
  <c r="AQ19" i="34"/>
  <c r="CK62" i="47" s="1"/>
  <c r="CR33" i="47"/>
  <c r="AQ35" i="30"/>
  <c r="L36" i="43"/>
  <c r="L43" i="43" s="1"/>
  <c r="S36" i="43"/>
  <c r="S43" i="43" s="1"/>
  <c r="Q36" i="43"/>
  <c r="Q43" i="43" s="1"/>
  <c r="AQ42" i="32"/>
  <c r="CI42" i="47" s="1"/>
  <c r="AQ19" i="32"/>
  <c r="CI62" i="47" s="1"/>
  <c r="CR10" i="47"/>
  <c r="CZ10" i="47" s="1"/>
  <c r="CR8" i="47"/>
  <c r="AQ42" i="37"/>
  <c r="CN42" i="47" s="1"/>
  <c r="AQ35" i="32"/>
  <c r="J36" i="43"/>
  <c r="J43" i="43" s="1"/>
  <c r="K36" i="43"/>
  <c r="K43" i="43" s="1"/>
  <c r="P36" i="43"/>
  <c r="P43" i="43" s="1"/>
  <c r="AQ35" i="37"/>
  <c r="AQ19" i="35"/>
  <c r="AQ35" i="35"/>
  <c r="AQ35" i="38"/>
  <c r="AQ42" i="30"/>
  <c r="CG42" i="47" s="1"/>
  <c r="CR64" i="47"/>
  <c r="CR13" i="47"/>
  <c r="AQ42" i="36"/>
  <c r="CM42" i="47" s="1"/>
  <c r="AQ42" i="33"/>
  <c r="CJ42" i="47" s="1"/>
  <c r="AQ35" i="33"/>
  <c r="AQ19" i="37"/>
  <c r="AQ19" i="38"/>
  <c r="G24" i="36"/>
  <c r="H24" i="36" s="1"/>
  <c r="F51" i="22"/>
  <c r="F51" i="34"/>
  <c r="G24" i="38"/>
  <c r="G27" i="38" s="1"/>
  <c r="F27" i="31"/>
  <c r="Q19" i="31" s="1"/>
  <c r="F27" i="39"/>
  <c r="Q19" i="39" s="1"/>
  <c r="I47" i="22"/>
  <c r="G24" i="39"/>
  <c r="F27" i="34"/>
  <c r="Q16" i="34" s="1"/>
  <c r="K65" i="22"/>
  <c r="K66" i="22" s="1"/>
  <c r="K68" i="22" s="1"/>
  <c r="K47" i="32"/>
  <c r="T42" i="43"/>
  <c r="H47" i="30"/>
  <c r="H47" i="33"/>
  <c r="K47" i="22"/>
  <c r="G24" i="40"/>
  <c r="K47" i="33"/>
  <c r="H53" i="40"/>
  <c r="H55" i="22"/>
  <c r="L47" i="31"/>
  <c r="H47" i="39"/>
  <c r="H47" i="38"/>
  <c r="L47" i="33"/>
  <c r="H47" i="37"/>
  <c r="F51" i="31"/>
  <c r="G55" i="22"/>
  <c r="H47" i="32"/>
  <c r="H47" i="34"/>
  <c r="K47" i="30"/>
  <c r="AG28" i="31"/>
  <c r="J63" i="43" s="1"/>
  <c r="S91" i="43"/>
  <c r="S95" i="43" s="1"/>
  <c r="T37" i="43"/>
  <c r="T39" i="43"/>
  <c r="T41" i="43"/>
  <c r="R91" i="43"/>
  <c r="R95" i="43" s="1"/>
  <c r="T40" i="43"/>
  <c r="G24" i="30"/>
  <c r="G24" i="34"/>
  <c r="F51" i="35"/>
  <c r="F27" i="36"/>
  <c r="Q16" i="36" s="1"/>
  <c r="F27" i="38"/>
  <c r="Q19" i="38" s="1"/>
  <c r="F51" i="38"/>
  <c r="F57" i="40"/>
  <c r="F27" i="35"/>
  <c r="F27" i="30"/>
  <c r="Q17" i="30" s="1"/>
  <c r="O91" i="43"/>
  <c r="O95" i="43" s="1"/>
  <c r="I91" i="43"/>
  <c r="I95" i="43" s="1"/>
  <c r="G24" i="35"/>
  <c r="H24" i="35" s="1"/>
  <c r="AG34" i="40"/>
  <c r="S63" i="43" s="1"/>
  <c r="F27" i="33"/>
  <c r="Q18" i="33" s="1"/>
  <c r="G24" i="33"/>
  <c r="G27" i="33" s="1"/>
  <c r="G24" i="31"/>
  <c r="H24" i="31" s="1"/>
  <c r="L91" i="43"/>
  <c r="L95" i="43" s="1"/>
  <c r="F51" i="37"/>
  <c r="G24" i="37"/>
  <c r="H24" i="37" s="1"/>
  <c r="F27" i="37"/>
  <c r="Q17" i="37" s="1"/>
  <c r="I55" i="22"/>
  <c r="J47" i="31"/>
  <c r="H47" i="31"/>
  <c r="M47" i="31"/>
  <c r="H47" i="35"/>
  <c r="H47" i="36"/>
  <c r="L47" i="30"/>
  <c r="J47" i="36"/>
  <c r="K65" i="31"/>
  <c r="K66" i="31" s="1"/>
  <c r="K68" i="31" s="1"/>
  <c r="K55" i="38"/>
  <c r="AG55" i="38" s="1"/>
  <c r="Q64" i="43" s="1"/>
  <c r="K55" i="33"/>
  <c r="K55" i="34"/>
  <c r="K55" i="32"/>
  <c r="M47" i="38"/>
  <c r="K65" i="36"/>
  <c r="K66" i="36" s="1"/>
  <c r="K68" i="36" s="1"/>
  <c r="K55" i="37"/>
  <c r="K55" i="35"/>
  <c r="K55" i="31"/>
  <c r="AG55" i="31" s="1"/>
  <c r="J64" i="43" s="1"/>
  <c r="K55" i="30"/>
  <c r="AG55" i="30" s="1"/>
  <c r="I64" i="43" s="1"/>
  <c r="K55" i="36"/>
  <c r="AG28" i="35"/>
  <c r="N63" i="43" s="1"/>
  <c r="AG28" i="33"/>
  <c r="L63" i="43" s="1"/>
  <c r="AG28" i="34"/>
  <c r="M63" i="43" s="1"/>
  <c r="AG28" i="32"/>
  <c r="K63" i="43" s="1"/>
  <c r="M47" i="30"/>
  <c r="AG28" i="37"/>
  <c r="P63" i="43" s="1"/>
  <c r="AG28" i="38"/>
  <c r="Q63" i="43" s="1"/>
  <c r="K74" i="40"/>
  <c r="M77" i="40"/>
  <c r="M78" i="40" s="1"/>
  <c r="M80" i="40" s="1"/>
  <c r="J77" i="40"/>
  <c r="J78" i="40" s="1"/>
  <c r="J80" i="40" s="1"/>
  <c r="I77" i="40"/>
  <c r="I78" i="40" s="1"/>
  <c r="I80" i="40" s="1"/>
  <c r="G80" i="40"/>
  <c r="K77" i="40"/>
  <c r="K78" i="40" s="1"/>
  <c r="L77" i="40"/>
  <c r="L78" i="40" s="1"/>
  <c r="L80" i="40" s="1"/>
  <c r="AG28" i="39"/>
  <c r="R63" i="43" s="1"/>
  <c r="K55" i="39"/>
  <c r="AG28" i="30"/>
  <c r="I63" i="43" s="1"/>
  <c r="AG28" i="36"/>
  <c r="O63" i="43" s="1"/>
  <c r="V78" i="22"/>
  <c r="H71" i="43" s="1"/>
  <c r="K55" i="22"/>
  <c r="U72" i="22"/>
  <c r="U77" i="22"/>
  <c r="Q17" i="22"/>
  <c r="Q18" i="22"/>
  <c r="Q19" i="22"/>
  <c r="Q15" i="22"/>
  <c r="Q16" i="22"/>
  <c r="H26" i="39"/>
  <c r="H23" i="30"/>
  <c r="H22" i="33"/>
  <c r="H22" i="30"/>
  <c r="H23" i="40"/>
  <c r="H21" i="39"/>
  <c r="H26" i="37"/>
  <c r="H23" i="34"/>
  <c r="H21" i="40"/>
  <c r="H21" i="36"/>
  <c r="H26" i="35"/>
  <c r="H26" i="31"/>
  <c r="H23" i="31"/>
  <c r="H21" i="34"/>
  <c r="H22" i="36"/>
  <c r="H21" i="37"/>
  <c r="H22" i="34"/>
  <c r="H26" i="33"/>
  <c r="H26" i="30"/>
  <c r="H23" i="35"/>
  <c r="H22" i="38"/>
  <c r="H22" i="32"/>
  <c r="H22" i="31"/>
  <c r="H26" i="36"/>
  <c r="H23" i="39"/>
  <c r="H21" i="30"/>
  <c r="H23" i="36"/>
  <c r="H23" i="38"/>
  <c r="H21" i="35"/>
  <c r="H22" i="37"/>
  <c r="H22" i="39"/>
  <c r="H26" i="32"/>
  <c r="H23" i="33"/>
  <c r="H23" i="32"/>
  <c r="H21" i="38"/>
  <c r="H21" i="33"/>
  <c r="H22" i="35"/>
  <c r="H26" i="34"/>
  <c r="H21" i="32"/>
  <c r="H21" i="31"/>
  <c r="H26" i="40"/>
  <c r="H23" i="37"/>
  <c r="H22" i="40"/>
  <c r="H26" i="38"/>
  <c r="H24" i="32"/>
  <c r="G27" i="32"/>
  <c r="Q16" i="32"/>
  <c r="Q19" i="32"/>
  <c r="Q15" i="32"/>
  <c r="Q17" i="32"/>
  <c r="Q18" i="32"/>
  <c r="I23" i="22"/>
  <c r="I21" i="22"/>
  <c r="I26" i="22"/>
  <c r="I22" i="22"/>
  <c r="AQ20" i="34" l="1"/>
  <c r="CK63" i="47" s="1"/>
  <c r="AQ20" i="32"/>
  <c r="CI63" i="47" s="1"/>
  <c r="AQ20" i="36"/>
  <c r="CM63" i="47" s="1"/>
  <c r="AQ20" i="33"/>
  <c r="CJ63" i="47" s="1"/>
  <c r="M47" i="33"/>
  <c r="K47" i="31"/>
  <c r="L47" i="32"/>
  <c r="Q17" i="40"/>
  <c r="K53" i="40"/>
  <c r="J47" i="33"/>
  <c r="M47" i="39"/>
  <c r="I47" i="33"/>
  <c r="L47" i="22"/>
  <c r="AG55" i="33"/>
  <c r="L64" i="43" s="1"/>
  <c r="J47" i="32"/>
  <c r="L47" i="35"/>
  <c r="M93" i="47"/>
  <c r="M101" i="47" s="1"/>
  <c r="O106" i="47"/>
  <c r="O93" i="47"/>
  <c r="O101" i="47" s="1"/>
  <c r="K47" i="39"/>
  <c r="M108" i="47"/>
  <c r="G107" i="47"/>
  <c r="G100" i="47"/>
  <c r="H100" i="47"/>
  <c r="H107" i="47"/>
  <c r="P99" i="47"/>
  <c r="P106" i="47"/>
  <c r="K99" i="47"/>
  <c r="K106" i="47"/>
  <c r="G106" i="47"/>
  <c r="G99" i="47"/>
  <c r="H93" i="47"/>
  <c r="P100" i="47"/>
  <c r="P107" i="47"/>
  <c r="K93" i="47"/>
  <c r="J100" i="47"/>
  <c r="J107" i="47"/>
  <c r="G93" i="47"/>
  <c r="O107" i="47"/>
  <c r="O100" i="47"/>
  <c r="P93" i="47"/>
  <c r="M99" i="47"/>
  <c r="M106" i="47"/>
  <c r="J106" i="47"/>
  <c r="J99" i="47"/>
  <c r="H106" i="47"/>
  <c r="H99" i="47"/>
  <c r="K100" i="47"/>
  <c r="K107" i="47"/>
  <c r="M107" i="47"/>
  <c r="M100" i="47"/>
  <c r="J93" i="47"/>
  <c r="F69" i="39"/>
  <c r="R59" i="43" s="1"/>
  <c r="P60" i="47"/>
  <c r="I47" i="34"/>
  <c r="H47" i="22"/>
  <c r="I47" i="32"/>
  <c r="AG55" i="34"/>
  <c r="M64" i="43" s="1"/>
  <c r="M65" i="43" s="1"/>
  <c r="I47" i="31"/>
  <c r="AG55" i="36"/>
  <c r="O64" i="43" s="1"/>
  <c r="O65" i="43" s="1"/>
  <c r="L101" i="47"/>
  <c r="L108" i="47"/>
  <c r="N108" i="47"/>
  <c r="N101" i="47"/>
  <c r="I108" i="47"/>
  <c r="I101" i="47"/>
  <c r="F108" i="47"/>
  <c r="F101" i="47"/>
  <c r="E108" i="47"/>
  <c r="E101" i="47"/>
  <c r="F100" i="47"/>
  <c r="F107" i="47"/>
  <c r="E100" i="47"/>
  <c r="E107" i="47"/>
  <c r="N107" i="47"/>
  <c r="N100" i="47"/>
  <c r="L99" i="47"/>
  <c r="L106" i="47"/>
  <c r="I107" i="47"/>
  <c r="I100" i="47"/>
  <c r="T53" i="43"/>
  <c r="AQ20" i="30"/>
  <c r="CG63" i="47" s="1"/>
  <c r="F66" i="40"/>
  <c r="Q51" i="40" s="1"/>
  <c r="AQ20" i="39"/>
  <c r="CP63" i="47" s="1"/>
  <c r="CR36" i="47"/>
  <c r="AQ20" i="40"/>
  <c r="CQ63" i="47" s="1"/>
  <c r="H27" i="22"/>
  <c r="S19" i="22" s="1"/>
  <c r="AQ49" i="22"/>
  <c r="CF44" i="47" s="1"/>
  <c r="F54" i="22"/>
  <c r="AC81" i="22" s="1"/>
  <c r="AD81" i="22" s="1"/>
  <c r="AQ53" i="22"/>
  <c r="CF48" i="47" s="1"/>
  <c r="F69" i="22"/>
  <c r="H59" i="43" s="1"/>
  <c r="AQ50" i="22"/>
  <c r="CF45" i="47" s="1"/>
  <c r="Q18" i="40"/>
  <c r="Q19" i="40"/>
  <c r="G27" i="22"/>
  <c r="R17" i="22" s="1"/>
  <c r="Q16" i="40"/>
  <c r="G27" i="36"/>
  <c r="U65" i="36" s="1"/>
  <c r="U78" i="36" s="1"/>
  <c r="J51" i="22"/>
  <c r="M51" i="22"/>
  <c r="Q15" i="40"/>
  <c r="AC64" i="40"/>
  <c r="AD64" i="40" s="1"/>
  <c r="T64" i="40"/>
  <c r="U64" i="40" s="1"/>
  <c r="AC72" i="40"/>
  <c r="AD72" i="40" s="1"/>
  <c r="G68" i="40"/>
  <c r="T65" i="40"/>
  <c r="U65" i="40" s="1"/>
  <c r="AC80" i="40"/>
  <c r="AD80" i="40" s="1"/>
  <c r="AG55" i="39"/>
  <c r="R64" i="43" s="1"/>
  <c r="R65" i="43" s="1"/>
  <c r="F69" i="32"/>
  <c r="K59" i="43" s="1"/>
  <c r="F69" i="30"/>
  <c r="I59" i="43" s="1"/>
  <c r="AQ20" i="35"/>
  <c r="CL63" i="47" s="1"/>
  <c r="F54" i="30"/>
  <c r="Q45" i="30" s="1"/>
  <c r="F69" i="34"/>
  <c r="M59" i="43" s="1"/>
  <c r="F69" i="33"/>
  <c r="L59" i="43" s="1"/>
  <c r="AQ48" i="22"/>
  <c r="CF43" i="47" s="1"/>
  <c r="K47" i="35"/>
  <c r="J47" i="38"/>
  <c r="AQ49" i="33"/>
  <c r="CJ44" i="47" s="1"/>
  <c r="M47" i="32"/>
  <c r="AQ20" i="37"/>
  <c r="CN63" i="47" s="1"/>
  <c r="AG55" i="32"/>
  <c r="K64" i="43" s="1"/>
  <c r="K65" i="43" s="1"/>
  <c r="L47" i="34"/>
  <c r="AQ53" i="37"/>
  <c r="CN48" i="47" s="1"/>
  <c r="AQ49" i="38"/>
  <c r="CO44" i="47" s="1"/>
  <c r="AQ50" i="32"/>
  <c r="CI45" i="47" s="1"/>
  <c r="AQ53" i="30"/>
  <c r="CG48" i="47" s="1"/>
  <c r="AQ55" i="40"/>
  <c r="CQ44" i="47" s="1"/>
  <c r="AQ49" i="31"/>
  <c r="CH44" i="47" s="1"/>
  <c r="AQ48" i="30"/>
  <c r="CG43" i="47" s="1"/>
  <c r="I47" i="38"/>
  <c r="I47" i="35"/>
  <c r="J47" i="37"/>
  <c r="M47" i="35"/>
  <c r="T72" i="40"/>
  <c r="U72" i="40" s="1"/>
  <c r="J56" i="30"/>
  <c r="M56" i="34"/>
  <c r="AQ50" i="37"/>
  <c r="CN45" i="47" s="1"/>
  <c r="AQ49" i="37"/>
  <c r="CN44" i="47" s="1"/>
  <c r="AQ48" i="33"/>
  <c r="CJ43" i="47" s="1"/>
  <c r="AQ50" i="31"/>
  <c r="CH45" i="47" s="1"/>
  <c r="AQ48" i="35"/>
  <c r="CL43" i="47" s="1"/>
  <c r="AQ50" i="35"/>
  <c r="CL45" i="47" s="1"/>
  <c r="AQ53" i="33"/>
  <c r="CJ48" i="47" s="1"/>
  <c r="AQ50" i="34"/>
  <c r="CK45" i="47" s="1"/>
  <c r="AQ50" i="38"/>
  <c r="CO45" i="47" s="1"/>
  <c r="AQ48" i="37"/>
  <c r="CN43" i="47" s="1"/>
  <c r="AQ50" i="30"/>
  <c r="CG45" i="47" s="1"/>
  <c r="AQ56" i="40"/>
  <c r="CQ45" i="47" s="1"/>
  <c r="AQ50" i="33"/>
  <c r="CJ45" i="47" s="1"/>
  <c r="AQ53" i="39"/>
  <c r="CP48" i="47" s="1"/>
  <c r="AQ49" i="32"/>
  <c r="CI44" i="47" s="1"/>
  <c r="AQ53" i="35"/>
  <c r="CL48" i="47" s="1"/>
  <c r="AQ48" i="34"/>
  <c r="CK43" i="47" s="1"/>
  <c r="AQ53" i="36"/>
  <c r="CM48" i="47" s="1"/>
  <c r="AQ53" i="34"/>
  <c r="CK48" i="47" s="1"/>
  <c r="AQ53" i="38"/>
  <c r="CO48" i="47" s="1"/>
  <c r="AQ53" i="32"/>
  <c r="CI48" i="47" s="1"/>
  <c r="AQ49" i="30"/>
  <c r="CG44" i="47" s="1"/>
  <c r="AQ49" i="35"/>
  <c r="CL44" i="47" s="1"/>
  <c r="AQ49" i="36"/>
  <c r="CM44" i="47" s="1"/>
  <c r="AQ59" i="40"/>
  <c r="CQ48" i="47" s="1"/>
  <c r="AQ48" i="36"/>
  <c r="CM43" i="47" s="1"/>
  <c r="AQ53" i="31"/>
  <c r="CH48" i="47" s="1"/>
  <c r="AQ48" i="32"/>
  <c r="CI43" i="47" s="1"/>
  <c r="AQ48" i="39"/>
  <c r="CP43" i="47" s="1"/>
  <c r="AQ50" i="36"/>
  <c r="CM45" i="47" s="1"/>
  <c r="AQ49" i="39"/>
  <c r="CP44" i="47" s="1"/>
  <c r="AQ48" i="38"/>
  <c r="CO43" i="47" s="1"/>
  <c r="AQ48" i="31"/>
  <c r="CH43" i="47" s="1"/>
  <c r="AQ49" i="34"/>
  <c r="CK44" i="47" s="1"/>
  <c r="AQ50" i="39"/>
  <c r="CP45" i="47" s="1"/>
  <c r="AQ54" i="40"/>
  <c r="CQ43" i="47" s="1"/>
  <c r="K51" i="33"/>
  <c r="H51" i="33"/>
  <c r="L51" i="33"/>
  <c r="G51" i="33"/>
  <c r="G54" i="33" s="1"/>
  <c r="R41" i="33" s="1"/>
  <c r="J51" i="33"/>
  <c r="M51" i="33"/>
  <c r="I51" i="33"/>
  <c r="J57" i="40"/>
  <c r="K57" i="40"/>
  <c r="H57" i="40"/>
  <c r="L57" i="40"/>
  <c r="I57" i="40"/>
  <c r="M57" i="40"/>
  <c r="G57" i="40"/>
  <c r="G66" i="40" s="1"/>
  <c r="K51" i="35"/>
  <c r="H51" i="35"/>
  <c r="L51" i="35"/>
  <c r="G51" i="35"/>
  <c r="G54" i="35" s="1"/>
  <c r="I51" i="35"/>
  <c r="M51" i="35"/>
  <c r="J51" i="35"/>
  <c r="CY20" i="47"/>
  <c r="CY45" i="47"/>
  <c r="I51" i="38"/>
  <c r="M51" i="38"/>
  <c r="J51" i="38"/>
  <c r="K51" i="38"/>
  <c r="L51" i="38"/>
  <c r="H51" i="38"/>
  <c r="G51" i="38"/>
  <c r="G54" i="38" s="1"/>
  <c r="R41" i="38" s="1"/>
  <c r="J51" i="31"/>
  <c r="M51" i="31"/>
  <c r="G51" i="31"/>
  <c r="G54" i="31" s="1"/>
  <c r="R42" i="31" s="1"/>
  <c r="K51" i="31"/>
  <c r="I51" i="31"/>
  <c r="H51" i="31"/>
  <c r="L51" i="31"/>
  <c r="K51" i="36"/>
  <c r="H51" i="36"/>
  <c r="L51" i="36"/>
  <c r="G51" i="36"/>
  <c r="G54" i="36" s="1"/>
  <c r="R42" i="36" s="1"/>
  <c r="I51" i="36"/>
  <c r="M51" i="36"/>
  <c r="J51" i="36"/>
  <c r="CY18" i="47"/>
  <c r="CY43" i="47"/>
  <c r="CY23" i="47"/>
  <c r="CY48" i="47"/>
  <c r="J51" i="37"/>
  <c r="K51" i="37"/>
  <c r="H51" i="37"/>
  <c r="L51" i="37"/>
  <c r="G51" i="37"/>
  <c r="G54" i="37" s="1"/>
  <c r="R41" i="37" s="1"/>
  <c r="M51" i="37"/>
  <c r="I51" i="37"/>
  <c r="H51" i="34"/>
  <c r="L51" i="34"/>
  <c r="G51" i="34"/>
  <c r="G54" i="34" s="1"/>
  <c r="R45" i="34" s="1"/>
  <c r="I51" i="34"/>
  <c r="M51" i="34"/>
  <c r="J51" i="34"/>
  <c r="K51" i="34"/>
  <c r="J51" i="39"/>
  <c r="K51" i="39"/>
  <c r="H51" i="39"/>
  <c r="L51" i="39"/>
  <c r="G51" i="39"/>
  <c r="G54" i="39" s="1"/>
  <c r="I51" i="39"/>
  <c r="M51" i="39"/>
  <c r="M51" i="30"/>
  <c r="I51" i="30"/>
  <c r="J51" i="30"/>
  <c r="L51" i="30"/>
  <c r="H51" i="30"/>
  <c r="K51" i="30"/>
  <c r="G51" i="30"/>
  <c r="G54" i="30" s="1"/>
  <c r="R44" i="30" s="1"/>
  <c r="L53" i="40"/>
  <c r="AQ53" i="40" s="1"/>
  <c r="CQ68" i="47" s="1"/>
  <c r="I47" i="39"/>
  <c r="K47" i="38"/>
  <c r="F69" i="37"/>
  <c r="P59" i="43" s="1"/>
  <c r="M47" i="37"/>
  <c r="I47" i="37"/>
  <c r="K47" i="37"/>
  <c r="L47" i="36"/>
  <c r="J56" i="34"/>
  <c r="K47" i="34"/>
  <c r="F69" i="31"/>
  <c r="J59" i="43" s="1"/>
  <c r="I56" i="30"/>
  <c r="M56" i="22"/>
  <c r="G47" i="22"/>
  <c r="F54" i="37"/>
  <c r="Q41" i="37" s="1"/>
  <c r="F54" i="38"/>
  <c r="Q41" i="38" s="1"/>
  <c r="F54" i="34"/>
  <c r="Q45" i="34" s="1"/>
  <c r="L51" i="22"/>
  <c r="AE84" i="40"/>
  <c r="S76" i="43" s="1"/>
  <c r="F54" i="31"/>
  <c r="Q42" i="31" s="1"/>
  <c r="F54" i="35"/>
  <c r="Q42" i="35" s="1"/>
  <c r="AG55" i="22"/>
  <c r="H64" i="43" s="1"/>
  <c r="H65" i="43" s="1"/>
  <c r="J56" i="22"/>
  <c r="V104" i="40"/>
  <c r="V99" i="40"/>
  <c r="V91" i="40"/>
  <c r="V92" i="40"/>
  <c r="V101" i="40"/>
  <c r="V105" i="40"/>
  <c r="V96" i="40"/>
  <c r="V90" i="40"/>
  <c r="V84" i="40"/>
  <c r="S71" i="43" s="1"/>
  <c r="V98" i="40"/>
  <c r="V102" i="40"/>
  <c r="V100" i="40"/>
  <c r="V93" i="40"/>
  <c r="V106" i="40"/>
  <c r="V94" i="40"/>
  <c r="AC87" i="40"/>
  <c r="AD87" i="40" s="1"/>
  <c r="AC103" i="40"/>
  <c r="AD103" i="40" s="1"/>
  <c r="AC95" i="40"/>
  <c r="AD95" i="40" s="1"/>
  <c r="AC88" i="40"/>
  <c r="AD88" i="40" s="1"/>
  <c r="T95" i="40"/>
  <c r="U95" i="40" s="1"/>
  <c r="T88" i="40"/>
  <c r="U88" i="40" s="1"/>
  <c r="T87" i="40"/>
  <c r="U87" i="40" s="1"/>
  <c r="F69" i="35"/>
  <c r="N59" i="43" s="1"/>
  <c r="L47" i="39"/>
  <c r="I47" i="36"/>
  <c r="CR38" i="47"/>
  <c r="AE78" i="35"/>
  <c r="N76" i="43" s="1"/>
  <c r="L56" i="37"/>
  <c r="F69" i="38"/>
  <c r="Q59" i="43" s="1"/>
  <c r="M68" i="40"/>
  <c r="J56" i="35"/>
  <c r="I68" i="40"/>
  <c r="AG55" i="37"/>
  <c r="P64" i="43" s="1"/>
  <c r="P65" i="43" s="1"/>
  <c r="J47" i="39"/>
  <c r="F69" i="36"/>
  <c r="O59" i="43" s="1"/>
  <c r="L47" i="38"/>
  <c r="M47" i="36"/>
  <c r="V93" i="35"/>
  <c r="V85" i="35"/>
  <c r="V98" i="35"/>
  <c r="V86" i="35"/>
  <c r="K56" i="36"/>
  <c r="AC97" i="35"/>
  <c r="AD97" i="35" s="1"/>
  <c r="AC82" i="35"/>
  <c r="AD82" i="35" s="1"/>
  <c r="AC89" i="35"/>
  <c r="AD89" i="35" s="1"/>
  <c r="AC81" i="35"/>
  <c r="AD81" i="35" s="1"/>
  <c r="T81" i="35"/>
  <c r="U81" i="35" s="1"/>
  <c r="T89" i="35"/>
  <c r="U89" i="35" s="1"/>
  <c r="T97" i="35"/>
  <c r="U97" i="35" s="1"/>
  <c r="T82" i="35"/>
  <c r="U82" i="35" s="1"/>
  <c r="AG55" i="35"/>
  <c r="N64" i="43" s="1"/>
  <c r="N65" i="43" s="1"/>
  <c r="V88" i="35"/>
  <c r="V94" i="35"/>
  <c r="V100" i="35"/>
  <c r="V87" i="35"/>
  <c r="Q18" i="35"/>
  <c r="AC66" i="35"/>
  <c r="AD66" i="35" s="1"/>
  <c r="AC59" i="35"/>
  <c r="AD59" i="35" s="1"/>
  <c r="AC58" i="35"/>
  <c r="AD58" i="35" s="1"/>
  <c r="AC74" i="35"/>
  <c r="AD74" i="35" s="1"/>
  <c r="T58" i="35"/>
  <c r="U58" i="35" s="1"/>
  <c r="T74" i="35"/>
  <c r="U74" i="35" s="1"/>
  <c r="T66" i="35"/>
  <c r="U66" i="35" s="1"/>
  <c r="T59" i="35"/>
  <c r="U59" i="35" s="1"/>
  <c r="J68" i="40"/>
  <c r="V78" i="35"/>
  <c r="N71" i="43" s="1"/>
  <c r="T60" i="22"/>
  <c r="AC60" i="22"/>
  <c r="AD60" i="22" s="1"/>
  <c r="AC59" i="22"/>
  <c r="AD59" i="22" s="1"/>
  <c r="T59" i="22"/>
  <c r="CY17" i="47"/>
  <c r="CZ33" i="47"/>
  <c r="CY10" i="47"/>
  <c r="CZ8" i="47"/>
  <c r="AQ20" i="22"/>
  <c r="CF63" i="47" s="1"/>
  <c r="AQ46" i="34"/>
  <c r="CK67" i="47" s="1"/>
  <c r="AQ52" i="40"/>
  <c r="CQ67" i="47" s="1"/>
  <c r="AQ46" i="39"/>
  <c r="CP67" i="47" s="1"/>
  <c r="AQ46" i="33"/>
  <c r="CJ67" i="47" s="1"/>
  <c r="AQ47" i="30"/>
  <c r="CG68" i="47" s="1"/>
  <c r="AQ46" i="38"/>
  <c r="CO67" i="47" s="1"/>
  <c r="CR42" i="47"/>
  <c r="CL62" i="47"/>
  <c r="AQ46" i="30"/>
  <c r="CG67" i="47" s="1"/>
  <c r="U58" i="22"/>
  <c r="CN62" i="47"/>
  <c r="CN35" i="47"/>
  <c r="AQ46" i="37"/>
  <c r="CN67" i="47" s="1"/>
  <c r="AQ46" i="35"/>
  <c r="CL67" i="47" s="1"/>
  <c r="CO62" i="47"/>
  <c r="CO35" i="47"/>
  <c r="CG35" i="47"/>
  <c r="AQ46" i="31"/>
  <c r="CH67" i="47" s="1"/>
  <c r="CK35" i="47"/>
  <c r="T36" i="43"/>
  <c r="T43" i="43" s="1"/>
  <c r="AQ46" i="36"/>
  <c r="CM67" i="47" s="1"/>
  <c r="CJ35" i="47"/>
  <c r="CL35" i="47"/>
  <c r="CI35" i="47"/>
  <c r="AQ46" i="32"/>
  <c r="CI67" i="47" s="1"/>
  <c r="CJ62" i="47"/>
  <c r="AQ46" i="22"/>
  <c r="CF67" i="47" s="1"/>
  <c r="H24" i="38"/>
  <c r="H27" i="38" s="1"/>
  <c r="K51" i="22"/>
  <c r="G51" i="22"/>
  <c r="H51" i="22"/>
  <c r="I51" i="22"/>
  <c r="H24" i="40"/>
  <c r="H33" i="40" s="1"/>
  <c r="Q15" i="39"/>
  <c r="Q18" i="34"/>
  <c r="Q18" i="31"/>
  <c r="Q16" i="31"/>
  <c r="Q15" i="31"/>
  <c r="Q17" i="31"/>
  <c r="H24" i="39"/>
  <c r="H27" i="39" s="1"/>
  <c r="Q18" i="39"/>
  <c r="Q17" i="39"/>
  <c r="Q16" i="39"/>
  <c r="Q17" i="34"/>
  <c r="Q19" i="34"/>
  <c r="Q15" i="34"/>
  <c r="H24" i="30"/>
  <c r="I24" i="30" s="1"/>
  <c r="Q19" i="36"/>
  <c r="G27" i="34"/>
  <c r="R15" i="34" s="1"/>
  <c r="G27" i="30"/>
  <c r="U59" i="30" s="1"/>
  <c r="U78" i="30" s="1"/>
  <c r="Q17" i="36"/>
  <c r="H24" i="33"/>
  <c r="G27" i="39"/>
  <c r="G33" i="40"/>
  <c r="G27" i="31"/>
  <c r="R18" i="31" s="1"/>
  <c r="H24" i="34"/>
  <c r="G27" i="35"/>
  <c r="Q18" i="30"/>
  <c r="Q18" i="38"/>
  <c r="Q15" i="36"/>
  <c r="Q18" i="37"/>
  <c r="Q17" i="35"/>
  <c r="Q15" i="33"/>
  <c r="Q18" i="36"/>
  <c r="Q16" i="37"/>
  <c r="Q19" i="35"/>
  <c r="Q19" i="33"/>
  <c r="Q15" i="35"/>
  <c r="Q17" i="33"/>
  <c r="Q19" i="37"/>
  <c r="Q16" i="35"/>
  <c r="J65" i="43"/>
  <c r="Q41" i="32"/>
  <c r="Q44" i="32"/>
  <c r="Q17" i="38"/>
  <c r="Q19" i="30"/>
  <c r="Q16" i="38"/>
  <c r="Q44" i="33"/>
  <c r="Q16" i="30"/>
  <c r="Q43" i="33"/>
  <c r="Q15" i="38"/>
  <c r="Q42" i="32"/>
  <c r="Q16" i="33"/>
  <c r="Q43" i="32"/>
  <c r="T95" i="43"/>
  <c r="D16" i="16" s="1"/>
  <c r="P6" i="47" s="1"/>
  <c r="Q41" i="36"/>
  <c r="Q15" i="30"/>
  <c r="Q42" i="33"/>
  <c r="Q45" i="36"/>
  <c r="Q44" i="36"/>
  <c r="Q43" i="36"/>
  <c r="G27" i="37"/>
  <c r="R19" i="37" s="1"/>
  <c r="Q44" i="39"/>
  <c r="Q43" i="39"/>
  <c r="Q42" i="39"/>
  <c r="Q45" i="39"/>
  <c r="Q15" i="37"/>
  <c r="Q41" i="33"/>
  <c r="H73" i="43"/>
  <c r="H81" i="43" s="1"/>
  <c r="K80" i="40"/>
  <c r="F81" i="40" s="1"/>
  <c r="S59" i="43" s="1"/>
  <c r="AG67" i="40"/>
  <c r="S64" i="43" s="1"/>
  <c r="S65" i="43" s="1"/>
  <c r="Q65" i="43"/>
  <c r="L65" i="43"/>
  <c r="I65" i="43"/>
  <c r="T63" i="43"/>
  <c r="G54" i="32"/>
  <c r="R43" i="32" s="1"/>
  <c r="Q20" i="22"/>
  <c r="I26" i="38"/>
  <c r="I23" i="37"/>
  <c r="I21" i="31"/>
  <c r="I26" i="34"/>
  <c r="I26" i="32"/>
  <c r="I26" i="36"/>
  <c r="I22" i="32"/>
  <c r="I26" i="33"/>
  <c r="I23" i="34"/>
  <c r="I21" i="39"/>
  <c r="I23" i="30"/>
  <c r="I21" i="33"/>
  <c r="I23" i="32"/>
  <c r="I22" i="37"/>
  <c r="I23" i="38"/>
  <c r="I21" i="30"/>
  <c r="I23" i="35"/>
  <c r="I21" i="37"/>
  <c r="I21" i="34"/>
  <c r="I26" i="31"/>
  <c r="I21" i="36"/>
  <c r="I22" i="30"/>
  <c r="I26" i="40"/>
  <c r="I22" i="35"/>
  <c r="I23" i="33"/>
  <c r="I22" i="39"/>
  <c r="I21" i="35"/>
  <c r="I23" i="39"/>
  <c r="I22" i="31"/>
  <c r="I22" i="38"/>
  <c r="I26" i="30"/>
  <c r="I22" i="34"/>
  <c r="I22" i="36"/>
  <c r="I23" i="31"/>
  <c r="I26" i="35"/>
  <c r="I21" i="40"/>
  <c r="I26" i="39"/>
  <c r="I22" i="40"/>
  <c r="I21" i="32"/>
  <c r="I21" i="38"/>
  <c r="I23" i="36"/>
  <c r="I26" i="37"/>
  <c r="I23" i="40"/>
  <c r="I22" i="33"/>
  <c r="I24" i="36"/>
  <c r="H27" i="36"/>
  <c r="I24" i="37"/>
  <c r="H27" i="37"/>
  <c r="R16" i="33"/>
  <c r="R19" i="33"/>
  <c r="R17" i="33"/>
  <c r="R18" i="33"/>
  <c r="R15" i="33"/>
  <c r="I24" i="35"/>
  <c r="H27" i="35"/>
  <c r="Q20" i="32"/>
  <c r="I24" i="31"/>
  <c r="H27" i="31"/>
  <c r="R18" i="38"/>
  <c r="R17" i="38"/>
  <c r="R15" i="38"/>
  <c r="R19" i="38"/>
  <c r="R16" i="38"/>
  <c r="R17" i="32"/>
  <c r="R16" i="32"/>
  <c r="R19" i="32"/>
  <c r="R15" i="32"/>
  <c r="R18" i="32"/>
  <c r="I24" i="32"/>
  <c r="H27" i="32"/>
  <c r="J21" i="22"/>
  <c r="J23" i="22"/>
  <c r="I27" i="22"/>
  <c r="J24" i="22"/>
  <c r="J26" i="22"/>
  <c r="J22" i="22"/>
  <c r="AQ47" i="31" l="1"/>
  <c r="CH68" i="47" s="1"/>
  <c r="S17" i="22"/>
  <c r="Q42" i="22"/>
  <c r="AQ47" i="33"/>
  <c r="CJ68" i="47" s="1"/>
  <c r="S15" i="22"/>
  <c r="O108" i="47"/>
  <c r="Q99" i="47"/>
  <c r="CW11" i="47" s="1"/>
  <c r="R85" i="43"/>
  <c r="N7" i="16" s="1"/>
  <c r="Q106" i="47"/>
  <c r="CW36" i="47" s="1"/>
  <c r="R16" i="36"/>
  <c r="P108" i="47"/>
  <c r="P101" i="47"/>
  <c r="J108" i="47"/>
  <c r="J101" i="47"/>
  <c r="H108" i="47"/>
  <c r="H101" i="47"/>
  <c r="K101" i="47"/>
  <c r="K108" i="47"/>
  <c r="G101" i="47"/>
  <c r="G108" i="47"/>
  <c r="Q43" i="22"/>
  <c r="R19" i="36"/>
  <c r="Q44" i="30"/>
  <c r="R17" i="36"/>
  <c r="R15" i="36"/>
  <c r="R18" i="36"/>
  <c r="H54" i="22"/>
  <c r="S43" i="22" s="1"/>
  <c r="L85" i="43"/>
  <c r="H7" i="16" s="1"/>
  <c r="Q45" i="31"/>
  <c r="AQ47" i="22"/>
  <c r="CF68" i="47" s="1"/>
  <c r="AQ47" i="32"/>
  <c r="CI68" i="47" s="1"/>
  <c r="Q45" i="35"/>
  <c r="Q107" i="47"/>
  <c r="CX36" i="47" s="1"/>
  <c r="Q100" i="47"/>
  <c r="S18" i="22"/>
  <c r="S16" i="22"/>
  <c r="Q49" i="40"/>
  <c r="Q47" i="40"/>
  <c r="Q43" i="30"/>
  <c r="Q42" i="30"/>
  <c r="Q50" i="40"/>
  <c r="Q48" i="40"/>
  <c r="Q41" i="22"/>
  <c r="Q85" i="43"/>
  <c r="M7" i="16" s="1"/>
  <c r="Q43" i="38"/>
  <c r="I24" i="38"/>
  <c r="I27" i="38" s="1"/>
  <c r="U67" i="38" s="1"/>
  <c r="U78" i="38" s="1"/>
  <c r="Q45" i="38"/>
  <c r="Q42" i="37"/>
  <c r="Q43" i="35"/>
  <c r="Q44" i="35"/>
  <c r="Q41" i="35"/>
  <c r="Q44" i="34"/>
  <c r="Q42" i="34"/>
  <c r="Q43" i="34"/>
  <c r="AQ47" i="34"/>
  <c r="CK68" i="47" s="1"/>
  <c r="M85" i="43"/>
  <c r="I7" i="16" s="1"/>
  <c r="K85" i="43"/>
  <c r="G7" i="16" s="1"/>
  <c r="J85" i="43"/>
  <c r="F7" i="16" s="1"/>
  <c r="H27" i="30"/>
  <c r="S17" i="30" s="1"/>
  <c r="Q41" i="30"/>
  <c r="T71" i="43"/>
  <c r="Q20" i="40"/>
  <c r="Q44" i="37"/>
  <c r="R19" i="22"/>
  <c r="Q45" i="22"/>
  <c r="Q44" i="22"/>
  <c r="CR48" i="47"/>
  <c r="CX48" i="47" s="1"/>
  <c r="R18" i="22"/>
  <c r="R15" i="22"/>
  <c r="R16" i="22"/>
  <c r="G54" i="22"/>
  <c r="R45" i="22" s="1"/>
  <c r="Q43" i="37"/>
  <c r="AQ47" i="35"/>
  <c r="CL68" i="47" s="1"/>
  <c r="CR45" i="47"/>
  <c r="CV45" i="47" s="1"/>
  <c r="Q44" i="31"/>
  <c r="Q44" i="38"/>
  <c r="Q42" i="38"/>
  <c r="P85" i="43"/>
  <c r="L7" i="16" s="1"/>
  <c r="AQ47" i="38"/>
  <c r="CO68" i="47" s="1"/>
  <c r="CY8" i="47"/>
  <c r="CR43" i="47"/>
  <c r="CV43" i="47" s="1"/>
  <c r="CR44" i="47"/>
  <c r="CV44" i="47" s="1"/>
  <c r="CY33" i="47"/>
  <c r="T76" i="43"/>
  <c r="AQ47" i="37"/>
  <c r="CN68" i="47" s="1"/>
  <c r="AQ51" i="22"/>
  <c r="CF46" i="47" s="1"/>
  <c r="AQ47" i="39"/>
  <c r="CP68" i="47" s="1"/>
  <c r="Q45" i="37"/>
  <c r="AQ47" i="36"/>
  <c r="CM68" i="47" s="1"/>
  <c r="Q41" i="34"/>
  <c r="Q41" i="31"/>
  <c r="Q43" i="31"/>
  <c r="V107" i="40"/>
  <c r="S72" i="43" s="1"/>
  <c r="S73" i="43" s="1"/>
  <c r="AE107" i="40"/>
  <c r="S77" i="43" s="1"/>
  <c r="S78" i="43" s="1"/>
  <c r="R49" i="40"/>
  <c r="AC105" i="40"/>
  <c r="AD105" i="40" s="1"/>
  <c r="AC96" i="40"/>
  <c r="AD96" i="40" s="1"/>
  <c r="AC89" i="40"/>
  <c r="AD89" i="40" s="1"/>
  <c r="AC90" i="40"/>
  <c r="AD90" i="40" s="1"/>
  <c r="T96" i="40"/>
  <c r="U96" i="40" s="1"/>
  <c r="T90" i="40"/>
  <c r="U90" i="40" s="1"/>
  <c r="T105" i="40"/>
  <c r="U105" i="40" s="1"/>
  <c r="T89" i="40"/>
  <c r="U89" i="40" s="1"/>
  <c r="R18" i="40"/>
  <c r="AC66" i="40"/>
  <c r="AD66" i="40" s="1"/>
  <c r="AC67" i="40"/>
  <c r="AD67" i="40" s="1"/>
  <c r="AC82" i="40"/>
  <c r="AD82" i="40" s="1"/>
  <c r="AC73" i="40"/>
  <c r="AD73" i="40" s="1"/>
  <c r="T66" i="40"/>
  <c r="U66" i="40" s="1"/>
  <c r="T82" i="40"/>
  <c r="U82" i="40" s="1"/>
  <c r="T73" i="40"/>
  <c r="U73" i="40" s="1"/>
  <c r="T67" i="40"/>
  <c r="U67" i="40" s="1"/>
  <c r="O85" i="43"/>
  <c r="K7" i="16" s="1"/>
  <c r="AC74" i="40"/>
  <c r="AD74" i="40" s="1"/>
  <c r="T74" i="40"/>
  <c r="U74" i="40" s="1"/>
  <c r="AE101" i="35"/>
  <c r="N77" i="43" s="1"/>
  <c r="V101" i="35"/>
  <c r="N72" i="43" s="1"/>
  <c r="T72" i="43" s="1"/>
  <c r="T73" i="43" s="1"/>
  <c r="R16" i="35"/>
  <c r="AC67" i="35"/>
  <c r="AD67" i="35" s="1"/>
  <c r="AC60" i="35"/>
  <c r="AD60" i="35" s="1"/>
  <c r="AC76" i="35"/>
  <c r="AD76" i="35" s="1"/>
  <c r="AC61" i="35"/>
  <c r="AD61" i="35" s="1"/>
  <c r="T61" i="35"/>
  <c r="U61" i="35" s="1"/>
  <c r="T60" i="35"/>
  <c r="U60" i="35" s="1"/>
  <c r="T67" i="35"/>
  <c r="U67" i="35" s="1"/>
  <c r="T76" i="35"/>
  <c r="U76" i="35" s="1"/>
  <c r="AC68" i="35"/>
  <c r="AD68" i="35" s="1"/>
  <c r="T68" i="35"/>
  <c r="U68" i="35" s="1"/>
  <c r="R44" i="35"/>
  <c r="AC90" i="35"/>
  <c r="AD90" i="35" s="1"/>
  <c r="AC99" i="35"/>
  <c r="AD99" i="35" s="1"/>
  <c r="AC83" i="35"/>
  <c r="AD83" i="35" s="1"/>
  <c r="AC84" i="35"/>
  <c r="AD84" i="35" s="1"/>
  <c r="T84" i="35"/>
  <c r="U84" i="35" s="1"/>
  <c r="T83" i="35"/>
  <c r="U83" i="35" s="1"/>
  <c r="T90" i="35"/>
  <c r="U90" i="35" s="1"/>
  <c r="T99" i="35"/>
  <c r="U99" i="35" s="1"/>
  <c r="AD58" i="39"/>
  <c r="AD78" i="39" s="1"/>
  <c r="AC83" i="22"/>
  <c r="AD83" i="22" s="1"/>
  <c r="T83" i="22"/>
  <c r="T61" i="22"/>
  <c r="AC61" i="22"/>
  <c r="AD61" i="22" s="1"/>
  <c r="AC82" i="22"/>
  <c r="AD82" i="22" s="1"/>
  <c r="T81" i="22"/>
  <c r="U81" i="22" s="1"/>
  <c r="T82" i="22"/>
  <c r="R44" i="39"/>
  <c r="U81" i="39"/>
  <c r="U101" i="39" s="1"/>
  <c r="R16" i="39"/>
  <c r="U58" i="39"/>
  <c r="CZ42" i="47"/>
  <c r="CR63" i="47"/>
  <c r="CR62" i="47"/>
  <c r="CR35" i="47"/>
  <c r="CR67" i="47"/>
  <c r="H27" i="33"/>
  <c r="S17" i="33" s="1"/>
  <c r="I24" i="40"/>
  <c r="J24" i="40" s="1"/>
  <c r="I24" i="39"/>
  <c r="J24" i="39" s="1"/>
  <c r="Q20" i="34"/>
  <c r="Q20" i="39"/>
  <c r="Q20" i="31"/>
  <c r="R15" i="35"/>
  <c r="R19" i="31"/>
  <c r="I24" i="33"/>
  <c r="I27" i="33" s="1"/>
  <c r="U62" i="33" s="1"/>
  <c r="U78" i="33" s="1"/>
  <c r="R17" i="30"/>
  <c r="R19" i="39"/>
  <c r="R17" i="35"/>
  <c r="R19" i="40"/>
  <c r="R17" i="39"/>
  <c r="R19" i="34"/>
  <c r="R18" i="39"/>
  <c r="R15" i="39"/>
  <c r="R16" i="34"/>
  <c r="R19" i="30"/>
  <c r="R19" i="35"/>
  <c r="R17" i="34"/>
  <c r="R18" i="34"/>
  <c r="R18" i="35"/>
  <c r="R15" i="40"/>
  <c r="R17" i="40"/>
  <c r="R15" i="30"/>
  <c r="R16" i="30"/>
  <c r="R15" i="31"/>
  <c r="R16" i="40"/>
  <c r="R18" i="30"/>
  <c r="R17" i="31"/>
  <c r="I24" i="34"/>
  <c r="I27" i="34" s="1"/>
  <c r="H27" i="34"/>
  <c r="S15" i="34" s="1"/>
  <c r="R16" i="31"/>
  <c r="Q20" i="37"/>
  <c r="Q20" i="35"/>
  <c r="Q20" i="36"/>
  <c r="Q20" i="33"/>
  <c r="R15" i="37"/>
  <c r="R17" i="37"/>
  <c r="R16" i="37"/>
  <c r="R18" i="37"/>
  <c r="Q20" i="38"/>
  <c r="Q20" i="30"/>
  <c r="Q46" i="32"/>
  <c r="Q46" i="36"/>
  <c r="R41" i="32"/>
  <c r="Q46" i="33"/>
  <c r="Q46" i="39"/>
  <c r="R42" i="32"/>
  <c r="R45" i="36"/>
  <c r="H85" i="43"/>
  <c r="D7" i="16" s="1"/>
  <c r="R44" i="32"/>
  <c r="R45" i="32"/>
  <c r="T59" i="43"/>
  <c r="T64" i="43"/>
  <c r="T65" i="43" s="1"/>
  <c r="R43" i="36"/>
  <c r="R44" i="36"/>
  <c r="R41" i="36"/>
  <c r="I85" i="43"/>
  <c r="E7" i="16" s="1"/>
  <c r="R41" i="39"/>
  <c r="R42" i="39"/>
  <c r="R43" i="39"/>
  <c r="R45" i="39"/>
  <c r="R44" i="33"/>
  <c r="R43" i="33"/>
  <c r="R42" i="34"/>
  <c r="R42" i="33"/>
  <c r="R44" i="31"/>
  <c r="R43" i="37"/>
  <c r="R41" i="31"/>
  <c r="R43" i="31"/>
  <c r="R45" i="37"/>
  <c r="R42" i="37"/>
  <c r="R41" i="35"/>
  <c r="R44" i="37"/>
  <c r="R51" i="40"/>
  <c r="R43" i="34"/>
  <c r="R45" i="33"/>
  <c r="U67" i="22"/>
  <c r="H54" i="30"/>
  <c r="S44" i="30" s="1"/>
  <c r="R41" i="34"/>
  <c r="R44" i="34"/>
  <c r="R45" i="30"/>
  <c r="R41" i="30"/>
  <c r="R45" i="31"/>
  <c r="H54" i="34"/>
  <c r="S44" i="34" s="1"/>
  <c r="R42" i="30"/>
  <c r="R50" i="40"/>
  <c r="R43" i="30"/>
  <c r="R44" i="38"/>
  <c r="R43" i="38"/>
  <c r="R45" i="38"/>
  <c r="R48" i="40"/>
  <c r="R47" i="40"/>
  <c r="H66" i="40"/>
  <c r="H54" i="38"/>
  <c r="S43" i="38" s="1"/>
  <c r="R42" i="38"/>
  <c r="H54" i="37"/>
  <c r="S43" i="37" s="1"/>
  <c r="H54" i="36"/>
  <c r="S45" i="36" s="1"/>
  <c r="R43" i="35"/>
  <c r="R42" i="35"/>
  <c r="R45" i="35"/>
  <c r="H54" i="35"/>
  <c r="H54" i="33"/>
  <c r="S41" i="33" s="1"/>
  <c r="H54" i="32"/>
  <c r="S44" i="32" s="1"/>
  <c r="H54" i="31"/>
  <c r="S42" i="31" s="1"/>
  <c r="J22" i="33"/>
  <c r="J21" i="38"/>
  <c r="J22" i="40"/>
  <c r="J23" i="31"/>
  <c r="J22" i="34"/>
  <c r="J23" i="39"/>
  <c r="J22" i="39"/>
  <c r="J21" i="37"/>
  <c r="J21" i="33"/>
  <c r="J21" i="39"/>
  <c r="J26" i="36"/>
  <c r="J26" i="34"/>
  <c r="J23" i="37"/>
  <c r="J26" i="37"/>
  <c r="J21" i="40"/>
  <c r="J22" i="38"/>
  <c r="J22" i="35"/>
  <c r="J22" i="30"/>
  <c r="J26" i="31"/>
  <c r="J21" i="30"/>
  <c r="J22" i="37"/>
  <c r="J26" i="33"/>
  <c r="J23" i="40"/>
  <c r="J23" i="36"/>
  <c r="J21" i="32"/>
  <c r="J26" i="39"/>
  <c r="J22" i="36"/>
  <c r="J22" i="31"/>
  <c r="J21" i="35"/>
  <c r="J23" i="33"/>
  <c r="J23" i="35"/>
  <c r="J23" i="38"/>
  <c r="J23" i="30"/>
  <c r="J21" i="31"/>
  <c r="J26" i="35"/>
  <c r="J26" i="30"/>
  <c r="J26" i="40"/>
  <c r="J21" i="36"/>
  <c r="J21" i="34"/>
  <c r="J23" i="32"/>
  <c r="J23" i="34"/>
  <c r="J22" i="32"/>
  <c r="J26" i="32"/>
  <c r="J26" i="38"/>
  <c r="R20" i="32"/>
  <c r="R20" i="33"/>
  <c r="S15" i="31"/>
  <c r="S17" i="31"/>
  <c r="S19" i="31"/>
  <c r="S18" i="31"/>
  <c r="S16" i="31"/>
  <c r="J24" i="35"/>
  <c r="I27" i="35"/>
  <c r="S19" i="39"/>
  <c r="S18" i="39"/>
  <c r="S17" i="39"/>
  <c r="S15" i="39"/>
  <c r="S16" i="39"/>
  <c r="S17" i="32"/>
  <c r="S15" i="32"/>
  <c r="S18" i="32"/>
  <c r="S16" i="32"/>
  <c r="S19" i="32"/>
  <c r="R20" i="38"/>
  <c r="S16" i="37"/>
  <c r="S15" i="37"/>
  <c r="S19" i="37"/>
  <c r="S17" i="37"/>
  <c r="S18" i="37"/>
  <c r="S15" i="36"/>
  <c r="S16" i="36"/>
  <c r="S17" i="36"/>
  <c r="S18" i="36"/>
  <c r="S19" i="36"/>
  <c r="J24" i="31"/>
  <c r="I27" i="31"/>
  <c r="S17" i="35"/>
  <c r="S18" i="35"/>
  <c r="S19" i="35"/>
  <c r="S15" i="35"/>
  <c r="S16" i="35"/>
  <c r="S17" i="40"/>
  <c r="S16" i="40"/>
  <c r="S15" i="40"/>
  <c r="S19" i="40"/>
  <c r="S18" i="40"/>
  <c r="J24" i="32"/>
  <c r="I27" i="32"/>
  <c r="S16" i="38"/>
  <c r="S17" i="38"/>
  <c r="S15" i="38"/>
  <c r="S19" i="38"/>
  <c r="S18" i="38"/>
  <c r="I27" i="30"/>
  <c r="J24" i="30"/>
  <c r="J24" i="37"/>
  <c r="I27" i="37"/>
  <c r="J24" i="36"/>
  <c r="I27" i="36"/>
  <c r="K23" i="22"/>
  <c r="K21" i="22"/>
  <c r="I54" i="22"/>
  <c r="K24" i="22"/>
  <c r="J27" i="22"/>
  <c r="K26" i="22"/>
  <c r="K22" i="22"/>
  <c r="T19" i="22"/>
  <c r="T17" i="22"/>
  <c r="T16" i="22"/>
  <c r="T15" i="22"/>
  <c r="T18" i="22"/>
  <c r="J24" i="38" l="1"/>
  <c r="J27" i="38" s="1"/>
  <c r="S20" i="22"/>
  <c r="N60" i="47"/>
  <c r="Q108" i="47"/>
  <c r="CV36" i="47" s="1"/>
  <c r="Q101" i="47"/>
  <c r="CV11" i="47" s="1"/>
  <c r="CW56" i="47"/>
  <c r="S42" i="22"/>
  <c r="R20" i="36"/>
  <c r="S41" i="22"/>
  <c r="S45" i="22"/>
  <c r="S44" i="22"/>
  <c r="S16" i="30"/>
  <c r="Q46" i="30"/>
  <c r="CX11" i="47"/>
  <c r="O60" i="47"/>
  <c r="R20" i="22"/>
  <c r="Q52" i="40"/>
  <c r="Q46" i="35"/>
  <c r="Q46" i="34"/>
  <c r="S19" i="30"/>
  <c r="S18" i="30"/>
  <c r="S15" i="30"/>
  <c r="S15" i="33"/>
  <c r="Q46" i="37"/>
  <c r="Q46" i="22"/>
  <c r="R44" i="22"/>
  <c r="R42" i="22"/>
  <c r="R43" i="22"/>
  <c r="R41" i="22"/>
  <c r="AQ55" i="22"/>
  <c r="Q46" i="38"/>
  <c r="CY42" i="47"/>
  <c r="CR68" i="47"/>
  <c r="S81" i="43"/>
  <c r="S85" i="43" s="1"/>
  <c r="O7" i="16" s="1"/>
  <c r="T77" i="43"/>
  <c r="T78" i="43" s="1"/>
  <c r="Q46" i="31"/>
  <c r="H54" i="39"/>
  <c r="S42" i="39" s="1"/>
  <c r="S48" i="40"/>
  <c r="AC97" i="40"/>
  <c r="AD97" i="40" s="1"/>
  <c r="T97" i="40"/>
  <c r="U97" i="40" s="1"/>
  <c r="N78" i="43"/>
  <c r="N73" i="43"/>
  <c r="AC69" i="35"/>
  <c r="AD69" i="35" s="1"/>
  <c r="T69" i="35"/>
  <c r="U69" i="35" s="1"/>
  <c r="S45" i="35"/>
  <c r="AC91" i="35"/>
  <c r="AD91" i="35" s="1"/>
  <c r="T91" i="35"/>
  <c r="U91" i="35" s="1"/>
  <c r="T84" i="22"/>
  <c r="AC84" i="22"/>
  <c r="AD84" i="22" s="1"/>
  <c r="AC62" i="22"/>
  <c r="AD62" i="22" s="1"/>
  <c r="T62" i="22"/>
  <c r="U62" i="22" s="1"/>
  <c r="T44" i="22"/>
  <c r="CZ35" i="47"/>
  <c r="S16" i="33"/>
  <c r="S18" i="33"/>
  <c r="S19" i="33"/>
  <c r="I27" i="39"/>
  <c r="U68" i="39" s="1"/>
  <c r="U78" i="39" s="1"/>
  <c r="S16" i="34"/>
  <c r="I33" i="40"/>
  <c r="J24" i="33"/>
  <c r="S17" i="34"/>
  <c r="R20" i="34"/>
  <c r="R20" i="30"/>
  <c r="R20" i="39"/>
  <c r="R20" i="35"/>
  <c r="S18" i="34"/>
  <c r="S19" i="34"/>
  <c r="J24" i="34"/>
  <c r="R20" i="31"/>
  <c r="R20" i="40"/>
  <c r="R20" i="37"/>
  <c r="R46" i="32"/>
  <c r="S45" i="30"/>
  <c r="S41" i="30"/>
  <c r="R46" i="36"/>
  <c r="S43" i="30"/>
  <c r="I54" i="30"/>
  <c r="S42" i="30"/>
  <c r="S43" i="35"/>
  <c r="S43" i="36"/>
  <c r="S41" i="36"/>
  <c r="R46" i="39"/>
  <c r="R46" i="33"/>
  <c r="S41" i="31"/>
  <c r="R46" i="31"/>
  <c r="R46" i="34"/>
  <c r="R46" i="37"/>
  <c r="I54" i="39"/>
  <c r="T43" i="39" s="1"/>
  <c r="I54" i="37"/>
  <c r="T43" i="37" s="1"/>
  <c r="S44" i="36"/>
  <c r="S42" i="36"/>
  <c r="S41" i="34"/>
  <c r="S45" i="31"/>
  <c r="S44" i="31"/>
  <c r="S42" i="34"/>
  <c r="S45" i="32"/>
  <c r="S45" i="34"/>
  <c r="S43" i="34"/>
  <c r="R46" i="30"/>
  <c r="S41" i="37"/>
  <c r="S42" i="32"/>
  <c r="S44" i="37"/>
  <c r="S42" i="37"/>
  <c r="S43" i="31"/>
  <c r="S49" i="40"/>
  <c r="R46" i="38"/>
  <c r="S45" i="37"/>
  <c r="S45" i="33"/>
  <c r="R46" i="35"/>
  <c r="R52" i="40"/>
  <c r="S45" i="38"/>
  <c r="S41" i="38"/>
  <c r="S42" i="38"/>
  <c r="S47" i="40"/>
  <c r="S51" i="40"/>
  <c r="I54" i="38"/>
  <c r="T43" i="38" s="1"/>
  <c r="S50" i="40"/>
  <c r="S44" i="38"/>
  <c r="I54" i="36"/>
  <c r="T45" i="36" s="1"/>
  <c r="S44" i="35"/>
  <c r="S42" i="35"/>
  <c r="S41" i="35"/>
  <c r="I54" i="35"/>
  <c r="S43" i="33"/>
  <c r="S42" i="33"/>
  <c r="S44" i="33"/>
  <c r="S43" i="32"/>
  <c r="S41" i="32"/>
  <c r="I54" i="32"/>
  <c r="T42" i="32" s="1"/>
  <c r="I54" i="31"/>
  <c r="T43" i="31" s="1"/>
  <c r="K23" i="32"/>
  <c r="K21" i="36"/>
  <c r="K21" i="31"/>
  <c r="K23" i="38"/>
  <c r="K23" i="33"/>
  <c r="K22" i="31"/>
  <c r="K23" i="36"/>
  <c r="K21" i="30"/>
  <c r="K22" i="30"/>
  <c r="K21" i="37"/>
  <c r="K23" i="39"/>
  <c r="K23" i="31"/>
  <c r="K26" i="38"/>
  <c r="K22" i="32"/>
  <c r="K26" i="30"/>
  <c r="K26" i="39"/>
  <c r="K26" i="33"/>
  <c r="K22" i="38"/>
  <c r="K26" i="37"/>
  <c r="K26" i="34"/>
  <c r="K21" i="39"/>
  <c r="K21" i="38"/>
  <c r="K23" i="34"/>
  <c r="K21" i="34"/>
  <c r="K23" i="30"/>
  <c r="K23" i="35"/>
  <c r="K21" i="35"/>
  <c r="K23" i="40"/>
  <c r="K22" i="37"/>
  <c r="K22" i="35"/>
  <c r="K23" i="37"/>
  <c r="K26" i="36"/>
  <c r="K22" i="39"/>
  <c r="K22" i="33"/>
  <c r="K26" i="32"/>
  <c r="K26" i="40"/>
  <c r="K26" i="35"/>
  <c r="K22" i="36"/>
  <c r="K21" i="32"/>
  <c r="K26" i="31"/>
  <c r="K21" i="40"/>
  <c r="K21" i="33"/>
  <c r="K22" i="34"/>
  <c r="K22" i="40"/>
  <c r="S20" i="38"/>
  <c r="S20" i="40"/>
  <c r="T17" i="36"/>
  <c r="T19" i="36"/>
  <c r="T18" i="36"/>
  <c r="T15" i="36"/>
  <c r="T16" i="36"/>
  <c r="K24" i="37"/>
  <c r="J27" i="37"/>
  <c r="K24" i="30"/>
  <c r="J27" i="30"/>
  <c r="K24" i="39"/>
  <c r="J27" i="39"/>
  <c r="S20" i="32"/>
  <c r="S20" i="31"/>
  <c r="K24" i="31"/>
  <c r="J27" i="31"/>
  <c r="S20" i="36"/>
  <c r="T16" i="34"/>
  <c r="T19" i="34"/>
  <c r="T17" i="34"/>
  <c r="T15" i="34"/>
  <c r="T18" i="34"/>
  <c r="S20" i="39"/>
  <c r="T16" i="35"/>
  <c r="T18" i="35"/>
  <c r="T17" i="35"/>
  <c r="T19" i="35"/>
  <c r="T15" i="35"/>
  <c r="T16" i="38"/>
  <c r="T15" i="38"/>
  <c r="T19" i="38"/>
  <c r="T17" i="38"/>
  <c r="T18" i="38"/>
  <c r="K24" i="35"/>
  <c r="J27" i="35"/>
  <c r="K24" i="38"/>
  <c r="K24" i="36"/>
  <c r="J27" i="36"/>
  <c r="T16" i="30"/>
  <c r="T18" i="30"/>
  <c r="T19" i="30"/>
  <c r="T15" i="30"/>
  <c r="T17" i="30"/>
  <c r="T19" i="32"/>
  <c r="T18" i="32"/>
  <c r="T17" i="32"/>
  <c r="T16" i="32"/>
  <c r="T15" i="32"/>
  <c r="K24" i="40"/>
  <c r="J33" i="40"/>
  <c r="T16" i="37"/>
  <c r="T15" i="37"/>
  <c r="T19" i="37"/>
  <c r="T18" i="37"/>
  <c r="T17" i="37"/>
  <c r="K24" i="32"/>
  <c r="J27" i="32"/>
  <c r="S20" i="35"/>
  <c r="T18" i="31"/>
  <c r="T16" i="31"/>
  <c r="T17" i="31"/>
  <c r="T15" i="31"/>
  <c r="T19" i="31"/>
  <c r="S20" i="37"/>
  <c r="T18" i="33"/>
  <c r="T16" i="33"/>
  <c r="T15" i="33"/>
  <c r="T19" i="33"/>
  <c r="T17" i="33"/>
  <c r="J54" i="22"/>
  <c r="L21" i="22"/>
  <c r="L23" i="22"/>
  <c r="T41" i="22"/>
  <c r="T42" i="22"/>
  <c r="T43" i="22"/>
  <c r="T45" i="22"/>
  <c r="L24" i="22"/>
  <c r="K27" i="22"/>
  <c r="T20" i="22"/>
  <c r="L26" i="22"/>
  <c r="U18" i="22"/>
  <c r="U17" i="22"/>
  <c r="U19" i="22"/>
  <c r="U15" i="22"/>
  <c r="U16" i="22"/>
  <c r="L22" i="22"/>
  <c r="M60" i="47" l="1"/>
  <c r="S46" i="22"/>
  <c r="T44" i="30"/>
  <c r="T41" i="30"/>
  <c r="S20" i="30"/>
  <c r="R46" i="22"/>
  <c r="CZ56" i="47"/>
  <c r="CZ77" i="47" s="1"/>
  <c r="S45" i="39"/>
  <c r="S41" i="39"/>
  <c r="S43" i="39"/>
  <c r="S44" i="39"/>
  <c r="I66" i="40"/>
  <c r="I54" i="34"/>
  <c r="T41" i="34" s="1"/>
  <c r="I54" i="33"/>
  <c r="T44" i="33" s="1"/>
  <c r="N81" i="43"/>
  <c r="N85" i="43" s="1"/>
  <c r="AC76" i="40"/>
  <c r="AD76" i="40" s="1"/>
  <c r="AC81" i="40"/>
  <c r="AD81" i="40" s="1"/>
  <c r="AC68" i="40"/>
  <c r="AD68" i="40" s="1"/>
  <c r="AC69" i="40"/>
  <c r="AD69" i="40" s="1"/>
  <c r="T76" i="40"/>
  <c r="U76" i="40" s="1"/>
  <c r="T81" i="40"/>
  <c r="U81" i="40" s="1"/>
  <c r="T68" i="40"/>
  <c r="U68" i="40" s="1"/>
  <c r="T69" i="40"/>
  <c r="U69" i="40" s="1"/>
  <c r="T16" i="40"/>
  <c r="AC75" i="40"/>
  <c r="AD75" i="40" s="1"/>
  <c r="T75" i="40"/>
  <c r="U75" i="40" s="1"/>
  <c r="T98" i="40"/>
  <c r="U98" i="40" s="1"/>
  <c r="AC70" i="35"/>
  <c r="AD70" i="35" s="1"/>
  <c r="AC75" i="35"/>
  <c r="AD75" i="35" s="1"/>
  <c r="AC62" i="35"/>
  <c r="AD62" i="35" s="1"/>
  <c r="AC63" i="35"/>
  <c r="AD63" i="35" s="1"/>
  <c r="T75" i="35"/>
  <c r="U75" i="35" s="1"/>
  <c r="T70" i="35"/>
  <c r="U70" i="35" s="1"/>
  <c r="T62" i="35"/>
  <c r="U62" i="35" s="1"/>
  <c r="T63" i="35"/>
  <c r="U63" i="35" s="1"/>
  <c r="T41" i="35"/>
  <c r="AC92" i="35"/>
  <c r="AD92" i="35" s="1"/>
  <c r="T92" i="35"/>
  <c r="U92" i="35" s="1"/>
  <c r="U82" i="22"/>
  <c r="AC85" i="22"/>
  <c r="AD85" i="22" s="1"/>
  <c r="T85" i="22"/>
  <c r="U85" i="22" s="1"/>
  <c r="AC63" i="22"/>
  <c r="AD63" i="22" s="1"/>
  <c r="T63" i="22"/>
  <c r="CY35" i="47"/>
  <c r="S20" i="33"/>
  <c r="T15" i="39"/>
  <c r="T18" i="39"/>
  <c r="T16" i="39"/>
  <c r="T18" i="40"/>
  <c r="J27" i="33"/>
  <c r="U17" i="33" s="1"/>
  <c r="K24" i="33"/>
  <c r="T19" i="39"/>
  <c r="T17" i="39"/>
  <c r="T19" i="40"/>
  <c r="T15" i="40"/>
  <c r="T17" i="40"/>
  <c r="J27" i="34"/>
  <c r="U16" i="34" s="1"/>
  <c r="S20" i="34"/>
  <c r="K24" i="34"/>
  <c r="L24" i="34" s="1"/>
  <c r="T45" i="30"/>
  <c r="T42" i="30"/>
  <c r="T44" i="37"/>
  <c r="T43" i="30"/>
  <c r="S46" i="30"/>
  <c r="T42" i="36"/>
  <c r="J54" i="38"/>
  <c r="U44" i="38" s="1"/>
  <c r="J54" i="39"/>
  <c r="U43" i="39" s="1"/>
  <c r="S46" i="36"/>
  <c r="T45" i="37"/>
  <c r="T41" i="37"/>
  <c r="T42" i="37"/>
  <c r="T45" i="39"/>
  <c r="S46" i="31"/>
  <c r="T45" i="38"/>
  <c r="J66" i="40"/>
  <c r="T44" i="39"/>
  <c r="S46" i="34"/>
  <c r="T41" i="39"/>
  <c r="T42" i="39"/>
  <c r="T42" i="38"/>
  <c r="T41" i="38"/>
  <c r="T44" i="38"/>
  <c r="J54" i="37"/>
  <c r="U44" i="37" s="1"/>
  <c r="T43" i="35"/>
  <c r="T44" i="32"/>
  <c r="S46" i="37"/>
  <c r="U60" i="22"/>
  <c r="J54" i="34"/>
  <c r="U44" i="34" s="1"/>
  <c r="T44" i="35"/>
  <c r="S46" i="38"/>
  <c r="T41" i="32"/>
  <c r="T41" i="31"/>
  <c r="S46" i="32"/>
  <c r="S46" i="33"/>
  <c r="S52" i="40"/>
  <c r="S46" i="35"/>
  <c r="T44" i="36"/>
  <c r="J54" i="36"/>
  <c r="U42" i="36" s="1"/>
  <c r="T43" i="36"/>
  <c r="T41" i="36"/>
  <c r="T42" i="35"/>
  <c r="T45" i="35"/>
  <c r="J54" i="35"/>
  <c r="J54" i="33"/>
  <c r="U45" i="33" s="1"/>
  <c r="T43" i="32"/>
  <c r="T45" i="32"/>
  <c r="J54" i="32"/>
  <c r="U41" i="32" s="1"/>
  <c r="T42" i="31"/>
  <c r="J54" i="31"/>
  <c r="U41" i="31" s="1"/>
  <c r="T45" i="31"/>
  <c r="T44" i="31"/>
  <c r="J54" i="30"/>
  <c r="U41" i="30" s="1"/>
  <c r="L22" i="35"/>
  <c r="L23" i="35"/>
  <c r="L21" i="34"/>
  <c r="L21" i="38"/>
  <c r="L22" i="38"/>
  <c r="L26" i="39"/>
  <c r="L22" i="32"/>
  <c r="L21" i="37"/>
  <c r="L21" i="30"/>
  <c r="L21" i="36"/>
  <c r="L22" i="40"/>
  <c r="L21" i="33"/>
  <c r="L26" i="31"/>
  <c r="L22" i="36"/>
  <c r="L26" i="40"/>
  <c r="L22" i="33"/>
  <c r="L26" i="36"/>
  <c r="L23" i="40"/>
  <c r="L26" i="34"/>
  <c r="L23" i="31"/>
  <c r="L22" i="31"/>
  <c r="L23" i="38"/>
  <c r="L21" i="40"/>
  <c r="L26" i="32"/>
  <c r="L22" i="39"/>
  <c r="L21" i="35"/>
  <c r="L23" i="30"/>
  <c r="L23" i="34"/>
  <c r="L21" i="39"/>
  <c r="L26" i="33"/>
  <c r="L23" i="39"/>
  <c r="L23" i="36"/>
  <c r="L23" i="33"/>
  <c r="L26" i="38"/>
  <c r="L22" i="34"/>
  <c r="L21" i="32"/>
  <c r="L26" i="35"/>
  <c r="L23" i="37"/>
  <c r="L22" i="37"/>
  <c r="L26" i="37"/>
  <c r="L26" i="30"/>
  <c r="L22" i="30"/>
  <c r="L21" i="31"/>
  <c r="L23" i="32"/>
  <c r="T20" i="37"/>
  <c r="T20" i="36"/>
  <c r="T20" i="33"/>
  <c r="L24" i="32"/>
  <c r="K27" i="32"/>
  <c r="T20" i="32"/>
  <c r="L24" i="36"/>
  <c r="K27" i="36"/>
  <c r="L24" i="38"/>
  <c r="K27" i="38"/>
  <c r="T20" i="38"/>
  <c r="L24" i="31"/>
  <c r="K27" i="31"/>
  <c r="U60" i="31" s="1"/>
  <c r="U78" i="31" s="1"/>
  <c r="U15" i="30"/>
  <c r="U16" i="30"/>
  <c r="U17" i="30"/>
  <c r="U18" i="30"/>
  <c r="U19" i="30"/>
  <c r="U17" i="37"/>
  <c r="U16" i="37"/>
  <c r="U15" i="37"/>
  <c r="U19" i="37"/>
  <c r="U18" i="37"/>
  <c r="K27" i="30"/>
  <c r="L24" i="30"/>
  <c r="U15" i="40"/>
  <c r="U17" i="40"/>
  <c r="U19" i="40"/>
  <c r="U18" i="40"/>
  <c r="U16" i="40"/>
  <c r="L24" i="37"/>
  <c r="K27" i="37"/>
  <c r="T20" i="31"/>
  <c r="U17" i="32"/>
  <c r="U15" i="32"/>
  <c r="U16" i="32"/>
  <c r="U19" i="32"/>
  <c r="U18" i="32"/>
  <c r="L24" i="40"/>
  <c r="K33" i="40"/>
  <c r="T20" i="30"/>
  <c r="U19" i="35"/>
  <c r="U18" i="35"/>
  <c r="U16" i="35"/>
  <c r="U15" i="35"/>
  <c r="U17" i="35"/>
  <c r="T20" i="34"/>
  <c r="U18" i="39"/>
  <c r="U19" i="39"/>
  <c r="U17" i="39"/>
  <c r="U15" i="39"/>
  <c r="U16" i="39"/>
  <c r="U17" i="36"/>
  <c r="U18" i="36"/>
  <c r="U15" i="36"/>
  <c r="U19" i="36"/>
  <c r="U16" i="36"/>
  <c r="U19" i="38"/>
  <c r="U18" i="38"/>
  <c r="U16" i="38"/>
  <c r="U15" i="38"/>
  <c r="U17" i="38"/>
  <c r="L24" i="35"/>
  <c r="K27" i="35"/>
  <c r="T20" i="35"/>
  <c r="U17" i="31"/>
  <c r="U19" i="31"/>
  <c r="U18" i="31"/>
  <c r="U15" i="31"/>
  <c r="U16" i="31"/>
  <c r="L24" i="39"/>
  <c r="K27" i="39"/>
  <c r="U43" i="22"/>
  <c r="U84" i="22"/>
  <c r="U41" i="22"/>
  <c r="U42" i="22"/>
  <c r="U44" i="22"/>
  <c r="U45" i="22"/>
  <c r="M23" i="22"/>
  <c r="AQ23" i="22" s="1"/>
  <c r="CF20" i="47" s="1"/>
  <c r="M21" i="22"/>
  <c r="AQ21" i="22" s="1"/>
  <c r="CF18" i="47" s="1"/>
  <c r="T46" i="22"/>
  <c r="K54" i="22"/>
  <c r="L27" i="22"/>
  <c r="M24" i="22"/>
  <c r="AQ24" i="22" s="1"/>
  <c r="U20" i="22"/>
  <c r="M26" i="22"/>
  <c r="AQ26" i="22" s="1"/>
  <c r="CF23" i="47" s="1"/>
  <c r="V17" i="22"/>
  <c r="V16" i="22"/>
  <c r="V18" i="22"/>
  <c r="V15" i="22"/>
  <c r="V19" i="22"/>
  <c r="M22" i="22"/>
  <c r="AQ22" i="22" s="1"/>
  <c r="CF19" i="47" s="1"/>
  <c r="P9" i="16"/>
  <c r="T46" i="30" l="1"/>
  <c r="T49" i="40"/>
  <c r="T103" i="40"/>
  <c r="U103" i="40" s="1"/>
  <c r="T45" i="34"/>
  <c r="T48" i="40"/>
  <c r="S46" i="39"/>
  <c r="T42" i="33"/>
  <c r="T42" i="34"/>
  <c r="T47" i="40"/>
  <c r="CY56" i="47"/>
  <c r="T51" i="40"/>
  <c r="T50" i="40"/>
  <c r="T81" i="43"/>
  <c r="T44" i="34"/>
  <c r="T43" i="34"/>
  <c r="T41" i="33"/>
  <c r="CF21" i="47"/>
  <c r="CF70" i="47" s="1"/>
  <c r="CF76" i="47" s="1"/>
  <c r="AQ28" i="22"/>
  <c r="T45" i="33"/>
  <c r="AC98" i="40"/>
  <c r="AD98" i="40" s="1"/>
  <c r="T43" i="33"/>
  <c r="U49" i="40"/>
  <c r="AC99" i="40"/>
  <c r="AD99" i="40" s="1"/>
  <c r="AC92" i="40"/>
  <c r="AD92" i="40" s="1"/>
  <c r="AC104" i="40"/>
  <c r="AD104" i="40" s="1"/>
  <c r="AC91" i="40"/>
  <c r="AD91" i="40" s="1"/>
  <c r="T91" i="40"/>
  <c r="U91" i="40" s="1"/>
  <c r="T99" i="40"/>
  <c r="U99" i="40" s="1"/>
  <c r="T92" i="40"/>
  <c r="U92" i="40" s="1"/>
  <c r="AC71" i="40"/>
  <c r="AD71" i="40" s="1"/>
  <c r="AC77" i="40"/>
  <c r="AD77" i="40" s="1"/>
  <c r="AC83" i="40"/>
  <c r="AD83" i="40" s="1"/>
  <c r="AC70" i="40"/>
  <c r="AD70" i="40" s="1"/>
  <c r="T70" i="40"/>
  <c r="U70" i="40" s="1"/>
  <c r="T77" i="40"/>
  <c r="U77" i="40" s="1"/>
  <c r="T71" i="40"/>
  <c r="U71" i="40" s="1"/>
  <c r="T83" i="40"/>
  <c r="U83" i="40" s="1"/>
  <c r="J7" i="16"/>
  <c r="P7" i="16" s="1"/>
  <c r="D15" i="16" s="1"/>
  <c r="T85" i="43"/>
  <c r="U41" i="35"/>
  <c r="AC86" i="35"/>
  <c r="AD86" i="35" s="1"/>
  <c r="AC93" i="35"/>
  <c r="AD93" i="35" s="1"/>
  <c r="AC85" i="35"/>
  <c r="AD85" i="35" s="1"/>
  <c r="AC98" i="35"/>
  <c r="AD98" i="35" s="1"/>
  <c r="T85" i="35"/>
  <c r="U85" i="35" s="1"/>
  <c r="T86" i="35"/>
  <c r="U86" i="35" s="1"/>
  <c r="T93" i="35"/>
  <c r="U93" i="35" s="1"/>
  <c r="T98" i="35"/>
  <c r="U98" i="35" s="1"/>
  <c r="AC65" i="35"/>
  <c r="AD65" i="35" s="1"/>
  <c r="AC71" i="35"/>
  <c r="AD71" i="35" s="1"/>
  <c r="AC64" i="35"/>
  <c r="AD64" i="35" s="1"/>
  <c r="AC77" i="35"/>
  <c r="AD77" i="35" s="1"/>
  <c r="T71" i="35"/>
  <c r="U71" i="35" s="1"/>
  <c r="T65" i="35"/>
  <c r="U65" i="35" s="1"/>
  <c r="T77" i="35"/>
  <c r="U77" i="35" s="1"/>
  <c r="T64" i="35"/>
  <c r="U64" i="35" s="1"/>
  <c r="AC86" i="22"/>
  <c r="AD86" i="22" s="1"/>
  <c r="T86" i="22"/>
  <c r="U86" i="22" s="1"/>
  <c r="AC64" i="22"/>
  <c r="AD64" i="22" s="1"/>
  <c r="T64" i="22"/>
  <c r="U64" i="22" s="1"/>
  <c r="U15" i="33"/>
  <c r="U16" i="33"/>
  <c r="U19" i="33"/>
  <c r="U18" i="33"/>
  <c r="T20" i="39"/>
  <c r="K27" i="33"/>
  <c r="V17" i="33" s="1"/>
  <c r="L24" i="33"/>
  <c r="M24" i="33" s="1"/>
  <c r="AQ24" i="33" s="1"/>
  <c r="T20" i="40"/>
  <c r="U17" i="34"/>
  <c r="K27" i="34"/>
  <c r="V16" i="34" s="1"/>
  <c r="U18" i="34"/>
  <c r="U15" i="34"/>
  <c r="U19" i="34"/>
  <c r="U42" i="38"/>
  <c r="U45" i="38"/>
  <c r="U45" i="39"/>
  <c r="U41" i="39"/>
  <c r="U42" i="39"/>
  <c r="U44" i="39"/>
  <c r="U43" i="38"/>
  <c r="U41" i="38"/>
  <c r="T46" i="37"/>
  <c r="U45" i="37"/>
  <c r="U47" i="40"/>
  <c r="U50" i="40"/>
  <c r="U48" i="40"/>
  <c r="U51" i="40"/>
  <c r="K54" i="39"/>
  <c r="V41" i="39" s="1"/>
  <c r="T46" i="39"/>
  <c r="U45" i="30"/>
  <c r="T46" i="38"/>
  <c r="U43" i="37"/>
  <c r="U41" i="37"/>
  <c r="U42" i="37"/>
  <c r="K54" i="37"/>
  <c r="V43" i="37" s="1"/>
  <c r="U44" i="36"/>
  <c r="U43" i="32"/>
  <c r="U63" i="22"/>
  <c r="U42" i="31"/>
  <c r="U45" i="36"/>
  <c r="U43" i="31"/>
  <c r="U41" i="36"/>
  <c r="U43" i="36"/>
  <c r="U42" i="34"/>
  <c r="U43" i="34"/>
  <c r="U41" i="34"/>
  <c r="U45" i="34"/>
  <c r="T46" i="35"/>
  <c r="T46" i="32"/>
  <c r="U44" i="30"/>
  <c r="U42" i="30"/>
  <c r="U43" i="33"/>
  <c r="U43" i="30"/>
  <c r="U44" i="32"/>
  <c r="U42" i="33"/>
  <c r="U45" i="32"/>
  <c r="U41" i="33"/>
  <c r="U42" i="32"/>
  <c r="U44" i="33"/>
  <c r="U45" i="35"/>
  <c r="U44" i="31"/>
  <c r="T46" i="31"/>
  <c r="T46" i="36"/>
  <c r="K66" i="40"/>
  <c r="K54" i="38"/>
  <c r="V41" i="38" s="1"/>
  <c r="K54" i="36"/>
  <c r="V43" i="36" s="1"/>
  <c r="U44" i="35"/>
  <c r="U43" i="35"/>
  <c r="U42" i="35"/>
  <c r="K54" i="35"/>
  <c r="K54" i="33"/>
  <c r="V43" i="33" s="1"/>
  <c r="K54" i="32"/>
  <c r="V42" i="32" s="1"/>
  <c r="U45" i="31"/>
  <c r="K54" i="31"/>
  <c r="V43" i="31" s="1"/>
  <c r="K54" i="30"/>
  <c r="V42" i="30" s="1"/>
  <c r="M22" i="30"/>
  <c r="AQ22" i="30" s="1"/>
  <c r="CG19" i="47" s="1"/>
  <c r="M23" i="36"/>
  <c r="AQ23" i="36" s="1"/>
  <c r="CM20" i="47" s="1"/>
  <c r="M26" i="33"/>
  <c r="AQ26" i="33" s="1"/>
  <c r="CJ23" i="47" s="1"/>
  <c r="M23" i="34"/>
  <c r="AQ23" i="34" s="1"/>
  <c r="CK20" i="47" s="1"/>
  <c r="M23" i="31"/>
  <c r="AQ23" i="31" s="1"/>
  <c r="CH20" i="47" s="1"/>
  <c r="M23" i="40"/>
  <c r="AQ23" i="40" s="1"/>
  <c r="CQ20" i="47" s="1"/>
  <c r="M22" i="36"/>
  <c r="AQ22" i="36" s="1"/>
  <c r="CM19" i="47" s="1"/>
  <c r="M21" i="36"/>
  <c r="AQ21" i="36" s="1"/>
  <c r="CM18" i="47" s="1"/>
  <c r="M21" i="38"/>
  <c r="AQ21" i="38" s="1"/>
  <c r="CO18" i="47" s="1"/>
  <c r="M23" i="35"/>
  <c r="AQ23" i="35" s="1"/>
  <c r="CL20" i="47" s="1"/>
  <c r="M23" i="32"/>
  <c r="AQ23" i="32" s="1"/>
  <c r="CI20" i="47" s="1"/>
  <c r="M26" i="37"/>
  <c r="AQ26" i="37" s="1"/>
  <c r="CN23" i="47" s="1"/>
  <c r="M23" i="37"/>
  <c r="AQ23" i="37" s="1"/>
  <c r="CN20" i="47" s="1"/>
  <c r="M21" i="32"/>
  <c r="AQ21" i="32" s="1"/>
  <c r="CI18" i="47" s="1"/>
  <c r="M26" i="38"/>
  <c r="AQ26" i="38" s="1"/>
  <c r="CO23" i="47" s="1"/>
  <c r="M21" i="35"/>
  <c r="AQ21" i="35" s="1"/>
  <c r="CL18" i="47" s="1"/>
  <c r="M26" i="32"/>
  <c r="AQ26" i="32" s="1"/>
  <c r="CI23" i="47" s="1"/>
  <c r="M23" i="38"/>
  <c r="AQ23" i="38" s="1"/>
  <c r="CO20" i="47" s="1"/>
  <c r="M22" i="33"/>
  <c r="AQ22" i="33" s="1"/>
  <c r="CJ19" i="47" s="1"/>
  <c r="M21" i="33"/>
  <c r="AQ21" i="33" s="1"/>
  <c r="CJ18" i="47" s="1"/>
  <c r="M21" i="37"/>
  <c r="AQ21" i="37" s="1"/>
  <c r="CN18" i="47" s="1"/>
  <c r="M26" i="39"/>
  <c r="AQ26" i="39" s="1"/>
  <c r="CP23" i="47" s="1"/>
  <c r="M26" i="30"/>
  <c r="AQ26" i="30" s="1"/>
  <c r="CG23" i="47" s="1"/>
  <c r="M23" i="39"/>
  <c r="AQ23" i="39" s="1"/>
  <c r="CP20" i="47" s="1"/>
  <c r="M21" i="39"/>
  <c r="AQ21" i="39" s="1"/>
  <c r="CP18" i="47" s="1"/>
  <c r="M23" i="30"/>
  <c r="AQ23" i="30" s="1"/>
  <c r="CG20" i="47" s="1"/>
  <c r="M21" i="40"/>
  <c r="AQ21" i="40" s="1"/>
  <c r="CQ18" i="47" s="1"/>
  <c r="M26" i="34"/>
  <c r="AQ26" i="34" s="1"/>
  <c r="CK23" i="47" s="1"/>
  <c r="M26" i="36"/>
  <c r="AQ26" i="36" s="1"/>
  <c r="CM23" i="47" s="1"/>
  <c r="M21" i="30"/>
  <c r="AQ21" i="30" s="1"/>
  <c r="CG18" i="47" s="1"/>
  <c r="M22" i="38"/>
  <c r="AQ22" i="38" s="1"/>
  <c r="CO19" i="47" s="1"/>
  <c r="M21" i="34"/>
  <c r="AQ21" i="34" s="1"/>
  <c r="CK18" i="47" s="1"/>
  <c r="M22" i="35"/>
  <c r="AQ22" i="35" s="1"/>
  <c r="CL19" i="47" s="1"/>
  <c r="M21" i="31"/>
  <c r="AQ21" i="31" s="1"/>
  <c r="CH18" i="47" s="1"/>
  <c r="M22" i="37"/>
  <c r="AQ22" i="37" s="1"/>
  <c r="CN19" i="47" s="1"/>
  <c r="M26" i="35"/>
  <c r="AQ26" i="35" s="1"/>
  <c r="CL23" i="47" s="1"/>
  <c r="M22" i="34"/>
  <c r="AQ22" i="34" s="1"/>
  <c r="CK19" i="47" s="1"/>
  <c r="M23" i="33"/>
  <c r="AQ23" i="33" s="1"/>
  <c r="CJ20" i="47" s="1"/>
  <c r="M22" i="39"/>
  <c r="AQ22" i="39" s="1"/>
  <c r="CP19" i="47" s="1"/>
  <c r="M22" i="31"/>
  <c r="AQ22" i="31" s="1"/>
  <c r="CH19" i="47" s="1"/>
  <c r="M26" i="40"/>
  <c r="AQ26" i="40" s="1"/>
  <c r="CQ23" i="47" s="1"/>
  <c r="M26" i="31"/>
  <c r="AQ26" i="31" s="1"/>
  <c r="CH23" i="47" s="1"/>
  <c r="M22" i="40"/>
  <c r="AQ22" i="40" s="1"/>
  <c r="CQ19" i="47" s="1"/>
  <c r="M22" i="32"/>
  <c r="AQ22" i="32" s="1"/>
  <c r="CI19" i="47" s="1"/>
  <c r="U20" i="31"/>
  <c r="V15" i="39"/>
  <c r="V17" i="39"/>
  <c r="V16" i="39"/>
  <c r="V19" i="39"/>
  <c r="V18" i="39"/>
  <c r="M24" i="35"/>
  <c r="AQ24" i="35" s="1"/>
  <c r="L27" i="35"/>
  <c r="U20" i="39"/>
  <c r="U20" i="35"/>
  <c r="M24" i="37"/>
  <c r="AQ24" i="37" s="1"/>
  <c r="L27" i="37"/>
  <c r="U66" i="37" s="1"/>
  <c r="U78" i="37" s="1"/>
  <c r="U20" i="40"/>
  <c r="V18" i="30"/>
  <c r="V17" i="30"/>
  <c r="V16" i="30"/>
  <c r="V15" i="30"/>
  <c r="V19" i="30"/>
  <c r="U20" i="30"/>
  <c r="V16" i="31"/>
  <c r="V15" i="31"/>
  <c r="V18" i="31"/>
  <c r="V17" i="31"/>
  <c r="V19" i="31"/>
  <c r="M24" i="38"/>
  <c r="AQ24" i="38" s="1"/>
  <c r="L27" i="38"/>
  <c r="V16" i="32"/>
  <c r="V15" i="32"/>
  <c r="V17" i="32"/>
  <c r="V19" i="32"/>
  <c r="V18" i="32"/>
  <c r="M24" i="39"/>
  <c r="AQ24" i="39" s="1"/>
  <c r="L27" i="39"/>
  <c r="U20" i="36"/>
  <c r="U20" i="37"/>
  <c r="M24" i="32"/>
  <c r="AQ24" i="32" s="1"/>
  <c r="L27" i="32"/>
  <c r="U61" i="32" s="1"/>
  <c r="U78" i="32" s="1"/>
  <c r="V18" i="40"/>
  <c r="V17" i="40"/>
  <c r="V19" i="40"/>
  <c r="V16" i="40"/>
  <c r="V15" i="40"/>
  <c r="U20" i="32"/>
  <c r="V18" i="37"/>
  <c r="V17" i="37"/>
  <c r="V15" i="37"/>
  <c r="V16" i="37"/>
  <c r="V19" i="37"/>
  <c r="M24" i="31"/>
  <c r="AQ24" i="31" s="1"/>
  <c r="L27" i="31"/>
  <c r="V15" i="36"/>
  <c r="V16" i="36"/>
  <c r="V17" i="36"/>
  <c r="V19" i="36"/>
  <c r="V18" i="36"/>
  <c r="V19" i="35"/>
  <c r="V16" i="35"/>
  <c r="V17" i="35"/>
  <c r="V15" i="35"/>
  <c r="V18" i="35"/>
  <c r="U20" i="38"/>
  <c r="M24" i="34"/>
  <c r="AQ24" i="34" s="1"/>
  <c r="L27" i="34"/>
  <c r="M24" i="40"/>
  <c r="AQ24" i="40" s="1"/>
  <c r="L33" i="40"/>
  <c r="M24" i="30"/>
  <c r="AQ24" i="30" s="1"/>
  <c r="L27" i="30"/>
  <c r="V17" i="38"/>
  <c r="V15" i="38"/>
  <c r="V18" i="38"/>
  <c r="V16" i="38"/>
  <c r="V19" i="38"/>
  <c r="M24" i="36"/>
  <c r="AQ24" i="36" s="1"/>
  <c r="L27" i="36"/>
  <c r="V43" i="22"/>
  <c r="U100" i="22"/>
  <c r="U59" i="22"/>
  <c r="U46" i="22"/>
  <c r="V45" i="22"/>
  <c r="V42" i="22"/>
  <c r="V44" i="22"/>
  <c r="V41" i="22"/>
  <c r="M27" i="22"/>
  <c r="L54" i="22"/>
  <c r="V20" i="22"/>
  <c r="M54" i="22"/>
  <c r="W15" i="22"/>
  <c r="W18" i="22"/>
  <c r="W17" i="22"/>
  <c r="W16" i="22"/>
  <c r="W19" i="22"/>
  <c r="L27" i="33" l="1"/>
  <c r="W15" i="33" s="1"/>
  <c r="T52" i="40"/>
  <c r="T46" i="34"/>
  <c r="CR23" i="47"/>
  <c r="CX23" i="47" s="1"/>
  <c r="CX56" i="47" s="1"/>
  <c r="CR18" i="47"/>
  <c r="CV18" i="47" s="1"/>
  <c r="CR20" i="47"/>
  <c r="CV20" i="47" s="1"/>
  <c r="CR19" i="47"/>
  <c r="CV19" i="47" s="1"/>
  <c r="T46" i="33"/>
  <c r="CK21" i="47"/>
  <c r="AQ28" i="34"/>
  <c r="CH21" i="47"/>
  <c r="AQ28" i="31"/>
  <c r="CM21" i="47"/>
  <c r="AQ28" i="36"/>
  <c r="CP21" i="47"/>
  <c r="AQ28" i="39"/>
  <c r="CL21" i="47"/>
  <c r="AQ28" i="35"/>
  <c r="CJ21" i="47"/>
  <c r="AQ28" i="33"/>
  <c r="K54" i="34"/>
  <c r="V45" i="34" s="1"/>
  <c r="CI21" i="47"/>
  <c r="AQ28" i="32"/>
  <c r="CN21" i="47"/>
  <c r="AQ28" i="37"/>
  <c r="CG21" i="47"/>
  <c r="AQ28" i="30"/>
  <c r="CQ21" i="47"/>
  <c r="AQ34" i="40"/>
  <c r="CO21" i="47"/>
  <c r="AQ28" i="38"/>
  <c r="AC78" i="40"/>
  <c r="AD78" i="40" s="1"/>
  <c r="T78" i="40"/>
  <c r="U78" i="40" s="1"/>
  <c r="V51" i="40"/>
  <c r="AC100" i="40"/>
  <c r="AD100" i="40" s="1"/>
  <c r="AC93" i="40"/>
  <c r="AD93" i="40" s="1"/>
  <c r="AC94" i="40"/>
  <c r="AD94" i="40" s="1"/>
  <c r="AC106" i="40"/>
  <c r="AD106" i="40" s="1"/>
  <c r="T94" i="40"/>
  <c r="U94" i="40" s="1"/>
  <c r="T93" i="40"/>
  <c r="U93" i="40" s="1"/>
  <c r="T100" i="40"/>
  <c r="U100" i="40" s="1"/>
  <c r="T106" i="40"/>
  <c r="U106" i="40" s="1"/>
  <c r="V45" i="35"/>
  <c r="AC94" i="35"/>
  <c r="AD94" i="35" s="1"/>
  <c r="AC87" i="35"/>
  <c r="AD87" i="35" s="1"/>
  <c r="AC88" i="35"/>
  <c r="AD88" i="35" s="1"/>
  <c r="AC100" i="35"/>
  <c r="AD100" i="35" s="1"/>
  <c r="T94" i="35"/>
  <c r="U94" i="35" s="1"/>
  <c r="T87" i="35"/>
  <c r="U87" i="35" s="1"/>
  <c r="T88" i="35"/>
  <c r="U88" i="35" s="1"/>
  <c r="T100" i="35"/>
  <c r="U100" i="35" s="1"/>
  <c r="AC72" i="35"/>
  <c r="AD72" i="35" s="1"/>
  <c r="T72" i="35"/>
  <c r="U72" i="35" s="1"/>
  <c r="AC88" i="22"/>
  <c r="AD88" i="22" s="1"/>
  <c r="T88" i="22"/>
  <c r="U88" i="22" s="1"/>
  <c r="AC87" i="22"/>
  <c r="AD87" i="22" s="1"/>
  <c r="T87" i="22"/>
  <c r="U87" i="22" s="1"/>
  <c r="AC65" i="22"/>
  <c r="AD65" i="22" s="1"/>
  <c r="AD78" i="22" s="1"/>
  <c r="T65" i="22"/>
  <c r="U65" i="22" s="1"/>
  <c r="U20" i="33"/>
  <c r="V18" i="33"/>
  <c r="V19" i="33"/>
  <c r="V16" i="33"/>
  <c r="V15" i="33"/>
  <c r="V18" i="34"/>
  <c r="V15" i="34"/>
  <c r="V17" i="34"/>
  <c r="V19" i="34"/>
  <c r="U20" i="34"/>
  <c r="U46" i="38"/>
  <c r="U46" i="39"/>
  <c r="V41" i="31"/>
  <c r="L54" i="36"/>
  <c r="W44" i="36" s="1"/>
  <c r="V45" i="39"/>
  <c r="V44" i="39"/>
  <c r="U52" i="40"/>
  <c r="V42" i="39"/>
  <c r="V43" i="39"/>
  <c r="L54" i="39"/>
  <c r="W43" i="39" s="1"/>
  <c r="V45" i="37"/>
  <c r="U46" i="37"/>
  <c r="L54" i="33"/>
  <c r="W45" i="33" s="1"/>
  <c r="U46" i="30"/>
  <c r="V44" i="37"/>
  <c r="V42" i="37"/>
  <c r="V41" i="37"/>
  <c r="L54" i="38"/>
  <c r="W42" i="38" s="1"/>
  <c r="U46" i="34"/>
  <c r="U63" i="34"/>
  <c r="U78" i="34" s="1"/>
  <c r="L54" i="32"/>
  <c r="W41" i="32" s="1"/>
  <c r="V43" i="32"/>
  <c r="V44" i="31"/>
  <c r="U46" i="36"/>
  <c r="V45" i="31"/>
  <c r="V42" i="31"/>
  <c r="V41" i="35"/>
  <c r="V44" i="32"/>
  <c r="V44" i="38"/>
  <c r="V45" i="33"/>
  <c r="V41" i="32"/>
  <c r="V45" i="32"/>
  <c r="U46" i="31"/>
  <c r="U46" i="32"/>
  <c r="V41" i="36"/>
  <c r="V42" i="36"/>
  <c r="V44" i="36"/>
  <c r="U46" i="33"/>
  <c r="V45" i="36"/>
  <c r="U46" i="35"/>
  <c r="V44" i="33"/>
  <c r="V47" i="40"/>
  <c r="V49" i="40"/>
  <c r="V48" i="40"/>
  <c r="L66" i="40"/>
  <c r="V50" i="40"/>
  <c r="V43" i="38"/>
  <c r="V45" i="38"/>
  <c r="V42" i="38"/>
  <c r="L54" i="37"/>
  <c r="W41" i="37" s="1"/>
  <c r="V44" i="35"/>
  <c r="V43" i="35"/>
  <c r="V42" i="35"/>
  <c r="L54" i="35"/>
  <c r="L54" i="34"/>
  <c r="W45" i="34" s="1"/>
  <c r="V42" i="33"/>
  <c r="V41" i="33"/>
  <c r="L54" i="31"/>
  <c r="W43" i="31" s="1"/>
  <c r="V44" i="30"/>
  <c r="V41" i="30"/>
  <c r="V45" i="30"/>
  <c r="V43" i="30"/>
  <c r="L54" i="30"/>
  <c r="W45" i="30" s="1"/>
  <c r="W17" i="30"/>
  <c r="W19" i="30"/>
  <c r="W15" i="30"/>
  <c r="W16" i="30"/>
  <c r="W18" i="30"/>
  <c r="M27" i="33"/>
  <c r="V20" i="36"/>
  <c r="W19" i="32"/>
  <c r="W16" i="32"/>
  <c r="W15" i="32"/>
  <c r="W17" i="32"/>
  <c r="W18" i="32"/>
  <c r="M27" i="39"/>
  <c r="V20" i="32"/>
  <c r="M27" i="38"/>
  <c r="V20" i="39"/>
  <c r="M27" i="36"/>
  <c r="V20" i="38"/>
  <c r="M27" i="30"/>
  <c r="W17" i="40"/>
  <c r="W18" i="40"/>
  <c r="W15" i="40"/>
  <c r="W16" i="40"/>
  <c r="W19" i="40"/>
  <c r="W17" i="34"/>
  <c r="W19" i="34"/>
  <c r="W15" i="34"/>
  <c r="W18" i="34"/>
  <c r="W16" i="34"/>
  <c r="M27" i="31"/>
  <c r="M27" i="32"/>
  <c r="W17" i="37"/>
  <c r="W19" i="37"/>
  <c r="W16" i="37"/>
  <c r="W18" i="37"/>
  <c r="W15" i="37"/>
  <c r="M27" i="35"/>
  <c r="M54" i="34"/>
  <c r="M27" i="34"/>
  <c r="V20" i="35"/>
  <c r="W15" i="39"/>
  <c r="W19" i="39"/>
  <c r="W16" i="39"/>
  <c r="W18" i="39"/>
  <c r="W17" i="39"/>
  <c r="V20" i="31"/>
  <c r="M27" i="37"/>
  <c r="W16" i="36"/>
  <c r="W19" i="36"/>
  <c r="W17" i="36"/>
  <c r="W15" i="36"/>
  <c r="W18" i="36"/>
  <c r="M33" i="40"/>
  <c r="W16" i="31"/>
  <c r="W15" i="31"/>
  <c r="W19" i="31"/>
  <c r="W17" i="31"/>
  <c r="W18" i="31"/>
  <c r="V20" i="37"/>
  <c r="V20" i="40"/>
  <c r="W17" i="38"/>
  <c r="W16" i="38"/>
  <c r="W15" i="38"/>
  <c r="W19" i="38"/>
  <c r="W18" i="38"/>
  <c r="V20" i="30"/>
  <c r="W19" i="35"/>
  <c r="W15" i="35"/>
  <c r="W16" i="35"/>
  <c r="W17" i="35"/>
  <c r="W18" i="35"/>
  <c r="W43" i="22"/>
  <c r="V46" i="22"/>
  <c r="W44" i="22"/>
  <c r="W42" i="22"/>
  <c r="W45" i="22"/>
  <c r="W41" i="22"/>
  <c r="W20" i="22"/>
  <c r="X15" i="22"/>
  <c r="X18" i="22"/>
  <c r="Y18" i="22" s="1"/>
  <c r="V26" i="22" s="1"/>
  <c r="X19" i="22"/>
  <c r="Y19" i="22" s="1"/>
  <c r="V27" i="22" s="1"/>
  <c r="X17" i="22"/>
  <c r="Y17" i="22" s="1"/>
  <c r="V25" i="22" s="1"/>
  <c r="X16" i="22"/>
  <c r="Y16" i="22" s="1"/>
  <c r="V24" i="22" s="1"/>
  <c r="X41" i="22"/>
  <c r="X45" i="22"/>
  <c r="X43" i="22"/>
  <c r="X44" i="22"/>
  <c r="X42" i="22"/>
  <c r="V43" i="34" l="1"/>
  <c r="W17" i="33"/>
  <c r="W18" i="33"/>
  <c r="W19" i="33"/>
  <c r="W16" i="33"/>
  <c r="V42" i="34"/>
  <c r="V41" i="34"/>
  <c r="V44" i="34"/>
  <c r="M66" i="40"/>
  <c r="AQ57" i="40"/>
  <c r="M54" i="37"/>
  <c r="X42" i="37" s="1"/>
  <c r="AQ51" i="37"/>
  <c r="M54" i="31"/>
  <c r="X44" i="31" s="1"/>
  <c r="AQ51" i="31"/>
  <c r="M54" i="30"/>
  <c r="X45" i="30" s="1"/>
  <c r="Y45" i="30" s="1"/>
  <c r="V53" i="30" s="1"/>
  <c r="AQ51" i="30"/>
  <c r="M54" i="39"/>
  <c r="X43" i="39" s="1"/>
  <c r="Y43" i="39" s="1"/>
  <c r="V51" i="39" s="1"/>
  <c r="AQ51" i="39"/>
  <c r="CR21" i="47"/>
  <c r="M54" i="33"/>
  <c r="X45" i="33" s="1"/>
  <c r="Y45" i="33" s="1"/>
  <c r="V53" i="33" s="1"/>
  <c r="AQ51" i="33"/>
  <c r="M54" i="32"/>
  <c r="X42" i="32" s="1"/>
  <c r="AQ51" i="32"/>
  <c r="M54" i="38"/>
  <c r="X45" i="38" s="1"/>
  <c r="AQ51" i="38"/>
  <c r="AQ51" i="34"/>
  <c r="M54" i="35"/>
  <c r="X43" i="35" s="1"/>
  <c r="AQ51" i="35"/>
  <c r="M54" i="36"/>
  <c r="X43" i="36" s="1"/>
  <c r="AQ51" i="36"/>
  <c r="W47" i="40"/>
  <c r="AC101" i="40"/>
  <c r="AD101" i="40" s="1"/>
  <c r="T101" i="40"/>
  <c r="U101" i="40" s="1"/>
  <c r="AC79" i="40"/>
  <c r="AD79" i="40" s="1"/>
  <c r="AD84" i="40" s="1"/>
  <c r="T79" i="40"/>
  <c r="U79" i="40" s="1"/>
  <c r="U84" i="40" s="1"/>
  <c r="AC96" i="35"/>
  <c r="AD96" i="35" s="1"/>
  <c r="T96" i="35"/>
  <c r="U96" i="35" s="1"/>
  <c r="W41" i="35"/>
  <c r="AC95" i="35"/>
  <c r="AD95" i="35" s="1"/>
  <c r="T95" i="35"/>
  <c r="U95" i="35" s="1"/>
  <c r="AC73" i="35"/>
  <c r="AD73" i="35" s="1"/>
  <c r="AD78" i="35" s="1"/>
  <c r="T73" i="35"/>
  <c r="U73" i="35" s="1"/>
  <c r="U78" i="35" s="1"/>
  <c r="V20" i="33"/>
  <c r="V20" i="34"/>
  <c r="W41" i="33"/>
  <c r="W45" i="36"/>
  <c r="W41" i="36"/>
  <c r="W43" i="36"/>
  <c r="W42" i="33"/>
  <c r="W44" i="33"/>
  <c r="W42" i="36"/>
  <c r="W42" i="32"/>
  <c r="W43" i="33"/>
  <c r="V46" i="39"/>
  <c r="W44" i="39"/>
  <c r="W42" i="39"/>
  <c r="W45" i="39"/>
  <c r="W43" i="38"/>
  <c r="W41" i="39"/>
  <c r="V46" i="37"/>
  <c r="W44" i="38"/>
  <c r="W44" i="32"/>
  <c r="W45" i="32"/>
  <c r="W43" i="32"/>
  <c r="W45" i="38"/>
  <c r="W41" i="38"/>
  <c r="W41" i="34"/>
  <c r="V46" i="31"/>
  <c r="V46" i="36"/>
  <c r="Y43" i="22"/>
  <c r="V51" i="22" s="1"/>
  <c r="Y51" i="22" s="1"/>
  <c r="D22" i="16" s="1"/>
  <c r="U83" i="22"/>
  <c r="U101" i="22" s="1"/>
  <c r="U61" i="22"/>
  <c r="U78" i="22" s="1"/>
  <c r="W42" i="34"/>
  <c r="W44" i="34"/>
  <c r="W43" i="34"/>
  <c r="V46" i="33"/>
  <c r="V46" i="32"/>
  <c r="V46" i="35"/>
  <c r="W45" i="37"/>
  <c r="W42" i="31"/>
  <c r="W41" i="31"/>
  <c r="V46" i="38"/>
  <c r="W42" i="37"/>
  <c r="V52" i="40"/>
  <c r="W45" i="31"/>
  <c r="W44" i="31"/>
  <c r="V46" i="30"/>
  <c r="W49" i="40"/>
  <c r="W51" i="40"/>
  <c r="W50" i="40"/>
  <c r="W48" i="40"/>
  <c r="W43" i="37"/>
  <c r="W44" i="37"/>
  <c r="W42" i="35"/>
  <c r="W43" i="35"/>
  <c r="W44" i="35"/>
  <c r="W45" i="35"/>
  <c r="W44" i="30"/>
  <c r="W42" i="30"/>
  <c r="W41" i="30"/>
  <c r="W43" i="30"/>
  <c r="AD101" i="22"/>
  <c r="W20" i="32"/>
  <c r="X15" i="38"/>
  <c r="X16" i="38"/>
  <c r="Y16" i="38" s="1"/>
  <c r="V24" i="38" s="1"/>
  <c r="X19" i="38"/>
  <c r="Y19" i="38" s="1"/>
  <c r="V27" i="38" s="1"/>
  <c r="X18" i="38"/>
  <c r="Y18" i="38" s="1"/>
  <c r="V26" i="38" s="1"/>
  <c r="X17" i="38"/>
  <c r="Y17" i="38" s="1"/>
  <c r="V25" i="38" s="1"/>
  <c r="W20" i="39"/>
  <c r="W20" i="37"/>
  <c r="X17" i="32"/>
  <c r="Y17" i="32" s="1"/>
  <c r="V25" i="32" s="1"/>
  <c r="X19" i="32"/>
  <c r="Y19" i="32" s="1"/>
  <c r="V27" i="32" s="1"/>
  <c r="X18" i="32"/>
  <c r="Y18" i="32" s="1"/>
  <c r="V26" i="32" s="1"/>
  <c r="X15" i="32"/>
  <c r="X16" i="32"/>
  <c r="Y16" i="32" s="1"/>
  <c r="V24" i="32" s="1"/>
  <c r="X19" i="31"/>
  <c r="Y19" i="31" s="1"/>
  <c r="V27" i="31" s="1"/>
  <c r="X17" i="31"/>
  <c r="Y17" i="31" s="1"/>
  <c r="V25" i="31" s="1"/>
  <c r="X18" i="31"/>
  <c r="Y18" i="31" s="1"/>
  <c r="V26" i="31" s="1"/>
  <c r="X15" i="31"/>
  <c r="Y15" i="31" s="1"/>
  <c r="X16" i="31"/>
  <c r="Y16" i="31" s="1"/>
  <c r="V24" i="31" s="1"/>
  <c r="W20" i="38"/>
  <c r="W20" i="36"/>
  <c r="X18" i="37"/>
  <c r="Y18" i="37" s="1"/>
  <c r="V26" i="37" s="1"/>
  <c r="X19" i="37"/>
  <c r="Y19" i="37" s="1"/>
  <c r="V27" i="37" s="1"/>
  <c r="X17" i="37"/>
  <c r="Y17" i="37" s="1"/>
  <c r="V25" i="37" s="1"/>
  <c r="X16" i="37"/>
  <c r="Y16" i="37" s="1"/>
  <c r="V24" i="37" s="1"/>
  <c r="X15" i="37"/>
  <c r="X16" i="34"/>
  <c r="Y16" i="34" s="1"/>
  <c r="V24" i="34" s="1"/>
  <c r="X19" i="34"/>
  <c r="Y19" i="34" s="1"/>
  <c r="V27" i="34" s="1"/>
  <c r="X17" i="34"/>
  <c r="Y17" i="34" s="1"/>
  <c r="V25" i="34" s="1"/>
  <c r="X15" i="34"/>
  <c r="X18" i="34"/>
  <c r="Y18" i="34" s="1"/>
  <c r="V26" i="34" s="1"/>
  <c r="X15" i="35"/>
  <c r="X16" i="35"/>
  <c r="Y16" i="35" s="1"/>
  <c r="V24" i="35" s="1"/>
  <c r="X17" i="35"/>
  <c r="Y17" i="35" s="1"/>
  <c r="V25" i="35" s="1"/>
  <c r="X18" i="35"/>
  <c r="Y18" i="35" s="1"/>
  <c r="V26" i="35" s="1"/>
  <c r="X19" i="35"/>
  <c r="Y19" i="35" s="1"/>
  <c r="V27" i="35" s="1"/>
  <c r="W20" i="34"/>
  <c r="X15" i="33"/>
  <c r="X16" i="33"/>
  <c r="X17" i="33"/>
  <c r="X18" i="33"/>
  <c r="X19" i="33"/>
  <c r="W20" i="30"/>
  <c r="W20" i="35"/>
  <c r="W20" i="31"/>
  <c r="X19" i="40"/>
  <c r="Y19" i="40" s="1"/>
  <c r="V27" i="40" s="1"/>
  <c r="X15" i="40"/>
  <c r="X16" i="40"/>
  <c r="Y16" i="40" s="1"/>
  <c r="V24" i="40" s="1"/>
  <c r="X18" i="40"/>
  <c r="Y18" i="40" s="1"/>
  <c r="V26" i="40" s="1"/>
  <c r="X17" i="40"/>
  <c r="Y17" i="40" s="1"/>
  <c r="V25" i="40" s="1"/>
  <c r="X45" i="34"/>
  <c r="Y45" i="34" s="1"/>
  <c r="V53" i="34" s="1"/>
  <c r="X42" i="34"/>
  <c r="X44" i="34"/>
  <c r="X41" i="34"/>
  <c r="X43" i="34"/>
  <c r="W20" i="40"/>
  <c r="X15" i="30"/>
  <c r="X17" i="30"/>
  <c r="Y17" i="30" s="1"/>
  <c r="V25" i="30" s="1"/>
  <c r="X19" i="30"/>
  <c r="Y19" i="30" s="1"/>
  <c r="V27" i="30" s="1"/>
  <c r="X18" i="30"/>
  <c r="Y18" i="30" s="1"/>
  <c r="V26" i="30" s="1"/>
  <c r="X16" i="30"/>
  <c r="Y16" i="30" s="1"/>
  <c r="V24" i="30" s="1"/>
  <c r="X17" i="36"/>
  <c r="Y17" i="36" s="1"/>
  <c r="V25" i="36" s="1"/>
  <c r="X19" i="36"/>
  <c r="Y19" i="36" s="1"/>
  <c r="V27" i="36" s="1"/>
  <c r="X18" i="36"/>
  <c r="Y18" i="36" s="1"/>
  <c r="V26" i="36" s="1"/>
  <c r="X15" i="36"/>
  <c r="X16" i="36"/>
  <c r="Y16" i="36" s="1"/>
  <c r="V24" i="36" s="1"/>
  <c r="X18" i="39"/>
  <c r="Y18" i="39" s="1"/>
  <c r="V26" i="39" s="1"/>
  <c r="X15" i="39"/>
  <c r="Y15" i="39" s="1"/>
  <c r="X16" i="39"/>
  <c r="Y16" i="39" s="1"/>
  <c r="V24" i="39" s="1"/>
  <c r="X17" i="39"/>
  <c r="Y17" i="39" s="1"/>
  <c r="V25" i="39" s="1"/>
  <c r="X19" i="39"/>
  <c r="Y19" i="39" s="1"/>
  <c r="V27" i="39" s="1"/>
  <c r="Y44" i="22"/>
  <c r="V52" i="22" s="1"/>
  <c r="Y52" i="22" s="1"/>
  <c r="D23" i="16" s="1"/>
  <c r="W46" i="22"/>
  <c r="Y45" i="22"/>
  <c r="V53" i="22" s="1"/>
  <c r="Y53" i="22" s="1"/>
  <c r="D24" i="16" s="1"/>
  <c r="Y42" i="22"/>
  <c r="V50" i="22" s="1"/>
  <c r="Y50" i="22" s="1"/>
  <c r="D21" i="16" s="1"/>
  <c r="X20" i="22"/>
  <c r="X46" i="22"/>
  <c r="Y41" i="22"/>
  <c r="V49" i="22" s="1"/>
  <c r="Y15" i="22"/>
  <c r="V23" i="22" s="1"/>
  <c r="X42" i="35" l="1"/>
  <c r="X41" i="37"/>
  <c r="Y17" i="33"/>
  <c r="V25" i="33" s="1"/>
  <c r="W20" i="33"/>
  <c r="AC102" i="40"/>
  <c r="AD102" i="40" s="1"/>
  <c r="AD107" i="40" s="1"/>
  <c r="T104" i="40"/>
  <c r="U104" i="40" s="1"/>
  <c r="X43" i="37"/>
  <c r="X45" i="37"/>
  <c r="Y45" i="37" s="1"/>
  <c r="V53" i="37" s="1"/>
  <c r="Y53" i="37" s="1"/>
  <c r="L24" i="16" s="1"/>
  <c r="Y16" i="33"/>
  <c r="V24" i="33" s="1"/>
  <c r="Y19" i="33"/>
  <c r="V27" i="33" s="1"/>
  <c r="Y53" i="33" s="1"/>
  <c r="H24" i="16" s="1"/>
  <c r="Y18" i="33"/>
  <c r="V26" i="33" s="1"/>
  <c r="X41" i="32"/>
  <c r="Y41" i="32" s="1"/>
  <c r="X43" i="32"/>
  <c r="Y43" i="32" s="1"/>
  <c r="V51" i="32" s="1"/>
  <c r="Y51" i="32" s="1"/>
  <c r="G22" i="16" s="1"/>
  <c r="X45" i="32"/>
  <c r="Y45" i="32" s="1"/>
  <c r="V53" i="32" s="1"/>
  <c r="Y53" i="32" s="1"/>
  <c r="G24" i="16" s="1"/>
  <c r="X50" i="40"/>
  <c r="X44" i="33"/>
  <c r="X48" i="40"/>
  <c r="Y48" i="40" s="1"/>
  <c r="V56" i="40" s="1"/>
  <c r="Y56" i="40" s="1"/>
  <c r="O21" i="16" s="1"/>
  <c r="X51" i="40"/>
  <c r="Y51" i="40" s="1"/>
  <c r="V59" i="40" s="1"/>
  <c r="Y59" i="40" s="1"/>
  <c r="O24" i="16" s="1"/>
  <c r="T102" i="40"/>
  <c r="U102" i="40" s="1"/>
  <c r="X49" i="40"/>
  <c r="Y49" i="40" s="1"/>
  <c r="V57" i="40" s="1"/>
  <c r="Y57" i="40" s="1"/>
  <c r="O22" i="16" s="1"/>
  <c r="X47" i="40"/>
  <c r="Y47" i="40" s="1"/>
  <c r="X42" i="39"/>
  <c r="Y42" i="39" s="1"/>
  <c r="V50" i="39" s="1"/>
  <c r="Y50" i="39" s="1"/>
  <c r="N21" i="16" s="1"/>
  <c r="X41" i="39"/>
  <c r="X44" i="39"/>
  <c r="Y44" i="39" s="1"/>
  <c r="V52" i="39" s="1"/>
  <c r="Y52" i="39" s="1"/>
  <c r="N23" i="16" s="1"/>
  <c r="X45" i="39"/>
  <c r="X44" i="38"/>
  <c r="Y44" i="38" s="1"/>
  <c r="V52" i="38" s="1"/>
  <c r="Y52" i="38" s="1"/>
  <c r="M23" i="16" s="1"/>
  <c r="X41" i="38"/>
  <c r="Y41" i="38" s="1"/>
  <c r="X42" i="38"/>
  <c r="Y42" i="38" s="1"/>
  <c r="V50" i="38" s="1"/>
  <c r="Y50" i="38" s="1"/>
  <c r="M21" i="16" s="1"/>
  <c r="X43" i="38"/>
  <c r="Y43" i="38" s="1"/>
  <c r="V51" i="38" s="1"/>
  <c r="Y51" i="38" s="1"/>
  <c r="M22" i="16" s="1"/>
  <c r="X44" i="37"/>
  <c r="Y44" i="37" s="1"/>
  <c r="V52" i="37" s="1"/>
  <c r="Y52" i="37" s="1"/>
  <c r="L23" i="16" s="1"/>
  <c r="X41" i="36"/>
  <c r="Y41" i="36" s="1"/>
  <c r="X44" i="36"/>
  <c r="Y44" i="36" s="1"/>
  <c r="V52" i="36" s="1"/>
  <c r="Y52" i="36" s="1"/>
  <c r="K23" i="16" s="1"/>
  <c r="X42" i="36"/>
  <c r="Y42" i="36" s="1"/>
  <c r="V50" i="36" s="1"/>
  <c r="Y50" i="36" s="1"/>
  <c r="K21" i="16" s="1"/>
  <c r="X45" i="36"/>
  <c r="X41" i="35"/>
  <c r="X45" i="35"/>
  <c r="Y45" i="35" s="1"/>
  <c r="V53" i="35" s="1"/>
  <c r="Y53" i="35" s="1"/>
  <c r="J24" i="16" s="1"/>
  <c r="X44" i="35"/>
  <c r="Y44" i="35" s="1"/>
  <c r="V52" i="35" s="1"/>
  <c r="Y52" i="35" s="1"/>
  <c r="J23" i="16" s="1"/>
  <c r="V46" i="34"/>
  <c r="X42" i="33"/>
  <c r="Y42" i="33" s="1"/>
  <c r="V50" i="33" s="1"/>
  <c r="Y44" i="33"/>
  <c r="V52" i="33" s="1"/>
  <c r="X43" i="33"/>
  <c r="Y43" i="33" s="1"/>
  <c r="V51" i="33" s="1"/>
  <c r="X41" i="33"/>
  <c r="Y41" i="33" s="1"/>
  <c r="V49" i="33" s="1"/>
  <c r="X44" i="32"/>
  <c r="Y44" i="32" s="1"/>
  <c r="V52" i="32" s="1"/>
  <c r="Y52" i="32" s="1"/>
  <c r="G23" i="16" s="1"/>
  <c r="X43" i="31"/>
  <c r="Y43" i="31" s="1"/>
  <c r="V51" i="31" s="1"/>
  <c r="Y51" i="31" s="1"/>
  <c r="F22" i="16" s="1"/>
  <c r="X41" i="31"/>
  <c r="Y41" i="31" s="1"/>
  <c r="V49" i="31" s="1"/>
  <c r="X45" i="31"/>
  <c r="Y45" i="31" s="1"/>
  <c r="V53" i="31" s="1"/>
  <c r="Y53" i="31" s="1"/>
  <c r="F24" i="16" s="1"/>
  <c r="X42" i="31"/>
  <c r="Y42" i="31" s="1"/>
  <c r="V50" i="31" s="1"/>
  <c r="Y50" i="31" s="1"/>
  <c r="F21" i="16" s="1"/>
  <c r="X42" i="30"/>
  <c r="Y42" i="30" s="1"/>
  <c r="V50" i="30" s="1"/>
  <c r="Y50" i="30" s="1"/>
  <c r="E21" i="16" s="1"/>
  <c r="X44" i="30"/>
  <c r="Y44" i="30" s="1"/>
  <c r="V52" i="30" s="1"/>
  <c r="Y52" i="30" s="1"/>
  <c r="E23" i="16" s="1"/>
  <c r="X43" i="30"/>
  <c r="Y43" i="30" s="1"/>
  <c r="V51" i="30" s="1"/>
  <c r="Y51" i="30" s="1"/>
  <c r="E22" i="16" s="1"/>
  <c r="X41" i="30"/>
  <c r="Y41" i="30" s="1"/>
  <c r="CI46" i="47"/>
  <c r="CI70" i="47" s="1"/>
  <c r="CI76" i="47" s="1"/>
  <c r="AQ55" i="32"/>
  <c r="CV21" i="47"/>
  <c r="CG46" i="47"/>
  <c r="AQ55" i="30"/>
  <c r="CN46" i="47"/>
  <c r="CN70" i="47" s="1"/>
  <c r="CN76" i="47" s="1"/>
  <c r="AQ55" i="37"/>
  <c r="CM46" i="47"/>
  <c r="CM70" i="47" s="1"/>
  <c r="CM76" i="47" s="1"/>
  <c r="AQ55" i="36"/>
  <c r="CK46" i="47"/>
  <c r="CK70" i="47" s="1"/>
  <c r="CK76" i="47" s="1"/>
  <c r="AQ55" i="34"/>
  <c r="CO46" i="47"/>
  <c r="CO70" i="47" s="1"/>
  <c r="CO76" i="47" s="1"/>
  <c r="AQ55" i="38"/>
  <c r="CJ46" i="47"/>
  <c r="CJ70" i="47" s="1"/>
  <c r="CJ76" i="47" s="1"/>
  <c r="AQ55" i="33"/>
  <c r="CP46" i="47"/>
  <c r="CP70" i="47" s="1"/>
  <c r="CP76" i="47" s="1"/>
  <c r="AQ55" i="39"/>
  <c r="CH46" i="47"/>
  <c r="CH70" i="47" s="1"/>
  <c r="CH76" i="47" s="1"/>
  <c r="AQ55" i="31"/>
  <c r="CQ46" i="47"/>
  <c r="CQ70" i="47" s="1"/>
  <c r="CQ76" i="47" s="1"/>
  <c r="AQ67" i="40"/>
  <c r="CL46" i="47"/>
  <c r="CL70" i="47" s="1"/>
  <c r="CL76" i="47" s="1"/>
  <c r="AQ55" i="35"/>
  <c r="U101" i="35"/>
  <c r="AD101" i="35"/>
  <c r="V28" i="22"/>
  <c r="Y49" i="22"/>
  <c r="D20" i="16" s="1"/>
  <c r="Y42" i="32"/>
  <c r="V50" i="32" s="1"/>
  <c r="Y50" i="32" s="1"/>
  <c r="G21" i="16" s="1"/>
  <c r="W46" i="36"/>
  <c r="Y45" i="39"/>
  <c r="V53" i="39" s="1"/>
  <c r="Y53" i="39" s="1"/>
  <c r="N24" i="16" s="1"/>
  <c r="Y50" i="40"/>
  <c r="V58" i="40" s="1"/>
  <c r="Y58" i="40" s="1"/>
  <c r="O23" i="16" s="1"/>
  <c r="Y43" i="36"/>
  <c r="V51" i="36" s="1"/>
  <c r="Y51" i="36" s="1"/>
  <c r="K22" i="16" s="1"/>
  <c r="Y41" i="34"/>
  <c r="V49" i="34" s="1"/>
  <c r="W46" i="33"/>
  <c r="W46" i="39"/>
  <c r="W46" i="32"/>
  <c r="Y45" i="38"/>
  <c r="V53" i="38" s="1"/>
  <c r="Y53" i="38" s="1"/>
  <c r="M24" i="16" s="1"/>
  <c r="Y43" i="34"/>
  <c r="V51" i="34" s="1"/>
  <c r="Y51" i="34" s="1"/>
  <c r="I22" i="16" s="1"/>
  <c r="Y42" i="37"/>
  <c r="V50" i="37" s="1"/>
  <c r="Y50" i="37" s="1"/>
  <c r="L21" i="16" s="1"/>
  <c r="W46" i="38"/>
  <c r="Y42" i="34"/>
  <c r="V50" i="34" s="1"/>
  <c r="Y50" i="34" s="1"/>
  <c r="I21" i="16" s="1"/>
  <c r="Y44" i="34"/>
  <c r="V52" i="34" s="1"/>
  <c r="Y52" i="34" s="1"/>
  <c r="I23" i="16" s="1"/>
  <c r="Y43" i="37"/>
  <c r="V51" i="37" s="1"/>
  <c r="Y51" i="37" s="1"/>
  <c r="L22" i="16" s="1"/>
  <c r="W46" i="34"/>
  <c r="Y43" i="35"/>
  <c r="V51" i="35" s="1"/>
  <c r="Y51" i="35" s="1"/>
  <c r="J22" i="16" s="1"/>
  <c r="Y42" i="35"/>
  <c r="V50" i="35" s="1"/>
  <c r="Y50" i="35" s="1"/>
  <c r="J21" i="16" s="1"/>
  <c r="Y44" i="31"/>
  <c r="V52" i="31" s="1"/>
  <c r="Y52" i="31" s="1"/>
  <c r="F23" i="16" s="1"/>
  <c r="W46" i="37"/>
  <c r="W46" i="31"/>
  <c r="W46" i="35"/>
  <c r="W52" i="40"/>
  <c r="Y53" i="34"/>
  <c r="I24" i="16" s="1"/>
  <c r="W46" i="30"/>
  <c r="Y53" i="30"/>
  <c r="E24" i="16" s="1"/>
  <c r="X20" i="31"/>
  <c r="Y51" i="39"/>
  <c r="N22" i="16" s="1"/>
  <c r="V23" i="39"/>
  <c r="Y20" i="39"/>
  <c r="X46" i="34"/>
  <c r="Y41" i="37"/>
  <c r="X20" i="40"/>
  <c r="Y15" i="40"/>
  <c r="X20" i="32"/>
  <c r="Y15" i="32"/>
  <c r="X20" i="38"/>
  <c r="Y15" i="38"/>
  <c r="X20" i="36"/>
  <c r="Y15" i="36"/>
  <c r="Y15" i="30"/>
  <c r="X20" i="30"/>
  <c r="X20" i="34"/>
  <c r="Y15" i="34"/>
  <c r="X20" i="37"/>
  <c r="Y15" i="37"/>
  <c r="X20" i="39"/>
  <c r="V23" i="31"/>
  <c r="Y20" i="31"/>
  <c r="X20" i="33"/>
  <c r="Y15" i="33"/>
  <c r="X20" i="35"/>
  <c r="Y15" i="35"/>
  <c r="Y20" i="22"/>
  <c r="Y46" i="22"/>
  <c r="V54" i="22"/>
  <c r="Y50" i="33" l="1"/>
  <c r="H21" i="16" s="1"/>
  <c r="P21" i="16" s="1"/>
  <c r="Y52" i="33"/>
  <c r="H23" i="16" s="1"/>
  <c r="P23" i="16" s="1"/>
  <c r="Y51" i="33"/>
  <c r="H22" i="16" s="1"/>
  <c r="P22" i="16" s="1"/>
  <c r="X46" i="37"/>
  <c r="U107" i="40"/>
  <c r="X46" i="32"/>
  <c r="X46" i="39"/>
  <c r="X52" i="40"/>
  <c r="Y41" i="39"/>
  <c r="V49" i="39" s="1"/>
  <c r="V54" i="39" s="1"/>
  <c r="X46" i="35"/>
  <c r="Y41" i="35"/>
  <c r="Y46" i="35" s="1"/>
  <c r="X46" i="36"/>
  <c r="X46" i="38"/>
  <c r="X46" i="31"/>
  <c r="X46" i="33"/>
  <c r="Y45" i="36"/>
  <c r="V53" i="36" s="1"/>
  <c r="Y53" i="36" s="1"/>
  <c r="K24" i="16" s="1"/>
  <c r="P24" i="16" s="1"/>
  <c r="X46" i="30"/>
  <c r="CR46" i="47"/>
  <c r="CG70" i="47"/>
  <c r="CG76" i="47" s="1"/>
  <c r="CR76" i="47" s="1"/>
  <c r="D8" i="16"/>
  <c r="D10" i="16" s="1"/>
  <c r="Y54" i="22"/>
  <c r="Y46" i="34"/>
  <c r="V54" i="34"/>
  <c r="D12" i="16"/>
  <c r="Y46" i="31"/>
  <c r="F8" i="16" s="1"/>
  <c r="V54" i="31"/>
  <c r="V23" i="33"/>
  <c r="Y49" i="33" s="1"/>
  <c r="Y20" i="33"/>
  <c r="V23" i="35"/>
  <c r="Y20" i="35"/>
  <c r="V23" i="37"/>
  <c r="Y20" i="37"/>
  <c r="V23" i="40"/>
  <c r="Y20" i="40"/>
  <c r="V49" i="36"/>
  <c r="Y46" i="30"/>
  <c r="V49" i="30"/>
  <c r="V54" i="30" s="1"/>
  <c r="Y46" i="32"/>
  <c r="V49" i="32"/>
  <c r="V54" i="32" s="1"/>
  <c r="V23" i="30"/>
  <c r="Y20" i="30"/>
  <c r="V23" i="32"/>
  <c r="Y20" i="32"/>
  <c r="V23" i="34"/>
  <c r="Y20" i="34"/>
  <c r="Y20" i="36"/>
  <c r="V23" i="36"/>
  <c r="V49" i="37"/>
  <c r="V54" i="37" s="1"/>
  <c r="Y46" i="37"/>
  <c r="V54" i="33"/>
  <c r="Y46" i="33"/>
  <c r="V28" i="31"/>
  <c r="Y49" i="31"/>
  <c r="F20" i="16" s="1"/>
  <c r="Y52" i="40"/>
  <c r="V55" i="40"/>
  <c r="V60" i="40" s="1"/>
  <c r="V23" i="38"/>
  <c r="Y20" i="38"/>
  <c r="Y46" i="38"/>
  <c r="V49" i="38"/>
  <c r="V54" i="38" s="1"/>
  <c r="V28" i="39"/>
  <c r="Y54" i="33" l="1"/>
  <c r="Y49" i="39"/>
  <c r="N20" i="16" s="1"/>
  <c r="N25" i="16" s="1"/>
  <c r="Y46" i="39"/>
  <c r="N8" i="16" s="1"/>
  <c r="V54" i="36"/>
  <c r="V49" i="35"/>
  <c r="V54" i="35" s="1"/>
  <c r="D13" i="16"/>
  <c r="CY79" i="47"/>
  <c r="Y46" i="36"/>
  <c r="K8" i="16" s="1"/>
  <c r="CV46" i="47"/>
  <c r="CV56" i="47" s="1"/>
  <c r="CR70" i="47"/>
  <c r="I8" i="16"/>
  <c r="M8" i="16"/>
  <c r="E8" i="16"/>
  <c r="O8" i="16"/>
  <c r="G8" i="16"/>
  <c r="J8" i="16"/>
  <c r="L8" i="16"/>
  <c r="H8" i="16"/>
  <c r="Y54" i="31"/>
  <c r="F25" i="16"/>
  <c r="V28" i="38"/>
  <c r="Y49" i="38"/>
  <c r="M20" i="16" s="1"/>
  <c r="Y49" i="34"/>
  <c r="I20" i="16" s="1"/>
  <c r="V28" i="34"/>
  <c r="V28" i="30"/>
  <c r="Y49" i="30"/>
  <c r="E20" i="16" s="1"/>
  <c r="V28" i="40"/>
  <c r="Y55" i="40"/>
  <c r="O20" i="16" s="1"/>
  <c r="V28" i="35"/>
  <c r="V28" i="36"/>
  <c r="Y49" i="36"/>
  <c r="K20" i="16" s="1"/>
  <c r="V28" i="32"/>
  <c r="Y49" i="32"/>
  <c r="G20" i="16" s="1"/>
  <c r="V28" i="37"/>
  <c r="Y49" i="37"/>
  <c r="L20" i="16" s="1"/>
  <c r="V28" i="33"/>
  <c r="H20" i="16"/>
  <c r="Y49" i="35" l="1"/>
  <c r="J20" i="16" s="1"/>
  <c r="J25" i="16" s="1"/>
  <c r="P3" i="47"/>
  <c r="R4" i="47" s="1"/>
  <c r="R3" i="47" s="1"/>
  <c r="E33" i="16"/>
  <c r="Y54" i="39"/>
  <c r="D14" i="16"/>
  <c r="P5" i="47" s="1"/>
  <c r="CY57" i="47"/>
  <c r="CY58" i="47" s="1"/>
  <c r="CW57" i="47"/>
  <c r="CW58" i="47" s="1"/>
  <c r="CW64" i="47" s="1"/>
  <c r="CX57" i="47"/>
  <c r="CX58" i="47" s="1"/>
  <c r="D6" i="16"/>
  <c r="L25" i="16"/>
  <c r="Y54" i="37"/>
  <c r="Y54" i="36"/>
  <c r="K25" i="16"/>
  <c r="Y54" i="30"/>
  <c r="E25" i="16"/>
  <c r="M25" i="16"/>
  <c r="Y54" i="38"/>
  <c r="H25" i="16"/>
  <c r="Y54" i="32"/>
  <c r="G25" i="16"/>
  <c r="O25" i="16"/>
  <c r="Y60" i="40"/>
  <c r="I25" i="16"/>
  <c r="Y54" i="34"/>
  <c r="D25" i="16"/>
  <c r="D27" i="16" s="1"/>
  <c r="Y54" i="35" l="1"/>
  <c r="CY65" i="47"/>
  <c r="CY61" i="47"/>
  <c r="CY68" i="47"/>
  <c r="CY64" i="47"/>
  <c r="CY60" i="47"/>
  <c r="CY67" i="47"/>
  <c r="CY63" i="47"/>
  <c r="CY66" i="47"/>
  <c r="CY62" i="47"/>
  <c r="CX64" i="47"/>
  <c r="CX60" i="47"/>
  <c r="BG61" i="47"/>
  <c r="BS87" i="47"/>
  <c r="CX63" i="47"/>
  <c r="CX66" i="47"/>
  <c r="CX65" i="47"/>
  <c r="CX62" i="47"/>
  <c r="BK61" i="47"/>
  <c r="BO87" i="47"/>
  <c r="BK6" i="47"/>
  <c r="BO61" i="47"/>
  <c r="BG33" i="47"/>
  <c r="CX61" i="47"/>
  <c r="BK33" i="47"/>
  <c r="BK87" i="47"/>
  <c r="BO6" i="47"/>
  <c r="BG6" i="47"/>
  <c r="BG87" i="47"/>
  <c r="BS61" i="47"/>
  <c r="CX68" i="47"/>
  <c r="CX67" i="47"/>
  <c r="BO33" i="47"/>
  <c r="CV57" i="47"/>
  <c r="F10" i="16"/>
  <c r="F27" i="16" s="1"/>
  <c r="F6" i="16"/>
  <c r="N10" i="16"/>
  <c r="N27" i="16" s="1"/>
  <c r="N6" i="16"/>
  <c r="E6" i="16"/>
  <c r="I10" i="16"/>
  <c r="I27" i="16" s="1"/>
  <c r="P20" i="16"/>
  <c r="P25" i="16" s="1"/>
  <c r="CV64" i="47" l="1"/>
  <c r="CY77" i="47"/>
  <c r="CY78" i="47" s="1"/>
  <c r="CY80" i="47" s="1"/>
  <c r="BG52" i="47"/>
  <c r="BG48" i="47"/>
  <c r="BG44" i="47"/>
  <c r="BG40" i="47"/>
  <c r="BG36" i="47"/>
  <c r="BG51" i="47"/>
  <c r="BG47" i="47"/>
  <c r="BG43" i="47"/>
  <c r="BG39" i="47"/>
  <c r="BG35" i="47"/>
  <c r="BG50" i="47"/>
  <c r="BG46" i="47"/>
  <c r="BG42" i="47"/>
  <c r="BG38" i="47"/>
  <c r="BG34" i="47"/>
  <c r="BG53" i="47"/>
  <c r="BG49" i="47"/>
  <c r="BG45" i="47"/>
  <c r="BG41" i="47"/>
  <c r="BG37" i="47"/>
  <c r="BO52" i="47"/>
  <c r="BO48" i="47"/>
  <c r="BO44" i="47"/>
  <c r="BO40" i="47"/>
  <c r="BO36" i="47"/>
  <c r="BO51" i="47"/>
  <c r="BO47" i="47"/>
  <c r="BO43" i="47"/>
  <c r="BO39" i="47"/>
  <c r="BO35" i="47"/>
  <c r="BO50" i="47"/>
  <c r="BO46" i="47"/>
  <c r="BO42" i="47"/>
  <c r="BO38" i="47"/>
  <c r="BO34" i="47"/>
  <c r="BO53" i="47"/>
  <c r="BO49" i="47"/>
  <c r="BO45" i="47"/>
  <c r="BO41" i="47"/>
  <c r="BO37" i="47"/>
  <c r="BO106" i="47"/>
  <c r="BO102" i="47"/>
  <c r="BO98" i="47"/>
  <c r="BO94" i="47"/>
  <c r="BO90" i="47"/>
  <c r="BO105" i="47"/>
  <c r="BO101" i="47"/>
  <c r="BO97" i="47"/>
  <c r="BO93" i="47"/>
  <c r="BO89" i="47"/>
  <c r="BO104" i="47"/>
  <c r="BO100" i="47"/>
  <c r="BO96" i="47"/>
  <c r="BO92" i="47"/>
  <c r="BO88" i="47"/>
  <c r="BO107" i="47"/>
  <c r="BO103" i="47"/>
  <c r="BO99" i="47"/>
  <c r="BO95" i="47"/>
  <c r="BO91" i="47"/>
  <c r="BK52" i="47"/>
  <c r="BK48" i="47"/>
  <c r="BK44" i="47"/>
  <c r="BK40" i="47"/>
  <c r="BK36" i="47"/>
  <c r="BK51" i="47"/>
  <c r="BK47" i="47"/>
  <c r="BK43" i="47"/>
  <c r="BK39" i="47"/>
  <c r="BK35" i="47"/>
  <c r="BK50" i="47"/>
  <c r="BK46" i="47"/>
  <c r="BK42" i="47"/>
  <c r="BK38" i="47"/>
  <c r="BK34" i="47"/>
  <c r="BK53" i="47"/>
  <c r="BK49" i="47"/>
  <c r="BK45" i="47"/>
  <c r="BK41" i="47"/>
  <c r="BK37" i="47"/>
  <c r="BK106" i="47"/>
  <c r="BK102" i="47"/>
  <c r="BK98" i="47"/>
  <c r="BK94" i="47"/>
  <c r="BK90" i="47"/>
  <c r="BK105" i="47"/>
  <c r="BK101" i="47"/>
  <c r="BK97" i="47"/>
  <c r="BK93" i="47"/>
  <c r="BK89" i="47"/>
  <c r="BK104" i="47"/>
  <c r="BK100" i="47"/>
  <c r="BK96" i="47"/>
  <c r="BK92" i="47"/>
  <c r="BK88" i="47"/>
  <c r="BK107" i="47"/>
  <c r="BK103" i="47"/>
  <c r="BK99" i="47"/>
  <c r="BK95" i="47"/>
  <c r="BK91" i="47"/>
  <c r="BS106" i="47"/>
  <c r="BS102" i="47"/>
  <c r="BS98" i="47"/>
  <c r="BS94" i="47"/>
  <c r="BS90" i="47"/>
  <c r="BS105" i="47"/>
  <c r="BS101" i="47"/>
  <c r="BS97" i="47"/>
  <c r="BS93" i="47"/>
  <c r="BS89" i="47"/>
  <c r="BS104" i="47"/>
  <c r="BS100" i="47"/>
  <c r="BS96" i="47"/>
  <c r="BS92" i="47"/>
  <c r="BS88" i="47"/>
  <c r="BS107" i="47"/>
  <c r="BS103" i="47"/>
  <c r="BS99" i="47"/>
  <c r="BS95" i="47"/>
  <c r="BS91" i="47"/>
  <c r="BG106" i="47"/>
  <c r="BG102" i="47"/>
  <c r="BW102" i="47" s="1"/>
  <c r="BG98" i="47"/>
  <c r="BW98" i="47" s="1"/>
  <c r="BG94" i="47"/>
  <c r="BW94" i="47" s="1"/>
  <c r="BG90" i="47"/>
  <c r="BW90" i="47" s="1"/>
  <c r="BG105" i="47"/>
  <c r="BW105" i="47" s="1"/>
  <c r="BG101" i="47"/>
  <c r="BW101" i="47" s="1"/>
  <c r="BG97" i="47"/>
  <c r="BG93" i="47"/>
  <c r="BW93" i="47" s="1"/>
  <c r="BG89" i="47"/>
  <c r="BW89" i="47" s="1"/>
  <c r="BG104" i="47"/>
  <c r="BW104" i="47" s="1"/>
  <c r="BG100" i="47"/>
  <c r="BW100" i="47" s="1"/>
  <c r="BG96" i="47"/>
  <c r="BW96" i="47" s="1"/>
  <c r="BG92" i="47"/>
  <c r="BW92" i="47" s="1"/>
  <c r="BG88" i="47"/>
  <c r="BG107" i="47"/>
  <c r="BW107" i="47" s="1"/>
  <c r="BG103" i="47"/>
  <c r="BW103" i="47" s="1"/>
  <c r="BG99" i="47"/>
  <c r="BW99" i="47" s="1"/>
  <c r="BG95" i="47"/>
  <c r="BW95" i="47" s="1"/>
  <c r="BG91" i="47"/>
  <c r="BW91" i="47" s="1"/>
  <c r="BN61" i="47"/>
  <c r="CW67" i="47"/>
  <c r="CV67" i="47" s="1"/>
  <c r="CW68" i="47"/>
  <c r="CV68" i="47" s="1"/>
  <c r="BJ87" i="47"/>
  <c r="BI87" i="47" s="1"/>
  <c r="BN33" i="47"/>
  <c r="BF33" i="47"/>
  <c r="BJ61" i="47"/>
  <c r="BJ33" i="47"/>
  <c r="BF87" i="47"/>
  <c r="BE87" i="47" s="1"/>
  <c r="BR87" i="47"/>
  <c r="BQ87" i="47" s="1"/>
  <c r="BF6" i="47"/>
  <c r="CW61" i="47"/>
  <c r="CV61" i="47" s="1"/>
  <c r="BF61" i="47"/>
  <c r="BJ6" i="47"/>
  <c r="CW66" i="47"/>
  <c r="CV66" i="47" s="1"/>
  <c r="BN6" i="47"/>
  <c r="CW62" i="47"/>
  <c r="CV62" i="47" s="1"/>
  <c r="BR61" i="47"/>
  <c r="CW63" i="47"/>
  <c r="CV63" i="47" s="1"/>
  <c r="CW60" i="47"/>
  <c r="CV58" i="47"/>
  <c r="CW65" i="47"/>
  <c r="CV65" i="47" s="1"/>
  <c r="BN87" i="47"/>
  <c r="BM87" i="47" s="1"/>
  <c r="BO20" i="47"/>
  <c r="BO10" i="47"/>
  <c r="BO7" i="47"/>
  <c r="BO12" i="47"/>
  <c r="BO9" i="47"/>
  <c r="BO13" i="47"/>
  <c r="BO21" i="47"/>
  <c r="BO25" i="47"/>
  <c r="BO23" i="47"/>
  <c r="BO19" i="47"/>
  <c r="BO24" i="47"/>
  <c r="BO26" i="47"/>
  <c r="BO15" i="47"/>
  <c r="BO8" i="47"/>
  <c r="BO11" i="47"/>
  <c r="BO14" i="47"/>
  <c r="BO22" i="47"/>
  <c r="BO16" i="47"/>
  <c r="BO17" i="47"/>
  <c r="BO18" i="47"/>
  <c r="BK64" i="47"/>
  <c r="BK73" i="47"/>
  <c r="BK78" i="47"/>
  <c r="BK75" i="47"/>
  <c r="BK68" i="47"/>
  <c r="BK71" i="47"/>
  <c r="BK80" i="47"/>
  <c r="BK79" i="47"/>
  <c r="BK74" i="47"/>
  <c r="BK67" i="47"/>
  <c r="BK65" i="47"/>
  <c r="BK77" i="47"/>
  <c r="BK81" i="47"/>
  <c r="BK72" i="47"/>
  <c r="BK69" i="47"/>
  <c r="BK76" i="47"/>
  <c r="BK63" i="47"/>
  <c r="BK62" i="47"/>
  <c r="BK70" i="47"/>
  <c r="BK66" i="47"/>
  <c r="BS63" i="47"/>
  <c r="BS65" i="47"/>
  <c r="BS80" i="47"/>
  <c r="BS73" i="47"/>
  <c r="BS72" i="47"/>
  <c r="BS77" i="47"/>
  <c r="BS76" i="47"/>
  <c r="BS81" i="47"/>
  <c r="BS64" i="47"/>
  <c r="BS67" i="47"/>
  <c r="BS68" i="47"/>
  <c r="BS69" i="47"/>
  <c r="BS75" i="47"/>
  <c r="BS71" i="47"/>
  <c r="BS62" i="47"/>
  <c r="BS66" i="47"/>
  <c r="BS70" i="47"/>
  <c r="BS78" i="47"/>
  <c r="BS74" i="47"/>
  <c r="BS79" i="47"/>
  <c r="BO67" i="47"/>
  <c r="BO64" i="47"/>
  <c r="BO73" i="47"/>
  <c r="BO69" i="47"/>
  <c r="BO72" i="47"/>
  <c r="BO81" i="47"/>
  <c r="BO74" i="47"/>
  <c r="BO71" i="47"/>
  <c r="BO65" i="47"/>
  <c r="BO62" i="47"/>
  <c r="BO63" i="47"/>
  <c r="BO68" i="47"/>
  <c r="BO70" i="47"/>
  <c r="BO79" i="47"/>
  <c r="BO66" i="47"/>
  <c r="BO77" i="47"/>
  <c r="BO78" i="47"/>
  <c r="BO75" i="47"/>
  <c r="BO80" i="47"/>
  <c r="BO76" i="47"/>
  <c r="BK23" i="47"/>
  <c r="BK22" i="47"/>
  <c r="BK7" i="47"/>
  <c r="BK18" i="47"/>
  <c r="BK10" i="47"/>
  <c r="BK12" i="47"/>
  <c r="BK16" i="47"/>
  <c r="BK24" i="47"/>
  <c r="BK11" i="47"/>
  <c r="BK17" i="47"/>
  <c r="BK13" i="47"/>
  <c r="BK21" i="47"/>
  <c r="BK14" i="47"/>
  <c r="BK15" i="47"/>
  <c r="BK26" i="47"/>
  <c r="BK8" i="47"/>
  <c r="BK20" i="47"/>
  <c r="BK9" i="47"/>
  <c r="BK19" i="47"/>
  <c r="BK25" i="47"/>
  <c r="BG21" i="47"/>
  <c r="BG15" i="47"/>
  <c r="BG12" i="47"/>
  <c r="BG10" i="47"/>
  <c r="BG24" i="47"/>
  <c r="BG23" i="47"/>
  <c r="BG19" i="47"/>
  <c r="BG22" i="47"/>
  <c r="BG7" i="47"/>
  <c r="BG26" i="47"/>
  <c r="BG8" i="47"/>
  <c r="BG13" i="47"/>
  <c r="BG17" i="47"/>
  <c r="BG20" i="47"/>
  <c r="BG9" i="47"/>
  <c r="BG16" i="47"/>
  <c r="BG25" i="47"/>
  <c r="BG11" i="47"/>
  <c r="BG14" i="47"/>
  <c r="BG18" i="47"/>
  <c r="BW18" i="47" s="1"/>
  <c r="BG68" i="47"/>
  <c r="BG71" i="47"/>
  <c r="BG64" i="47"/>
  <c r="BG81" i="47"/>
  <c r="BG62" i="47"/>
  <c r="BG70" i="47"/>
  <c r="BG74" i="47"/>
  <c r="BG73" i="47"/>
  <c r="BG80" i="47"/>
  <c r="BG63" i="47"/>
  <c r="BG78" i="47"/>
  <c r="BG75" i="47"/>
  <c r="BG65" i="47"/>
  <c r="BG69" i="47"/>
  <c r="BG79" i="47"/>
  <c r="BG77" i="47"/>
  <c r="BG76" i="47"/>
  <c r="BG67" i="47"/>
  <c r="BG72" i="47"/>
  <c r="BG66" i="47"/>
  <c r="M10" i="16"/>
  <c r="M27" i="16" s="1"/>
  <c r="M6" i="16"/>
  <c r="I6" i="16"/>
  <c r="G10" i="16"/>
  <c r="G27" i="16" s="1"/>
  <c r="G6" i="16"/>
  <c r="K10" i="16"/>
  <c r="K27" i="16" s="1"/>
  <c r="K6" i="16"/>
  <c r="J10" i="16"/>
  <c r="J27" i="16" s="1"/>
  <c r="J6" i="16"/>
  <c r="O10" i="16"/>
  <c r="O27" i="16" s="1"/>
  <c r="O6" i="16"/>
  <c r="L10" i="16"/>
  <c r="L27" i="16" s="1"/>
  <c r="L6" i="16"/>
  <c r="H10" i="16"/>
  <c r="H27" i="16" s="1"/>
  <c r="H6" i="16"/>
  <c r="P8" i="16"/>
  <c r="E10" i="16"/>
  <c r="E27" i="16" s="1"/>
  <c r="BW97" i="47" l="1"/>
  <c r="BW106" i="47"/>
  <c r="BW88" i="47"/>
  <c r="BW67" i="47"/>
  <c r="BW74" i="47"/>
  <c r="BW70" i="47"/>
  <c r="BW63" i="47"/>
  <c r="BW80" i="47"/>
  <c r="BW66" i="47"/>
  <c r="BW77" i="47"/>
  <c r="BW75" i="47"/>
  <c r="BW73" i="47"/>
  <c r="BW81" i="47"/>
  <c r="BW72" i="47"/>
  <c r="BW78" i="47"/>
  <c r="BW64" i="47"/>
  <c r="BW65" i="47"/>
  <c r="BW62" i="47"/>
  <c r="BS108" i="47"/>
  <c r="BO108" i="47"/>
  <c r="BW79" i="47"/>
  <c r="BS82" i="47"/>
  <c r="BW69" i="47"/>
  <c r="BW71" i="47"/>
  <c r="BO82" i="47"/>
  <c r="BW76" i="47"/>
  <c r="BW68" i="47"/>
  <c r="BW16" i="47"/>
  <c r="BW13" i="47"/>
  <c r="BW11" i="47"/>
  <c r="BW20" i="47"/>
  <c r="BW23" i="47"/>
  <c r="BW15" i="47"/>
  <c r="CV60" i="47"/>
  <c r="BW26" i="47"/>
  <c r="BR106" i="47"/>
  <c r="BQ106" i="47" s="1"/>
  <c r="BR104" i="47"/>
  <c r="BQ104" i="47" s="1"/>
  <c r="BR102" i="47"/>
  <c r="BQ102" i="47" s="1"/>
  <c r="BR100" i="47"/>
  <c r="BQ100" i="47" s="1"/>
  <c r="BR98" i="47"/>
  <c r="BQ98" i="47" s="1"/>
  <c r="BR96" i="47"/>
  <c r="BQ96" i="47" s="1"/>
  <c r="BR94" i="47"/>
  <c r="BQ94" i="47" s="1"/>
  <c r="BR92" i="47"/>
  <c r="BQ92" i="47" s="1"/>
  <c r="BR90" i="47"/>
  <c r="BQ90" i="47" s="1"/>
  <c r="BR88" i="47"/>
  <c r="BR107" i="47"/>
  <c r="BQ107" i="47" s="1"/>
  <c r="BR105" i="47"/>
  <c r="BQ105" i="47" s="1"/>
  <c r="BR103" i="47"/>
  <c r="BQ103" i="47" s="1"/>
  <c r="BR101" i="47"/>
  <c r="BQ101" i="47" s="1"/>
  <c r="BR99" i="47"/>
  <c r="BQ99" i="47" s="1"/>
  <c r="BR97" i="47"/>
  <c r="BQ97" i="47" s="1"/>
  <c r="BR95" i="47"/>
  <c r="BQ95" i="47" s="1"/>
  <c r="BR93" i="47"/>
  <c r="BQ93" i="47" s="1"/>
  <c r="BR91" i="47"/>
  <c r="BQ91" i="47" s="1"/>
  <c r="BR89" i="47"/>
  <c r="BQ89" i="47" s="1"/>
  <c r="BJ106" i="47"/>
  <c r="BI106" i="47" s="1"/>
  <c r="BJ104" i="47"/>
  <c r="BI104" i="47" s="1"/>
  <c r="BJ102" i="47"/>
  <c r="BI102" i="47" s="1"/>
  <c r="BJ100" i="47"/>
  <c r="BI100" i="47" s="1"/>
  <c r="BJ98" i="47"/>
  <c r="BI98" i="47" s="1"/>
  <c r="BJ96" i="47"/>
  <c r="BI96" i="47" s="1"/>
  <c r="BJ94" i="47"/>
  <c r="BI94" i="47" s="1"/>
  <c r="BJ92" i="47"/>
  <c r="BI92" i="47" s="1"/>
  <c r="BJ90" i="47"/>
  <c r="BI90" i="47" s="1"/>
  <c r="BJ88" i="47"/>
  <c r="BI88" i="47" s="1"/>
  <c r="BJ107" i="47"/>
  <c r="BI107" i="47" s="1"/>
  <c r="BJ105" i="47"/>
  <c r="BI105" i="47" s="1"/>
  <c r="BJ103" i="47"/>
  <c r="BI103" i="47" s="1"/>
  <c r="BJ101" i="47"/>
  <c r="BI101" i="47" s="1"/>
  <c r="BJ99" i="47"/>
  <c r="BI99" i="47" s="1"/>
  <c r="BJ97" i="47"/>
  <c r="BI97" i="47" s="1"/>
  <c r="BJ95" i="47"/>
  <c r="BI95" i="47" s="1"/>
  <c r="BJ93" i="47"/>
  <c r="BI93" i="47" s="1"/>
  <c r="BJ91" i="47"/>
  <c r="BI91" i="47" s="1"/>
  <c r="BJ89" i="47"/>
  <c r="BI89" i="47" s="1"/>
  <c r="BF106" i="47"/>
  <c r="BF104" i="47"/>
  <c r="BF102" i="47"/>
  <c r="BF100" i="47"/>
  <c r="BF98" i="47"/>
  <c r="BF96" i="47"/>
  <c r="BF94" i="47"/>
  <c r="BF92" i="47"/>
  <c r="BF90" i="47"/>
  <c r="BF88" i="47"/>
  <c r="BE88" i="47" s="1"/>
  <c r="BF107" i="47"/>
  <c r="BF105" i="47"/>
  <c r="BF103" i="47"/>
  <c r="BF101" i="47"/>
  <c r="BF99" i="47"/>
  <c r="BF97" i="47"/>
  <c r="BF95" i="47"/>
  <c r="BF93" i="47"/>
  <c r="BF91" i="47"/>
  <c r="BF89" i="47"/>
  <c r="BF51" i="47"/>
  <c r="BE51" i="47" s="1"/>
  <c r="BF49" i="47"/>
  <c r="BE49" i="47" s="1"/>
  <c r="BF44" i="47"/>
  <c r="BE44" i="47" s="1"/>
  <c r="BF42" i="47"/>
  <c r="BE42" i="47" s="1"/>
  <c r="BF35" i="47"/>
  <c r="BE35" i="47" s="1"/>
  <c r="BF47" i="47"/>
  <c r="BE47" i="47" s="1"/>
  <c r="BF45" i="47"/>
  <c r="BE45" i="47" s="1"/>
  <c r="BF40" i="47"/>
  <c r="BE40" i="47" s="1"/>
  <c r="BF38" i="47"/>
  <c r="BE38" i="47" s="1"/>
  <c r="BF52" i="47"/>
  <c r="BE52" i="47" s="1"/>
  <c r="BF50" i="47"/>
  <c r="BE50" i="47" s="1"/>
  <c r="BF43" i="47"/>
  <c r="BE43" i="47" s="1"/>
  <c r="BF41" i="47"/>
  <c r="BE41" i="47" s="1"/>
  <c r="BF36" i="47"/>
  <c r="BE36" i="47" s="1"/>
  <c r="BF34" i="47"/>
  <c r="BE34" i="47" s="1"/>
  <c r="BF46" i="47"/>
  <c r="BE46" i="47" s="1"/>
  <c r="BF37" i="47"/>
  <c r="BE37" i="47" s="1"/>
  <c r="BF48" i="47"/>
  <c r="BE48" i="47" s="1"/>
  <c r="BF39" i="47"/>
  <c r="BE39" i="47" s="1"/>
  <c r="BF53" i="47"/>
  <c r="BE53" i="47" s="1"/>
  <c r="BJ53" i="47"/>
  <c r="BI53" i="47" s="1"/>
  <c r="BJ48" i="47"/>
  <c r="BI48" i="47" s="1"/>
  <c r="BJ46" i="47"/>
  <c r="BI46" i="47" s="1"/>
  <c r="BJ39" i="47"/>
  <c r="BI39" i="47" s="1"/>
  <c r="BJ37" i="47"/>
  <c r="BI37" i="47" s="1"/>
  <c r="BJ51" i="47"/>
  <c r="BI51" i="47" s="1"/>
  <c r="BJ49" i="47"/>
  <c r="BI49" i="47" s="1"/>
  <c r="BJ44" i="47"/>
  <c r="BI44" i="47" s="1"/>
  <c r="BJ42" i="47"/>
  <c r="BI42" i="47" s="1"/>
  <c r="BJ35" i="47"/>
  <c r="BI35" i="47" s="1"/>
  <c r="BJ47" i="47"/>
  <c r="BI47" i="47" s="1"/>
  <c r="BJ45" i="47"/>
  <c r="BI45" i="47" s="1"/>
  <c r="BJ40" i="47"/>
  <c r="BI40" i="47" s="1"/>
  <c r="BJ38" i="47"/>
  <c r="BI38" i="47" s="1"/>
  <c r="BJ50" i="47"/>
  <c r="BI50" i="47" s="1"/>
  <c r="BJ41" i="47"/>
  <c r="BI41" i="47" s="1"/>
  <c r="BJ52" i="47"/>
  <c r="BI52" i="47" s="1"/>
  <c r="BJ43" i="47"/>
  <c r="BI43" i="47" s="1"/>
  <c r="BJ34" i="47"/>
  <c r="BI34" i="47" s="1"/>
  <c r="BJ36" i="47"/>
  <c r="BI36" i="47" s="1"/>
  <c r="BN52" i="47"/>
  <c r="BM52" i="47" s="1"/>
  <c r="BN50" i="47"/>
  <c r="BM50" i="47" s="1"/>
  <c r="BN43" i="47"/>
  <c r="BM43" i="47" s="1"/>
  <c r="BN41" i="47"/>
  <c r="BM41" i="47" s="1"/>
  <c r="BN36" i="47"/>
  <c r="BM36" i="47" s="1"/>
  <c r="BN34" i="47"/>
  <c r="BM34" i="47" s="1"/>
  <c r="BN46" i="47"/>
  <c r="BM46" i="47" s="1"/>
  <c r="BN53" i="47"/>
  <c r="BM53" i="47" s="1"/>
  <c r="BN48" i="47"/>
  <c r="BM48" i="47" s="1"/>
  <c r="BN39" i="47"/>
  <c r="BM39" i="47" s="1"/>
  <c r="BN51" i="47"/>
  <c r="BM51" i="47" s="1"/>
  <c r="BN49" i="47"/>
  <c r="BM49" i="47" s="1"/>
  <c r="BN44" i="47"/>
  <c r="BM44" i="47" s="1"/>
  <c r="BN42" i="47"/>
  <c r="BM42" i="47" s="1"/>
  <c r="BN35" i="47"/>
  <c r="BM35" i="47" s="1"/>
  <c r="BN40" i="47"/>
  <c r="BM40" i="47" s="1"/>
  <c r="BN37" i="47"/>
  <c r="BM37" i="47" s="1"/>
  <c r="BN45" i="47"/>
  <c r="BM45" i="47" s="1"/>
  <c r="BN47" i="47"/>
  <c r="BM47" i="47" s="1"/>
  <c r="BN38" i="47"/>
  <c r="BM38" i="47" s="1"/>
  <c r="BN106" i="47"/>
  <c r="BM106" i="47" s="1"/>
  <c r="BN104" i="47"/>
  <c r="BM104" i="47" s="1"/>
  <c r="BN102" i="47"/>
  <c r="BM102" i="47" s="1"/>
  <c r="BN100" i="47"/>
  <c r="BM100" i="47" s="1"/>
  <c r="BN98" i="47"/>
  <c r="BM98" i="47" s="1"/>
  <c r="BN96" i="47"/>
  <c r="BM96" i="47" s="1"/>
  <c r="BN94" i="47"/>
  <c r="BM94" i="47" s="1"/>
  <c r="BN92" i="47"/>
  <c r="BM92" i="47" s="1"/>
  <c r="BN90" i="47"/>
  <c r="BM90" i="47" s="1"/>
  <c r="BN88" i="47"/>
  <c r="BN107" i="47"/>
  <c r="BM107" i="47" s="1"/>
  <c r="BN105" i="47"/>
  <c r="BM105" i="47" s="1"/>
  <c r="BN103" i="47"/>
  <c r="BM103" i="47" s="1"/>
  <c r="BN101" i="47"/>
  <c r="BM101" i="47" s="1"/>
  <c r="BN99" i="47"/>
  <c r="BM99" i="47" s="1"/>
  <c r="BN97" i="47"/>
  <c r="BM97" i="47" s="1"/>
  <c r="BN95" i="47"/>
  <c r="BM95" i="47" s="1"/>
  <c r="BN93" i="47"/>
  <c r="BM93" i="47" s="1"/>
  <c r="BN91" i="47"/>
  <c r="BM91" i="47" s="1"/>
  <c r="BN89" i="47"/>
  <c r="BM89" i="47" s="1"/>
  <c r="BW19" i="47"/>
  <c r="BW8" i="47"/>
  <c r="BW22" i="47"/>
  <c r="BW10" i="47"/>
  <c r="BW14" i="47"/>
  <c r="BW9" i="47"/>
  <c r="BW12" i="47"/>
  <c r="BG82" i="47"/>
  <c r="BO54" i="47"/>
  <c r="BW49" i="47"/>
  <c r="BW48" i="47"/>
  <c r="BW39" i="47"/>
  <c r="BW45" i="47"/>
  <c r="BW52" i="47"/>
  <c r="BF14" i="47"/>
  <c r="BF19" i="47"/>
  <c r="BF11" i="47"/>
  <c r="BF26" i="47"/>
  <c r="BF13" i="47"/>
  <c r="BF9" i="47"/>
  <c r="BF16" i="47"/>
  <c r="BF21" i="47"/>
  <c r="BF24" i="47"/>
  <c r="BF10" i="47"/>
  <c r="BF20" i="47"/>
  <c r="BF8" i="47"/>
  <c r="BF12" i="47"/>
  <c r="BF22" i="47"/>
  <c r="BF17" i="47"/>
  <c r="BF23" i="47"/>
  <c r="BF7" i="47"/>
  <c r="BF15" i="47"/>
  <c r="BE6" i="47"/>
  <c r="BF25" i="47"/>
  <c r="BF18" i="47"/>
  <c r="BK27" i="47"/>
  <c r="BK54" i="47"/>
  <c r="BK108" i="47"/>
  <c r="BW37" i="47"/>
  <c r="BW35" i="47"/>
  <c r="BW40" i="47"/>
  <c r="BW34" i="47"/>
  <c r="BG54" i="47"/>
  <c r="BW36" i="47"/>
  <c r="BO27" i="47"/>
  <c r="BQ61" i="47"/>
  <c r="BR81" i="47"/>
  <c r="BQ81" i="47" s="1"/>
  <c r="BR67" i="47"/>
  <c r="BQ67" i="47" s="1"/>
  <c r="BR70" i="47"/>
  <c r="BQ70" i="47" s="1"/>
  <c r="BR76" i="47"/>
  <c r="BQ76" i="47" s="1"/>
  <c r="BR74" i="47"/>
  <c r="BQ74" i="47" s="1"/>
  <c r="BR66" i="47"/>
  <c r="BQ66" i="47" s="1"/>
  <c r="BR72" i="47"/>
  <c r="BQ72" i="47" s="1"/>
  <c r="BR80" i="47"/>
  <c r="BQ80" i="47" s="1"/>
  <c r="BR68" i="47"/>
  <c r="BQ68" i="47" s="1"/>
  <c r="BR78" i="47"/>
  <c r="BQ78" i="47" s="1"/>
  <c r="BR75" i="47"/>
  <c r="BQ75" i="47" s="1"/>
  <c r="BR79" i="47"/>
  <c r="BQ79" i="47" s="1"/>
  <c r="BR62" i="47"/>
  <c r="BR65" i="47"/>
  <c r="BQ65" i="47" s="1"/>
  <c r="BR69" i="47"/>
  <c r="BQ69" i="47" s="1"/>
  <c r="BR64" i="47"/>
  <c r="BQ64" i="47" s="1"/>
  <c r="BR73" i="47"/>
  <c r="BQ73" i="47" s="1"/>
  <c r="BR63" i="47"/>
  <c r="BQ63" i="47" s="1"/>
  <c r="BR71" i="47"/>
  <c r="BQ71" i="47" s="1"/>
  <c r="BR77" i="47"/>
  <c r="BQ77" i="47" s="1"/>
  <c r="BJ14" i="47"/>
  <c r="BI14" i="47" s="1"/>
  <c r="BJ20" i="47"/>
  <c r="BI20" i="47" s="1"/>
  <c r="BJ18" i="47"/>
  <c r="BI18" i="47" s="1"/>
  <c r="BJ9" i="47"/>
  <c r="BI9" i="47" s="1"/>
  <c r="BJ19" i="47"/>
  <c r="BI19" i="47" s="1"/>
  <c r="BJ17" i="47"/>
  <c r="BI17" i="47" s="1"/>
  <c r="BJ26" i="47"/>
  <c r="BI26" i="47" s="1"/>
  <c r="BI6" i="47"/>
  <c r="BJ21" i="47"/>
  <c r="BI21" i="47" s="1"/>
  <c r="BJ23" i="47"/>
  <c r="BI23" i="47" s="1"/>
  <c r="BJ24" i="47"/>
  <c r="BI24" i="47" s="1"/>
  <c r="BJ13" i="47"/>
  <c r="BI13" i="47" s="1"/>
  <c r="BJ8" i="47"/>
  <c r="BI8" i="47" s="1"/>
  <c r="BJ7" i="47"/>
  <c r="BJ10" i="47"/>
  <c r="BI10" i="47" s="1"/>
  <c r="BJ11" i="47"/>
  <c r="BI11" i="47" s="1"/>
  <c r="BJ15" i="47"/>
  <c r="BI15" i="47" s="1"/>
  <c r="BJ12" i="47"/>
  <c r="BI12" i="47" s="1"/>
  <c r="BJ16" i="47"/>
  <c r="BI16" i="47" s="1"/>
  <c r="BJ22" i="47"/>
  <c r="BI22" i="47" s="1"/>
  <c r="BJ25" i="47"/>
  <c r="BI25" i="47" s="1"/>
  <c r="BI61" i="47"/>
  <c r="BJ72" i="47"/>
  <c r="BI72" i="47" s="1"/>
  <c r="BJ62" i="47"/>
  <c r="BJ78" i="47"/>
  <c r="BI78" i="47" s="1"/>
  <c r="BJ71" i="47"/>
  <c r="BI71" i="47" s="1"/>
  <c r="BJ63" i="47"/>
  <c r="BI63" i="47" s="1"/>
  <c r="BJ68" i="47"/>
  <c r="BI68" i="47" s="1"/>
  <c r="BJ77" i="47"/>
  <c r="BI77" i="47" s="1"/>
  <c r="BJ79" i="47"/>
  <c r="BI79" i="47" s="1"/>
  <c r="BJ65" i="47"/>
  <c r="BI65" i="47" s="1"/>
  <c r="BJ75" i="47"/>
  <c r="BI75" i="47" s="1"/>
  <c r="BJ80" i="47"/>
  <c r="BI80" i="47" s="1"/>
  <c r="BJ74" i="47"/>
  <c r="BI74" i="47" s="1"/>
  <c r="BJ76" i="47"/>
  <c r="BI76" i="47" s="1"/>
  <c r="BJ66" i="47"/>
  <c r="BI66" i="47" s="1"/>
  <c r="BJ67" i="47"/>
  <c r="BI67" i="47" s="1"/>
  <c r="BJ70" i="47"/>
  <c r="BI70" i="47" s="1"/>
  <c r="BJ64" i="47"/>
  <c r="BI64" i="47" s="1"/>
  <c r="BJ73" i="47"/>
  <c r="BI73" i="47" s="1"/>
  <c r="BJ69" i="47"/>
  <c r="BI69" i="47" s="1"/>
  <c r="BJ81" i="47"/>
  <c r="BI81" i="47" s="1"/>
  <c r="BK82" i="47"/>
  <c r="BW51" i="47"/>
  <c r="BW46" i="47"/>
  <c r="BW41" i="47"/>
  <c r="BW53" i="47"/>
  <c r="BW43" i="47"/>
  <c r="BM33" i="47"/>
  <c r="BM6" i="47"/>
  <c r="BF78" i="47"/>
  <c r="BF71" i="47"/>
  <c r="BF80" i="47"/>
  <c r="BF63" i="47"/>
  <c r="BF66" i="47"/>
  <c r="BF74" i="47"/>
  <c r="BF70" i="47"/>
  <c r="BF75" i="47"/>
  <c r="BF64" i="47"/>
  <c r="BF72" i="47"/>
  <c r="BF79" i="47"/>
  <c r="BF65" i="47"/>
  <c r="BF76" i="47"/>
  <c r="BF81" i="47"/>
  <c r="BF73" i="47"/>
  <c r="BF68" i="47"/>
  <c r="BF67" i="47"/>
  <c r="BF69" i="47"/>
  <c r="BE61" i="47"/>
  <c r="BF77" i="47"/>
  <c r="BF62" i="47"/>
  <c r="BE33" i="47"/>
  <c r="BG108" i="47"/>
  <c r="BW25" i="47"/>
  <c r="BW17" i="47"/>
  <c r="BW7" i="47"/>
  <c r="BG27" i="47"/>
  <c r="BW24" i="47"/>
  <c r="BW21" i="47"/>
  <c r="BW50" i="47"/>
  <c r="BW44" i="47"/>
  <c r="BW38" i="47"/>
  <c r="BW47" i="47"/>
  <c r="BW42" i="47"/>
  <c r="BN14" i="47"/>
  <c r="BM14" i="47" s="1"/>
  <c r="BN7" i="47"/>
  <c r="BN12" i="47"/>
  <c r="BM12" i="47" s="1"/>
  <c r="BN17" i="47"/>
  <c r="BM17" i="47" s="1"/>
  <c r="BN21" i="47"/>
  <c r="BM21" i="47" s="1"/>
  <c r="BN20" i="47"/>
  <c r="BM20" i="47" s="1"/>
  <c r="BN10" i="47"/>
  <c r="BM10" i="47" s="1"/>
  <c r="BN11" i="47"/>
  <c r="BM11" i="47" s="1"/>
  <c r="BN22" i="47"/>
  <c r="BM22" i="47" s="1"/>
  <c r="BN18" i="47"/>
  <c r="BM18" i="47" s="1"/>
  <c r="BN23" i="47"/>
  <c r="BM23" i="47" s="1"/>
  <c r="BN13" i="47"/>
  <c r="BM13" i="47" s="1"/>
  <c r="BN25" i="47"/>
  <c r="BM25" i="47" s="1"/>
  <c r="BN19" i="47"/>
  <c r="BM19" i="47" s="1"/>
  <c r="BN26" i="47"/>
  <c r="BM26" i="47" s="1"/>
  <c r="BN16" i="47"/>
  <c r="BM16" i="47" s="1"/>
  <c r="BN24" i="47"/>
  <c r="BM24" i="47" s="1"/>
  <c r="BN15" i="47"/>
  <c r="BM15" i="47" s="1"/>
  <c r="BN9" i="47"/>
  <c r="BM9" i="47" s="1"/>
  <c r="BN8" i="47"/>
  <c r="BM8" i="47" s="1"/>
  <c r="BI33" i="47"/>
  <c r="BN81" i="47"/>
  <c r="BM81" i="47" s="1"/>
  <c r="BN71" i="47"/>
  <c r="BM71" i="47" s="1"/>
  <c r="BM61" i="47"/>
  <c r="BN69" i="47"/>
  <c r="BM69" i="47" s="1"/>
  <c r="BN72" i="47"/>
  <c r="BM72" i="47" s="1"/>
  <c r="BN67" i="47"/>
  <c r="BM67" i="47" s="1"/>
  <c r="BN70" i="47"/>
  <c r="BM70" i="47" s="1"/>
  <c r="BN66" i="47"/>
  <c r="BM66" i="47" s="1"/>
  <c r="BN76" i="47"/>
  <c r="BM76" i="47" s="1"/>
  <c r="BN65" i="47"/>
  <c r="BM65" i="47" s="1"/>
  <c r="BN62" i="47"/>
  <c r="BN75" i="47"/>
  <c r="BM75" i="47" s="1"/>
  <c r="BN79" i="47"/>
  <c r="BM79" i="47" s="1"/>
  <c r="BN74" i="47"/>
  <c r="BM74" i="47" s="1"/>
  <c r="BN77" i="47"/>
  <c r="BM77" i="47" s="1"/>
  <c r="BN68" i="47"/>
  <c r="BM68" i="47" s="1"/>
  <c r="BN73" i="47"/>
  <c r="BM73" i="47" s="1"/>
  <c r="BN64" i="47"/>
  <c r="BM64" i="47" s="1"/>
  <c r="BN78" i="47"/>
  <c r="BM78" i="47" s="1"/>
  <c r="BN80" i="47"/>
  <c r="BM80" i="47" s="1"/>
  <c r="BN63" i="47"/>
  <c r="BM63" i="47" s="1"/>
  <c r="P10" i="16"/>
  <c r="P6" i="16"/>
  <c r="BV80" i="47" l="1"/>
  <c r="BE91" i="47"/>
  <c r="AB91" i="47" s="1"/>
  <c r="BU91" i="47" s="1"/>
  <c r="BV91" i="47"/>
  <c r="BE99" i="47"/>
  <c r="AB99" i="47" s="1"/>
  <c r="BU99" i="47" s="1"/>
  <c r="BV99" i="47"/>
  <c r="BE107" i="47"/>
  <c r="AB107" i="47" s="1"/>
  <c r="BU107" i="47" s="1"/>
  <c r="BV107" i="47"/>
  <c r="BE94" i="47"/>
  <c r="AB94" i="47" s="1"/>
  <c r="BU94" i="47" s="1"/>
  <c r="BV94" i="47"/>
  <c r="BE102" i="47"/>
  <c r="AB102" i="47" s="1"/>
  <c r="BU102" i="47" s="1"/>
  <c r="BV102" i="47"/>
  <c r="BV81" i="47"/>
  <c r="BM88" i="47"/>
  <c r="BM108" i="47" s="1"/>
  <c r="BN108" i="47"/>
  <c r="BE93" i="47"/>
  <c r="BV93" i="47"/>
  <c r="BE101" i="47"/>
  <c r="AB101" i="47" s="1"/>
  <c r="BU101" i="47" s="1"/>
  <c r="BV101" i="47"/>
  <c r="BE96" i="47"/>
  <c r="AB96" i="47" s="1"/>
  <c r="BU96" i="47" s="1"/>
  <c r="BV96" i="47"/>
  <c r="BE104" i="47"/>
  <c r="AB104" i="47" s="1"/>
  <c r="BU104" i="47" s="1"/>
  <c r="BV104" i="47"/>
  <c r="BQ88" i="47"/>
  <c r="BQ108" i="47" s="1"/>
  <c r="BR108" i="47"/>
  <c r="BV62" i="47"/>
  <c r="BV76" i="47"/>
  <c r="BV66" i="47"/>
  <c r="BV78" i="47"/>
  <c r="BE95" i="47"/>
  <c r="AB95" i="47" s="1"/>
  <c r="BU95" i="47" s="1"/>
  <c r="BV95" i="47"/>
  <c r="BE103" i="47"/>
  <c r="AB103" i="47" s="1"/>
  <c r="BU103" i="47" s="1"/>
  <c r="BV103" i="47"/>
  <c r="BE90" i="47"/>
  <c r="AB90" i="47" s="1"/>
  <c r="BU90" i="47" s="1"/>
  <c r="BV90" i="47"/>
  <c r="BE98" i="47"/>
  <c r="AB98" i="47" s="1"/>
  <c r="BU98" i="47" s="1"/>
  <c r="BV98" i="47"/>
  <c r="BE106" i="47"/>
  <c r="AB106" i="47" s="1"/>
  <c r="BU106" i="47" s="1"/>
  <c r="BV106" i="47"/>
  <c r="BV77" i="47"/>
  <c r="BV68" i="47"/>
  <c r="BE89" i="47"/>
  <c r="AB89" i="47" s="1"/>
  <c r="BU89" i="47" s="1"/>
  <c r="BV89" i="47"/>
  <c r="BE97" i="47"/>
  <c r="AB97" i="47" s="1"/>
  <c r="BU97" i="47" s="1"/>
  <c r="BV97" i="47"/>
  <c r="BE105" i="47"/>
  <c r="AB105" i="47" s="1"/>
  <c r="BU105" i="47" s="1"/>
  <c r="BV105" i="47"/>
  <c r="BE92" i="47"/>
  <c r="AB92" i="47" s="1"/>
  <c r="BU92" i="47" s="1"/>
  <c r="BV92" i="47"/>
  <c r="BE100" i="47"/>
  <c r="AB100" i="47" s="1"/>
  <c r="BU100" i="47" s="1"/>
  <c r="BV100" i="47"/>
  <c r="BV67" i="47"/>
  <c r="BV64" i="47"/>
  <c r="BV75" i="47"/>
  <c r="BV63" i="47"/>
  <c r="BV65" i="47"/>
  <c r="BV73" i="47"/>
  <c r="BV79" i="47"/>
  <c r="BV70" i="47"/>
  <c r="BQ62" i="47"/>
  <c r="BQ82" i="47" s="1"/>
  <c r="BR82" i="47"/>
  <c r="BN82" i="47"/>
  <c r="BM62" i="47"/>
  <c r="BM82" i="47" s="1"/>
  <c r="BV69" i="47"/>
  <c r="BV72" i="47"/>
  <c r="BV74" i="47"/>
  <c r="BV71" i="47"/>
  <c r="BW82" i="47"/>
  <c r="BW108" i="47"/>
  <c r="BV43" i="47"/>
  <c r="AB43" i="47"/>
  <c r="BU43" i="47" s="1"/>
  <c r="AB53" i="47"/>
  <c r="BU53" i="47" s="1"/>
  <c r="BV53" i="47"/>
  <c r="BV47" i="47"/>
  <c r="AB47" i="47"/>
  <c r="BU47" i="47" s="1"/>
  <c r="BV44" i="47"/>
  <c r="AB44" i="47"/>
  <c r="BU44" i="47" s="1"/>
  <c r="AB50" i="47"/>
  <c r="BU50" i="47" s="1"/>
  <c r="BV50" i="47"/>
  <c r="BV40" i="47"/>
  <c r="AB40" i="47"/>
  <c r="BU40" i="47" s="1"/>
  <c r="BE68" i="47"/>
  <c r="AB68" i="47" s="1"/>
  <c r="BU68" i="47" s="1"/>
  <c r="BE70" i="47"/>
  <c r="AB70" i="47" s="1"/>
  <c r="BU70" i="47" s="1"/>
  <c r="BE80" i="47"/>
  <c r="AB80" i="47" s="1"/>
  <c r="BU80" i="47" s="1"/>
  <c r="BV88" i="47"/>
  <c r="BF108" i="47"/>
  <c r="BI108" i="47"/>
  <c r="BJ108" i="47"/>
  <c r="BW54" i="47"/>
  <c r="BV25" i="47"/>
  <c r="BE25" i="47"/>
  <c r="AB25" i="47" s="1"/>
  <c r="BU25" i="47" s="1"/>
  <c r="BV23" i="47"/>
  <c r="BE23" i="47"/>
  <c r="AB23" i="47" s="1"/>
  <c r="BU23" i="47" s="1"/>
  <c r="BV8" i="47"/>
  <c r="BE8" i="47"/>
  <c r="AB8" i="47" s="1"/>
  <c r="BU8" i="47" s="1"/>
  <c r="BE21" i="47"/>
  <c r="AB21" i="47" s="1"/>
  <c r="BU21" i="47" s="1"/>
  <c r="BV21" i="47"/>
  <c r="BE26" i="47"/>
  <c r="AB26" i="47" s="1"/>
  <c r="BU26" i="47" s="1"/>
  <c r="BV26" i="47"/>
  <c r="BM7" i="47"/>
  <c r="BM27" i="47" s="1"/>
  <c r="BN27" i="47"/>
  <c r="AB45" i="47"/>
  <c r="BU45" i="47" s="1"/>
  <c r="BV45" i="47"/>
  <c r="BV42" i="47"/>
  <c r="AB42" i="47"/>
  <c r="BU42" i="47" s="1"/>
  <c r="AB48" i="47"/>
  <c r="BU48" i="47" s="1"/>
  <c r="BV48" i="47"/>
  <c r="BV38" i="47"/>
  <c r="AB38" i="47"/>
  <c r="BU38" i="47" s="1"/>
  <c r="BV41" i="47"/>
  <c r="AB41" i="47"/>
  <c r="BU41" i="47" s="1"/>
  <c r="BE73" i="47"/>
  <c r="AB73" i="47" s="1"/>
  <c r="BU73" i="47" s="1"/>
  <c r="BE72" i="47"/>
  <c r="AB72" i="47" s="1"/>
  <c r="BU72" i="47" s="1"/>
  <c r="BE74" i="47"/>
  <c r="AB74" i="47" s="1"/>
  <c r="BU74" i="47" s="1"/>
  <c r="BE71" i="47"/>
  <c r="AB71" i="47" s="1"/>
  <c r="BU71" i="47" s="1"/>
  <c r="BI62" i="47"/>
  <c r="BI82" i="47" s="1"/>
  <c r="BJ82" i="47"/>
  <c r="BV17" i="47"/>
  <c r="BE17" i="47"/>
  <c r="AB17" i="47" s="1"/>
  <c r="BU17" i="47" s="1"/>
  <c r="BV20" i="47"/>
  <c r="BE20" i="47"/>
  <c r="AB20" i="47" s="1"/>
  <c r="BU20" i="47" s="1"/>
  <c r="BE16" i="47"/>
  <c r="AB16" i="47" s="1"/>
  <c r="BU16" i="47" s="1"/>
  <c r="BV16" i="47"/>
  <c r="BE11" i="47"/>
  <c r="AB11" i="47" s="1"/>
  <c r="BU11" i="47" s="1"/>
  <c r="BV11" i="47"/>
  <c r="BN54" i="47"/>
  <c r="BM54" i="47"/>
  <c r="BJ54" i="47"/>
  <c r="BI54" i="47"/>
  <c r="BV36" i="47"/>
  <c r="AB36" i="47"/>
  <c r="BU36" i="47" s="1"/>
  <c r="AB35" i="47"/>
  <c r="BU35" i="47" s="1"/>
  <c r="BV35" i="47"/>
  <c r="BV52" i="47"/>
  <c r="AB52" i="47"/>
  <c r="BU52" i="47" s="1"/>
  <c r="AB39" i="47"/>
  <c r="BU39" i="47" s="1"/>
  <c r="BV39" i="47"/>
  <c r="AB46" i="47"/>
  <c r="BU46" i="47" s="1"/>
  <c r="BV46" i="47"/>
  <c r="BE62" i="47"/>
  <c r="BF82" i="47"/>
  <c r="BE67" i="47"/>
  <c r="AB67" i="47" s="1"/>
  <c r="BU67" i="47" s="1"/>
  <c r="BE81" i="47"/>
  <c r="AB81" i="47" s="1"/>
  <c r="BU81" i="47" s="1"/>
  <c r="BE65" i="47"/>
  <c r="AB65" i="47" s="1"/>
  <c r="BU65" i="47" s="1"/>
  <c r="BE64" i="47"/>
  <c r="AB64" i="47" s="1"/>
  <c r="BU64" i="47" s="1"/>
  <c r="BE66" i="47"/>
  <c r="AB66" i="47" s="1"/>
  <c r="BU66" i="47" s="1"/>
  <c r="BI7" i="47"/>
  <c r="BI27" i="47" s="1"/>
  <c r="BJ27" i="47"/>
  <c r="BV15" i="47"/>
  <c r="BE15" i="47"/>
  <c r="AB15" i="47" s="1"/>
  <c r="BU15" i="47" s="1"/>
  <c r="BV22" i="47"/>
  <c r="BE22" i="47"/>
  <c r="AB22" i="47" s="1"/>
  <c r="BU22" i="47" s="1"/>
  <c r="BE10" i="47"/>
  <c r="AB10" i="47" s="1"/>
  <c r="BU10" i="47" s="1"/>
  <c r="BV10" i="47"/>
  <c r="BV9" i="47"/>
  <c r="BE9" i="47"/>
  <c r="AB9" i="47" s="1"/>
  <c r="BU9" i="47" s="1"/>
  <c r="BV19" i="47"/>
  <c r="BE19" i="47"/>
  <c r="AB19" i="47" s="1"/>
  <c r="BU19" i="47" s="1"/>
  <c r="BW27" i="47"/>
  <c r="BV37" i="47"/>
  <c r="AB37" i="47"/>
  <c r="BU37" i="47" s="1"/>
  <c r="BV34" i="47"/>
  <c r="BF54" i="47"/>
  <c r="BV49" i="47"/>
  <c r="AB49" i="47"/>
  <c r="BU49" i="47" s="1"/>
  <c r="BV51" i="47"/>
  <c r="AB51" i="47"/>
  <c r="BU51" i="47" s="1"/>
  <c r="BE77" i="47"/>
  <c r="AB77" i="47" s="1"/>
  <c r="BU77" i="47" s="1"/>
  <c r="BE69" i="47"/>
  <c r="AB69" i="47" s="1"/>
  <c r="BU69" i="47" s="1"/>
  <c r="AB93" i="47"/>
  <c r="BU93" i="47" s="1"/>
  <c r="BE76" i="47"/>
  <c r="AB76" i="47" s="1"/>
  <c r="BU76" i="47" s="1"/>
  <c r="BE79" i="47"/>
  <c r="AB79" i="47" s="1"/>
  <c r="BU79" i="47" s="1"/>
  <c r="BE75" i="47"/>
  <c r="AB75" i="47" s="1"/>
  <c r="BU75" i="47" s="1"/>
  <c r="BE63" i="47"/>
  <c r="AB63" i="47" s="1"/>
  <c r="BU63" i="47" s="1"/>
  <c r="BE78" i="47"/>
  <c r="AB78" i="47" s="1"/>
  <c r="BU78" i="47" s="1"/>
  <c r="BE18" i="47"/>
  <c r="AB18" i="47" s="1"/>
  <c r="BU18" i="47" s="1"/>
  <c r="BV18" i="47"/>
  <c r="BV7" i="47"/>
  <c r="BE7" i="47"/>
  <c r="BF27" i="47"/>
  <c r="BE12" i="47"/>
  <c r="AB12" i="47" s="1"/>
  <c r="BU12" i="47" s="1"/>
  <c r="BV12" i="47"/>
  <c r="BV24" i="47"/>
  <c r="BE24" i="47"/>
  <c r="AB24" i="47" s="1"/>
  <c r="BU24" i="47" s="1"/>
  <c r="BE13" i="47"/>
  <c r="AB13" i="47" s="1"/>
  <c r="BU13" i="47" s="1"/>
  <c r="BV13" i="47"/>
  <c r="BE14" i="47"/>
  <c r="AB14" i="47" s="1"/>
  <c r="BU14" i="47" s="1"/>
  <c r="BV14" i="47"/>
  <c r="CX73" i="47" l="1"/>
  <c r="CX77" i="47" s="1"/>
  <c r="E32" i="16" s="1"/>
  <c r="BV27" i="47"/>
  <c r="AB34" i="47"/>
  <c r="BU34" i="47" s="1"/>
  <c r="BE54" i="47"/>
  <c r="BV54" i="47"/>
  <c r="BE82" i="47"/>
  <c r="AB62" i="47"/>
  <c r="AB88" i="47"/>
  <c r="BU88" i="47" s="1"/>
  <c r="BE108" i="47"/>
  <c r="AB7" i="47"/>
  <c r="BE27" i="47"/>
  <c r="BV82" i="47"/>
  <c r="BV108" i="47"/>
  <c r="BU62" i="47" l="1"/>
  <c r="BU82" i="47" s="1"/>
  <c r="AB82" i="47"/>
  <c r="CW73" i="47"/>
  <c r="CW77" i="47" s="1"/>
  <c r="E31" i="16" s="1"/>
  <c r="E30" i="16" s="1"/>
  <c r="BU108" i="47"/>
  <c r="AB108" i="47"/>
  <c r="BU54" i="47"/>
  <c r="AB54" i="47"/>
  <c r="BU7" i="47"/>
  <c r="BU27" i="47" s="1"/>
  <c r="AB27" i="47"/>
  <c r="CV73" i="47" l="1"/>
  <c r="CV77" i="47" s="1"/>
  <c r="DA77" i="47" l="1"/>
  <c r="E3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青田　晋也（福祉総合評価機構）</author>
  </authors>
  <commentList>
    <comment ref="J33" authorId="0" shapeId="0" xr:uid="{4FA4CF11-EE4B-4562-9F24-EBE4B3CE2173}">
      <text>
        <r>
          <rPr>
            <b/>
            <sz val="14"/>
            <color indexed="81"/>
            <rFont val="MS P ゴシック"/>
            <family val="3"/>
            <charset val="128"/>
          </rPr>
          <t>大野城市のやり方だと、端数計算によっては10円単位でズレ得るので、いかがなものかと。</t>
        </r>
      </text>
    </comment>
    <comment ref="J34" authorId="0" shapeId="0" xr:uid="{8649B36C-FB51-4DF3-A825-9F8006870288}">
      <text>
        <r>
          <rPr>
            <b/>
            <sz val="14"/>
            <color indexed="81"/>
            <rFont val="MS P ゴシック"/>
            <family val="3"/>
            <charset val="128"/>
          </rPr>
          <t>大野城市のやり方だと、端数計算によっては10円単位でズレ得るので、いかがなものかと。</t>
        </r>
      </text>
    </comment>
    <comment ref="J39" authorId="0" shapeId="0" xr:uid="{B0CF23E8-1C13-4811-BC54-5E2F46977AEB}">
      <text>
        <r>
          <rPr>
            <b/>
            <sz val="14"/>
            <color indexed="81"/>
            <rFont val="MS P ゴシック"/>
            <family val="3"/>
            <charset val="128"/>
          </rPr>
          <t>大野城市のやり方だと、端数計算によっては10円単位でズレ得るので、いかがなものかと。</t>
        </r>
      </text>
    </comment>
    <comment ref="J40" authorId="0" shapeId="0" xr:uid="{C837F90D-D80C-4B2D-9B74-384F8F69D67C}">
      <text>
        <r>
          <rPr>
            <b/>
            <sz val="14"/>
            <color indexed="81"/>
            <rFont val="MS P ゴシック"/>
            <family val="3"/>
            <charset val="128"/>
          </rPr>
          <t>大野城市のやり方だと、端数計算によっては10円単位でズレ得るので、いかがなものかと。</t>
        </r>
      </text>
    </comment>
    <comment ref="J41" authorId="0" shapeId="0" xr:uid="{4F265A32-3181-4315-96E8-C2B2F12E0445}">
      <text>
        <r>
          <rPr>
            <b/>
            <sz val="14"/>
            <color indexed="81"/>
            <rFont val="MS P ゴシック"/>
            <family val="3"/>
            <charset val="128"/>
          </rPr>
          <t>大野城市のやり方だと、端数計算によっては10円単位でズレ得るので、いかがなものかと。</t>
        </r>
      </text>
    </comment>
    <comment ref="J42" authorId="0" shapeId="0" xr:uid="{8B1B8308-29CA-487A-B836-18647E5F2529}">
      <text>
        <r>
          <rPr>
            <b/>
            <sz val="14"/>
            <color indexed="81"/>
            <rFont val="MS P ゴシック"/>
            <family val="3"/>
            <charset val="128"/>
          </rPr>
          <t>大野城市のやり方だと、端数計算によっては10円単位でズレ得るので、いかがなものかと。</t>
        </r>
      </text>
    </comment>
    <comment ref="J43" authorId="0" shapeId="0" xr:uid="{3E24736F-737E-4964-8C21-E78F89C21BDE}">
      <text>
        <r>
          <rPr>
            <b/>
            <sz val="14"/>
            <color indexed="81"/>
            <rFont val="MS P ゴシック"/>
            <family val="3"/>
            <charset val="128"/>
          </rPr>
          <t>大野城市のやり方だと、端数計算によっては10円単位でズレ得るので、いかがなものかと。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青田　晋也（福祉総合評価機構）</author>
  </authors>
  <commentList>
    <comment ref="R7" authorId="0" shapeId="0" xr:uid="{4C87482E-C7B1-4233-9905-0FC91575753B}">
      <text>
        <r>
          <rPr>
            <sz val="9"/>
            <color indexed="81"/>
            <rFont val="MS P ゴシック"/>
            <family val="3"/>
            <charset val="128"/>
          </rPr>
          <t>3歳以上・未満の別があるため非表示とします</t>
        </r>
      </text>
    </comment>
    <comment ref="S7" authorId="0" shapeId="0" xr:uid="{5576D6A1-7624-418A-91DA-B1B6ED4FAD44}">
      <text>
        <r>
          <rPr>
            <sz val="9"/>
            <color indexed="81"/>
            <rFont val="MS P ゴシック"/>
            <family val="3"/>
            <charset val="128"/>
          </rPr>
          <t>3歳以上・未満の別があるため非表示とします</t>
        </r>
      </text>
    </comment>
    <comment ref="W7" authorId="0" shapeId="0" xr:uid="{C672F214-7A11-4E22-BEAC-54335D9C2AA5}">
      <text>
        <r>
          <rPr>
            <sz val="9"/>
            <color indexed="81"/>
            <rFont val="MS P ゴシック"/>
            <family val="3"/>
            <charset val="128"/>
          </rPr>
          <t>3歳以上・未満の別があるため非表示とします</t>
        </r>
      </text>
    </comment>
    <comment ref="X7" authorId="0" shapeId="0" xr:uid="{819554F6-9CE5-44B6-9DC7-9359C7A2C642}">
      <text>
        <r>
          <rPr>
            <sz val="9"/>
            <color indexed="81"/>
            <rFont val="MS P ゴシック"/>
            <family val="3"/>
            <charset val="128"/>
          </rPr>
          <t>3歳以上・未満の別があるため非表示とします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<sst xmlns="http://schemas.openxmlformats.org/spreadsheetml/2006/main" count="10923" uniqueCount="733">
  <si>
    <t>【基本情報】</t>
    <rPh sb="1" eb="3">
      <t>キホン</t>
    </rPh>
    <rPh sb="3" eb="5">
      <t>ジョウホウ</t>
    </rPh>
    <phoneticPr fontId="2"/>
  </si>
  <si>
    <t>地域区分</t>
    <rPh sb="0" eb="2">
      <t>チイキ</t>
    </rPh>
    <rPh sb="2" eb="4">
      <t>クブン</t>
    </rPh>
    <phoneticPr fontId="2"/>
  </si>
  <si>
    <t>本園</t>
    <rPh sb="0" eb="2">
      <t>モトゾノ</t>
    </rPh>
    <phoneticPr fontId="2"/>
  </si>
  <si>
    <t>分園</t>
    <rPh sb="0" eb="2">
      <t>ブンエン</t>
    </rPh>
    <phoneticPr fontId="2"/>
  </si>
  <si>
    <t>園合計</t>
    <rPh sb="0" eb="3">
      <t>エンゴウケイ</t>
    </rPh>
    <phoneticPr fontId="2"/>
  </si>
  <si>
    <t>人</t>
    <rPh sb="0" eb="1">
      <t>ニン</t>
    </rPh>
    <phoneticPr fontId="2"/>
  </si>
  <si>
    <t>４歳以上</t>
    <rPh sb="1" eb="2">
      <t>サイ</t>
    </rPh>
    <rPh sb="2" eb="4">
      <t>イジョウ</t>
    </rPh>
    <phoneticPr fontId="2"/>
  </si>
  <si>
    <t>３歳</t>
    <rPh sb="1" eb="2">
      <t>サイ</t>
    </rPh>
    <phoneticPr fontId="2"/>
  </si>
  <si>
    <t>１・２歳</t>
    <rPh sb="3" eb="4">
      <t>サイ</t>
    </rPh>
    <phoneticPr fontId="2"/>
  </si>
  <si>
    <t>０歳</t>
    <rPh sb="1" eb="2">
      <t>サイ</t>
    </rPh>
    <phoneticPr fontId="2"/>
  </si>
  <si>
    <t>利用定員</t>
    <rPh sb="0" eb="2">
      <t>リヨウ</t>
    </rPh>
    <rPh sb="2" eb="4">
      <t>テイイン</t>
    </rPh>
    <phoneticPr fontId="2"/>
  </si>
  <si>
    <t>％</t>
    <phoneticPr fontId="2"/>
  </si>
  <si>
    <t>Ａ</t>
    <phoneticPr fontId="2"/>
  </si>
  <si>
    <t>Ｂ</t>
    <phoneticPr fontId="2"/>
  </si>
  <si>
    <t>０歳児</t>
    <rPh sb="1" eb="3">
      <t>サイジ</t>
    </rPh>
    <phoneticPr fontId="2"/>
  </si>
  <si>
    <t>標準時間</t>
    <rPh sb="0" eb="2">
      <t>ヒョウジュン</t>
    </rPh>
    <rPh sb="2" eb="4">
      <t>ジカン</t>
    </rPh>
    <phoneticPr fontId="2"/>
  </si>
  <si>
    <t>短時間</t>
    <rPh sb="0" eb="3">
      <t>タンジカン</t>
    </rPh>
    <phoneticPr fontId="2"/>
  </si>
  <si>
    <t>基本単価分</t>
    <rPh sb="0" eb="2">
      <t>キホン</t>
    </rPh>
    <rPh sb="2" eb="4">
      <t>タンカ</t>
    </rPh>
    <rPh sb="4" eb="5">
      <t>ブン</t>
    </rPh>
    <phoneticPr fontId="2"/>
  </si>
  <si>
    <t>主任保育士専任加算</t>
    <rPh sb="0" eb="2">
      <t>シュニン</t>
    </rPh>
    <rPh sb="2" eb="5">
      <t>ホイクシ</t>
    </rPh>
    <rPh sb="5" eb="7">
      <t>センニン</t>
    </rPh>
    <rPh sb="7" eb="9">
      <t>カサン</t>
    </rPh>
    <phoneticPr fontId="2"/>
  </si>
  <si>
    <t>事務職員雇上費加算</t>
    <rPh sb="0" eb="2">
      <t>ジム</t>
    </rPh>
    <rPh sb="2" eb="4">
      <t>ショクイン</t>
    </rPh>
    <rPh sb="4" eb="5">
      <t>ヤトイ</t>
    </rPh>
    <rPh sb="5" eb="6">
      <t>ア</t>
    </rPh>
    <rPh sb="6" eb="7">
      <t>ヒ</t>
    </rPh>
    <rPh sb="7" eb="9">
      <t>カサン</t>
    </rPh>
    <phoneticPr fontId="2"/>
  </si>
  <si>
    <t>施設機能強化推進費加算</t>
    <rPh sb="0" eb="2">
      <t>シセツ</t>
    </rPh>
    <rPh sb="2" eb="4">
      <t>キノウ</t>
    </rPh>
    <rPh sb="4" eb="6">
      <t>キョウカ</t>
    </rPh>
    <rPh sb="6" eb="8">
      <t>スイシン</t>
    </rPh>
    <rPh sb="8" eb="9">
      <t>ヒ</t>
    </rPh>
    <rPh sb="9" eb="11">
      <t>カサン</t>
    </rPh>
    <phoneticPr fontId="2"/>
  </si>
  <si>
    <t>小学校接続加算</t>
    <rPh sb="0" eb="3">
      <t>ショウガッコウ</t>
    </rPh>
    <rPh sb="3" eb="5">
      <t>セツゾク</t>
    </rPh>
    <rPh sb="5" eb="7">
      <t>カサン</t>
    </rPh>
    <phoneticPr fontId="2"/>
  </si>
  <si>
    <t>○</t>
    <phoneticPr fontId="2"/>
  </si>
  <si>
    <t>【加算部分２の情報】</t>
    <rPh sb="1" eb="3">
      <t>カサン</t>
    </rPh>
    <rPh sb="3" eb="5">
      <t>ブブン</t>
    </rPh>
    <rPh sb="7" eb="9">
      <t>ジョウホウ</t>
    </rPh>
    <phoneticPr fontId="2"/>
  </si>
  <si>
    <t>４月</t>
    <rPh sb="1" eb="2">
      <t>ガツ</t>
    </rPh>
    <phoneticPr fontId="2"/>
  </si>
  <si>
    <t>５月</t>
  </si>
  <si>
    <t>６月</t>
  </si>
  <si>
    <t>７月</t>
  </si>
  <si>
    <t>８月</t>
  </si>
  <si>
    <t>９月</t>
  </si>
  <si>
    <t>10月</t>
    <phoneticPr fontId="2"/>
  </si>
  <si>
    <t>11月</t>
    <phoneticPr fontId="2"/>
  </si>
  <si>
    <t>12月</t>
    <phoneticPr fontId="2"/>
  </si>
  <si>
    <t>１月</t>
  </si>
  <si>
    <t>２月</t>
  </si>
  <si>
    <t>３月</t>
  </si>
  <si>
    <t>合計</t>
    <rPh sb="0" eb="2">
      <t>ゴウケイ</t>
    </rPh>
    <phoneticPr fontId="2"/>
  </si>
  <si>
    <t>３歳児配置改善加算</t>
    <rPh sb="1" eb="3">
      <t>サイジ</t>
    </rPh>
    <rPh sb="3" eb="5">
      <t>ハイチ</t>
    </rPh>
    <rPh sb="5" eb="7">
      <t>カイゼン</t>
    </rPh>
    <rPh sb="7" eb="9">
      <t>カサン</t>
    </rPh>
    <phoneticPr fontId="2"/>
  </si>
  <si>
    <t>チーム保育推進加算</t>
    <rPh sb="3" eb="5">
      <t>ホイク</t>
    </rPh>
    <rPh sb="5" eb="7">
      <t>スイシン</t>
    </rPh>
    <rPh sb="7" eb="9">
      <t>カサン</t>
    </rPh>
    <phoneticPr fontId="2"/>
  </si>
  <si>
    <t>園名</t>
    <rPh sb="0" eb="1">
      <t>エン</t>
    </rPh>
    <rPh sb="1" eb="2">
      <t>メイ</t>
    </rPh>
    <phoneticPr fontId="2"/>
  </si>
  <si>
    <t>児童数</t>
    <rPh sb="0" eb="2">
      <t>ジドウ</t>
    </rPh>
    <rPh sb="2" eb="3">
      <t>スウ</t>
    </rPh>
    <phoneticPr fontId="2"/>
  </si>
  <si>
    <t>処遇改善等加算Ⅱ</t>
    <rPh sb="0" eb="2">
      <t>ショグウ</t>
    </rPh>
    <rPh sb="2" eb="4">
      <t>カイゼン</t>
    </rPh>
    <rPh sb="4" eb="5">
      <t>トウ</t>
    </rPh>
    <rPh sb="5" eb="7">
      <t>カサン</t>
    </rPh>
    <phoneticPr fontId="2"/>
  </si>
  <si>
    <t>冷暖房費加算</t>
    <rPh sb="0" eb="3">
      <t>レイダンボウ</t>
    </rPh>
    <rPh sb="3" eb="4">
      <t>ヒ</t>
    </rPh>
    <rPh sb="4" eb="6">
      <t>カサン</t>
    </rPh>
    <phoneticPr fontId="2"/>
  </si>
  <si>
    <t>施設長未設置減額</t>
    <rPh sb="0" eb="2">
      <t>シセツ</t>
    </rPh>
    <rPh sb="2" eb="3">
      <t>チョウ</t>
    </rPh>
    <rPh sb="3" eb="6">
      <t>ミセッチ</t>
    </rPh>
    <rPh sb="6" eb="8">
      <t>ゲンガク</t>
    </rPh>
    <phoneticPr fontId="2"/>
  </si>
  <si>
    <t>単価合計</t>
    <rPh sb="0" eb="2">
      <t>タンカ</t>
    </rPh>
    <rPh sb="2" eb="4">
      <t>ゴウケイ</t>
    </rPh>
    <phoneticPr fontId="2"/>
  </si>
  <si>
    <t>総合計</t>
    <rPh sb="0" eb="1">
      <t>ソウ</t>
    </rPh>
    <rPh sb="1" eb="3">
      <t>ゴウケイ</t>
    </rPh>
    <phoneticPr fontId="2"/>
  </si>
  <si>
    <t>処遇Ⅰ加算率</t>
    <rPh sb="0" eb="2">
      <t>ショグウ</t>
    </rPh>
    <rPh sb="3" eb="5">
      <t>カサン</t>
    </rPh>
    <rPh sb="5" eb="6">
      <t>リツ</t>
    </rPh>
    <phoneticPr fontId="2"/>
  </si>
  <si>
    <t>４月</t>
    <rPh sb="1" eb="2">
      <t>ガツ</t>
    </rPh>
    <phoneticPr fontId="2"/>
  </si>
  <si>
    <t>１０月</t>
  </si>
  <si>
    <t>１１月</t>
  </si>
  <si>
    <t>１２月</t>
  </si>
  <si>
    <t>年間合計</t>
    <rPh sb="0" eb="2">
      <t>ネンカン</t>
    </rPh>
    <rPh sb="2" eb="4">
      <t>ゴウケイ</t>
    </rPh>
    <phoneticPr fontId="2"/>
  </si>
  <si>
    <t>処遇Ⅱ総計</t>
    <rPh sb="0" eb="2">
      <t>ショグウ</t>
    </rPh>
    <rPh sb="3" eb="5">
      <t>ソウケイ</t>
    </rPh>
    <phoneticPr fontId="2"/>
  </si>
  <si>
    <t>人勧分率</t>
    <rPh sb="0" eb="2">
      <t>ジンカン</t>
    </rPh>
    <rPh sb="2" eb="3">
      <t>ブン</t>
    </rPh>
    <rPh sb="3" eb="4">
      <t>リツ</t>
    </rPh>
    <phoneticPr fontId="2"/>
  </si>
  <si>
    <t>賃借料加算</t>
    <rPh sb="0" eb="3">
      <t>チンシャクリョウ</t>
    </rPh>
    <rPh sb="3" eb="5">
      <t>カサン</t>
    </rPh>
    <phoneticPr fontId="2"/>
  </si>
  <si>
    <t>分園</t>
    <rPh sb="0" eb="2">
      <t>ブンエン</t>
    </rPh>
    <phoneticPr fontId="2"/>
  </si>
  <si>
    <t>該当</t>
    <rPh sb="0" eb="2">
      <t>ガイトウ</t>
    </rPh>
    <phoneticPr fontId="2"/>
  </si>
  <si>
    <t>施設長未設置</t>
    <rPh sb="0" eb="3">
      <t>シセツチョウ</t>
    </rPh>
    <rPh sb="3" eb="6">
      <t>ミセッチ</t>
    </rPh>
    <phoneticPr fontId="2"/>
  </si>
  <si>
    <t>【減額の有無】</t>
    <rPh sb="1" eb="3">
      <t>ゲンガク</t>
    </rPh>
    <rPh sb="4" eb="6">
      <t>ウム</t>
    </rPh>
    <phoneticPr fontId="2"/>
  </si>
  <si>
    <t>土曜日閉所</t>
    <rPh sb="0" eb="3">
      <t>ドヨウビ</t>
    </rPh>
    <rPh sb="3" eb="5">
      <t>ヘイショ</t>
    </rPh>
    <phoneticPr fontId="2"/>
  </si>
  <si>
    <t>恒常的定員超過</t>
    <rPh sb="0" eb="3">
      <t>コウジョウテキ</t>
    </rPh>
    <rPh sb="3" eb="5">
      <t>テイイン</t>
    </rPh>
    <rPh sb="5" eb="7">
      <t>チョウカ</t>
    </rPh>
    <phoneticPr fontId="2"/>
  </si>
  <si>
    <t>有無</t>
    <rPh sb="0" eb="2">
      <t>ウム</t>
    </rPh>
    <phoneticPr fontId="2"/>
  </si>
  <si>
    <t>療育支援加算</t>
    <rPh sb="0" eb="2">
      <t>リョウイク</t>
    </rPh>
    <rPh sb="2" eb="4">
      <t>シエン</t>
    </rPh>
    <rPh sb="4" eb="6">
      <t>カサン</t>
    </rPh>
    <phoneticPr fontId="2"/>
  </si>
  <si>
    <t>【自治体情報】</t>
    <rPh sb="1" eb="6">
      <t>ジチタイジョウホウ</t>
    </rPh>
    <phoneticPr fontId="2"/>
  </si>
  <si>
    <t>在籍児童居住市町村</t>
    <rPh sb="0" eb="2">
      <t>ザイセキ</t>
    </rPh>
    <rPh sb="2" eb="4">
      <t>ジドウ</t>
    </rPh>
    <rPh sb="4" eb="6">
      <t>キョジュウ</t>
    </rPh>
    <rPh sb="6" eb="9">
      <t>シチョウソン</t>
    </rPh>
    <phoneticPr fontId="2"/>
  </si>
  <si>
    <t>本園の月初在籍児童数</t>
    <rPh sb="0" eb="2">
      <t>ホンエン</t>
    </rPh>
    <rPh sb="3" eb="5">
      <t>ゲッショ</t>
    </rPh>
    <rPh sb="5" eb="7">
      <t>ザイセキ</t>
    </rPh>
    <rPh sb="7" eb="9">
      <t>ジドウ</t>
    </rPh>
    <rPh sb="9" eb="10">
      <t>スウ</t>
    </rPh>
    <phoneticPr fontId="2"/>
  </si>
  <si>
    <t>分園の月初在籍児童数</t>
    <rPh sb="0" eb="2">
      <t>ブンエン</t>
    </rPh>
    <rPh sb="3" eb="5">
      <t>ゲッショ</t>
    </rPh>
    <rPh sb="5" eb="7">
      <t>ザイセキ</t>
    </rPh>
    <rPh sb="7" eb="9">
      <t>ジドウ</t>
    </rPh>
    <rPh sb="9" eb="10">
      <t>スウ</t>
    </rPh>
    <phoneticPr fontId="2"/>
  </si>
  <si>
    <t>園全体の月初在籍児童数合計</t>
    <rPh sb="0" eb="1">
      <t>エン</t>
    </rPh>
    <rPh sb="1" eb="3">
      <t>ゼンタイ</t>
    </rPh>
    <rPh sb="4" eb="6">
      <t>ゲッショ</t>
    </rPh>
    <rPh sb="6" eb="8">
      <t>ザイセキ</t>
    </rPh>
    <rPh sb="8" eb="10">
      <t>ジドウ</t>
    </rPh>
    <rPh sb="10" eb="11">
      <t>スウ</t>
    </rPh>
    <rPh sb="11" eb="13">
      <t>ゴウケイ</t>
    </rPh>
    <phoneticPr fontId="2"/>
  </si>
  <si>
    <t>夜間保育加算</t>
    <rPh sb="0" eb="2">
      <t>ヤカン</t>
    </rPh>
    <rPh sb="2" eb="4">
      <t>ホイク</t>
    </rPh>
    <rPh sb="4" eb="6">
      <t>カサン</t>
    </rPh>
    <phoneticPr fontId="2"/>
  </si>
  <si>
    <t>休日保育加算</t>
    <rPh sb="0" eb="2">
      <t>キュウジツ</t>
    </rPh>
    <rPh sb="2" eb="4">
      <t>ホイク</t>
    </rPh>
    <rPh sb="4" eb="6">
      <t>カサン</t>
    </rPh>
    <phoneticPr fontId="2"/>
  </si>
  <si>
    <t>加算率</t>
    <rPh sb="0" eb="3">
      <t>カサンリツ</t>
    </rPh>
    <phoneticPr fontId="2"/>
  </si>
  <si>
    <t>基本分単価</t>
    <rPh sb="0" eb="3">
      <t>キホンブン</t>
    </rPh>
    <rPh sb="3" eb="5">
      <t>タンカ</t>
    </rPh>
    <phoneticPr fontId="2"/>
  </si>
  <si>
    <t>処遇Ⅰ単価</t>
    <rPh sb="0" eb="2">
      <t>ショグウ</t>
    </rPh>
    <rPh sb="3" eb="5">
      <t>タンカ</t>
    </rPh>
    <phoneticPr fontId="2"/>
  </si>
  <si>
    <t>基礎額</t>
    <rPh sb="0" eb="3">
      <t>キソガク</t>
    </rPh>
    <phoneticPr fontId="2"/>
  </si>
  <si>
    <t>【加算情報】</t>
    <rPh sb="1" eb="3">
      <t>カサン</t>
    </rPh>
    <rPh sb="3" eb="5">
      <t>ジョウホウ</t>
    </rPh>
    <phoneticPr fontId="2"/>
  </si>
  <si>
    <t>休日保育加算</t>
    <rPh sb="0" eb="2">
      <t>キュウジツ</t>
    </rPh>
    <rPh sb="2" eb="6">
      <t>ホイクカサン</t>
    </rPh>
    <phoneticPr fontId="2"/>
  </si>
  <si>
    <t>減価償却費加算</t>
    <rPh sb="0" eb="5">
      <t>ゲンカショウキャクヒ</t>
    </rPh>
    <rPh sb="5" eb="7">
      <t>カサン</t>
    </rPh>
    <phoneticPr fontId="2"/>
  </si>
  <si>
    <t>冷暖房費加算</t>
    <rPh sb="0" eb="6">
      <t>レイダンボウヒカサン</t>
    </rPh>
    <phoneticPr fontId="2"/>
  </si>
  <si>
    <t>除雪費加算</t>
    <rPh sb="0" eb="3">
      <t>ジョセツヒ</t>
    </rPh>
    <rPh sb="3" eb="5">
      <t>カサン</t>
    </rPh>
    <phoneticPr fontId="2"/>
  </si>
  <si>
    <t>降灰除去費加算</t>
    <rPh sb="0" eb="2">
      <t>コウハイ</t>
    </rPh>
    <rPh sb="2" eb="5">
      <t>ジョキョヒ</t>
    </rPh>
    <rPh sb="5" eb="7">
      <t>カサン</t>
    </rPh>
    <phoneticPr fontId="2"/>
  </si>
  <si>
    <t>栄養管理加算</t>
    <rPh sb="0" eb="2">
      <t>エイヨウ</t>
    </rPh>
    <rPh sb="2" eb="4">
      <t>カンリ</t>
    </rPh>
    <rPh sb="4" eb="6">
      <t>カサン</t>
    </rPh>
    <phoneticPr fontId="2"/>
  </si>
  <si>
    <t>第三者評価受審加算</t>
    <rPh sb="0" eb="3">
      <t>ダイサンシャ</t>
    </rPh>
    <rPh sb="3" eb="5">
      <t>ヒョウカ</t>
    </rPh>
    <rPh sb="5" eb="7">
      <t>ジュシン</t>
    </rPh>
    <rPh sb="7" eb="9">
      <t>カサン</t>
    </rPh>
    <phoneticPr fontId="2"/>
  </si>
  <si>
    <t>休日</t>
    <rPh sb="0" eb="2">
      <t>キュウジツ</t>
    </rPh>
    <phoneticPr fontId="2"/>
  </si>
  <si>
    <t>～210</t>
    <phoneticPr fontId="2"/>
  </si>
  <si>
    <t>211～279</t>
    <phoneticPr fontId="2"/>
  </si>
  <si>
    <t>280～349</t>
    <phoneticPr fontId="2"/>
  </si>
  <si>
    <t>350～419</t>
    <phoneticPr fontId="2"/>
  </si>
  <si>
    <t>420～489</t>
    <phoneticPr fontId="2"/>
  </si>
  <si>
    <t>490～559</t>
    <phoneticPr fontId="2"/>
  </si>
  <si>
    <t>560～629</t>
    <phoneticPr fontId="2"/>
  </si>
  <si>
    <t>630～699</t>
    <phoneticPr fontId="2"/>
  </si>
  <si>
    <t>700～769</t>
    <phoneticPr fontId="2"/>
  </si>
  <si>
    <t>770～839</t>
    <phoneticPr fontId="2"/>
  </si>
  <si>
    <t>840～909</t>
    <phoneticPr fontId="2"/>
  </si>
  <si>
    <t>910～979</t>
    <phoneticPr fontId="2"/>
  </si>
  <si>
    <t>980～1049</t>
    <phoneticPr fontId="2"/>
  </si>
  <si>
    <t>1050～</t>
    <phoneticPr fontId="2"/>
  </si>
  <si>
    <t>減価償却</t>
    <rPh sb="0" eb="4">
      <t>ゲンカショウキャク</t>
    </rPh>
    <phoneticPr fontId="2"/>
  </si>
  <si>
    <t>標準</t>
    <rPh sb="0" eb="2">
      <t>ヒョウジュン</t>
    </rPh>
    <phoneticPr fontId="2"/>
  </si>
  <si>
    <t>都市部</t>
    <rPh sb="0" eb="3">
      <t>トシブ</t>
    </rPh>
    <phoneticPr fontId="2"/>
  </si>
  <si>
    <t>賃借料</t>
    <rPh sb="0" eb="3">
      <t>チンシャクリョウ</t>
    </rPh>
    <phoneticPr fontId="2"/>
  </si>
  <si>
    <t>ａ標準</t>
    <rPh sb="1" eb="3">
      <t>ヒョウジュン</t>
    </rPh>
    <phoneticPr fontId="2"/>
  </si>
  <si>
    <t>ｂ標準</t>
    <rPh sb="1" eb="3">
      <t>ヒョウジュン</t>
    </rPh>
    <phoneticPr fontId="2"/>
  </si>
  <si>
    <t>ｃ標準</t>
    <rPh sb="1" eb="3">
      <t>ヒョウジュン</t>
    </rPh>
    <phoneticPr fontId="2"/>
  </si>
  <si>
    <t>ｄ標準</t>
    <rPh sb="1" eb="3">
      <t>ヒョウジュン</t>
    </rPh>
    <phoneticPr fontId="2"/>
  </si>
  <si>
    <t>ａ都市部</t>
    <rPh sb="1" eb="4">
      <t>トシブ</t>
    </rPh>
    <phoneticPr fontId="2"/>
  </si>
  <si>
    <t>ｂ都市部</t>
    <rPh sb="1" eb="4">
      <t>トシブ</t>
    </rPh>
    <phoneticPr fontId="2"/>
  </si>
  <si>
    <t>ｃ都市部</t>
    <rPh sb="1" eb="4">
      <t>トシブ</t>
    </rPh>
    <phoneticPr fontId="2"/>
  </si>
  <si>
    <t>ｄ都市部</t>
    <rPh sb="1" eb="4">
      <t>トシブ</t>
    </rPh>
    <phoneticPr fontId="2"/>
  </si>
  <si>
    <t>１級地</t>
    <rPh sb="1" eb="2">
      <t>キュウ</t>
    </rPh>
    <rPh sb="2" eb="3">
      <t>チ</t>
    </rPh>
    <phoneticPr fontId="2"/>
  </si>
  <si>
    <t>２級地</t>
    <rPh sb="1" eb="2">
      <t>キュウ</t>
    </rPh>
    <rPh sb="2" eb="3">
      <t>チ</t>
    </rPh>
    <phoneticPr fontId="2"/>
  </si>
  <si>
    <t>３級地</t>
    <rPh sb="1" eb="2">
      <t>キュウ</t>
    </rPh>
    <rPh sb="2" eb="3">
      <t>チ</t>
    </rPh>
    <phoneticPr fontId="2"/>
  </si>
  <si>
    <t>４級地</t>
    <rPh sb="1" eb="2">
      <t>キュウ</t>
    </rPh>
    <rPh sb="2" eb="3">
      <t>チ</t>
    </rPh>
    <phoneticPr fontId="2"/>
  </si>
  <si>
    <t>Ｃ</t>
    <phoneticPr fontId="2"/>
  </si>
  <si>
    <t>処遇Ⅰ
加算率</t>
    <rPh sb="0" eb="2">
      <t>ショグウ</t>
    </rPh>
    <rPh sb="4" eb="7">
      <t>カサンリツ</t>
    </rPh>
    <phoneticPr fontId="2"/>
  </si>
  <si>
    <t>基礎分</t>
    <rPh sb="0" eb="3">
      <t>キソブン</t>
    </rPh>
    <phoneticPr fontId="2"/>
  </si>
  <si>
    <t>賃金改善要件分</t>
    <rPh sb="0" eb="4">
      <t>チンギンカイゼン</t>
    </rPh>
    <rPh sb="4" eb="7">
      <t>ヨウケンブン</t>
    </rPh>
    <phoneticPr fontId="2"/>
  </si>
  <si>
    <t>その他</t>
    <rPh sb="2" eb="3">
      <t>タ</t>
    </rPh>
    <phoneticPr fontId="2"/>
  </si>
  <si>
    <t>～800</t>
    <phoneticPr fontId="2"/>
  </si>
  <si>
    <t>800～1200</t>
    <phoneticPr fontId="2"/>
  </si>
  <si>
    <t>1200～</t>
    <phoneticPr fontId="2"/>
  </si>
  <si>
    <t>÷月初児童数</t>
    <rPh sb="1" eb="3">
      <t>ゲッショ</t>
    </rPh>
    <rPh sb="3" eb="6">
      <t>ジドウスウ</t>
    </rPh>
    <phoneticPr fontId="2"/>
  </si>
  <si>
    <t>選択項目</t>
    <rPh sb="0" eb="2">
      <t>センタク</t>
    </rPh>
    <rPh sb="2" eb="4">
      <t>コウモク</t>
    </rPh>
    <phoneticPr fontId="2"/>
  </si>
  <si>
    <t>入力項目</t>
    <rPh sb="0" eb="2">
      <t>ニュウリョク</t>
    </rPh>
    <rPh sb="2" eb="4">
      <t>コウモク</t>
    </rPh>
    <phoneticPr fontId="2"/>
  </si>
  <si>
    <t>分園の有無</t>
    <rPh sb="0" eb="2">
      <t>ブンエン</t>
    </rPh>
    <rPh sb="3" eb="5">
      <t>ウム</t>
    </rPh>
    <phoneticPr fontId="2"/>
  </si>
  <si>
    <t>利用定員数</t>
    <rPh sb="0" eb="2">
      <t>リヨウ</t>
    </rPh>
    <rPh sb="2" eb="4">
      <t>テイイン</t>
    </rPh>
    <rPh sb="4" eb="5">
      <t>スウ</t>
    </rPh>
    <phoneticPr fontId="2"/>
  </si>
  <si>
    <t>年齢別児童数</t>
    <rPh sb="0" eb="3">
      <t>ネンレイベツ</t>
    </rPh>
    <rPh sb="3" eb="6">
      <t>ジドウスウ</t>
    </rPh>
    <phoneticPr fontId="2"/>
  </si>
  <si>
    <t>４歳児以上児</t>
    <rPh sb="1" eb="3">
      <t>サイジ</t>
    </rPh>
    <rPh sb="3" eb="5">
      <t>イジョウ</t>
    </rPh>
    <rPh sb="5" eb="6">
      <t>ジ</t>
    </rPh>
    <phoneticPr fontId="2"/>
  </si>
  <si>
    <t>３歳児</t>
    <rPh sb="1" eb="2">
      <t>サイ</t>
    </rPh>
    <rPh sb="2" eb="3">
      <t>ジ</t>
    </rPh>
    <phoneticPr fontId="2"/>
  </si>
  <si>
    <t>１，２歳児</t>
    <rPh sb="3" eb="5">
      <t>サイジ</t>
    </rPh>
    <phoneticPr fontId="2"/>
  </si>
  <si>
    <t>１．加算対象人数の基礎となる職員数（人）</t>
    <rPh sb="2" eb="4">
      <t>カサン</t>
    </rPh>
    <rPh sb="4" eb="6">
      <t>タイショウ</t>
    </rPh>
    <rPh sb="6" eb="8">
      <t>ニンズウ</t>
    </rPh>
    <rPh sb="9" eb="11">
      <t>キソ</t>
    </rPh>
    <rPh sb="14" eb="17">
      <t>ショクインスウ</t>
    </rPh>
    <rPh sb="18" eb="19">
      <t>ニン</t>
    </rPh>
    <phoneticPr fontId="2"/>
  </si>
  <si>
    <t>本園分</t>
    <rPh sb="0" eb="1">
      <t>ホン</t>
    </rPh>
    <rPh sb="1" eb="2">
      <t>エン</t>
    </rPh>
    <rPh sb="2" eb="3">
      <t>ブン</t>
    </rPh>
    <phoneticPr fontId="2"/>
  </si>
  <si>
    <t>ａ</t>
    <phoneticPr fontId="2"/>
  </si>
  <si>
    <t>年齢別配置基準による職員数</t>
    <rPh sb="0" eb="3">
      <t>ネンレイベツ</t>
    </rPh>
    <rPh sb="3" eb="7">
      <t>ハイキ</t>
    </rPh>
    <rPh sb="10" eb="13">
      <t>ショクインスウ</t>
    </rPh>
    <phoneticPr fontId="2"/>
  </si>
  <si>
    <t>4歳以上児</t>
    <rPh sb="1" eb="4">
      <t>サイイジョウ</t>
    </rPh>
    <rPh sb="2" eb="4">
      <t>イジョウ</t>
    </rPh>
    <rPh sb="4" eb="5">
      <t>ジ</t>
    </rPh>
    <phoneticPr fontId="2"/>
  </si>
  <si>
    <t>3歳児</t>
    <rPh sb="1" eb="3">
      <t>サイジ</t>
    </rPh>
    <phoneticPr fontId="2"/>
  </si>
  <si>
    <t xml:space="preserve">  3歳児配置改善加算</t>
    <rPh sb="3" eb="5">
      <t>サイジ</t>
    </rPh>
    <rPh sb="5" eb="7">
      <t>ハイチ</t>
    </rPh>
    <rPh sb="7" eb="9">
      <t>カイゼン</t>
    </rPh>
    <rPh sb="9" eb="11">
      <t>カサン</t>
    </rPh>
    <phoneticPr fontId="2"/>
  </si>
  <si>
    <t>小計（小数点第一位四捨五入）</t>
    <rPh sb="0" eb="2">
      <t>ショウケイ</t>
    </rPh>
    <rPh sb="3" eb="6">
      <t>ショウスウテン</t>
    </rPh>
    <rPh sb="6" eb="7">
      <t>ダイ</t>
    </rPh>
    <rPh sb="7" eb="9">
      <t>イチイ</t>
    </rPh>
    <rPh sb="9" eb="13">
      <t>シシャゴニュウ</t>
    </rPh>
    <phoneticPr fontId="2"/>
  </si>
  <si>
    <t>ｂ</t>
    <phoneticPr fontId="2"/>
  </si>
  <si>
    <t>保育標準時間認定の児童</t>
    <rPh sb="0" eb="2">
      <t>ホイク</t>
    </rPh>
    <rPh sb="2" eb="4">
      <t>ヒョウジュン</t>
    </rPh>
    <rPh sb="4" eb="6">
      <t>ジカン</t>
    </rPh>
    <rPh sb="6" eb="8">
      <t>ニンテイ</t>
    </rPh>
    <rPh sb="9" eb="11">
      <t>ジドウ</t>
    </rPh>
    <phoneticPr fontId="2"/>
  </si>
  <si>
    <t>ｃ</t>
    <phoneticPr fontId="2"/>
  </si>
  <si>
    <t>ｄ</t>
    <phoneticPr fontId="2"/>
  </si>
  <si>
    <t>事務職員雇上加算</t>
    <rPh sb="0" eb="2">
      <t>ジム</t>
    </rPh>
    <rPh sb="2" eb="4">
      <t>ショクイン</t>
    </rPh>
    <rPh sb="4" eb="5">
      <t>ヤト</t>
    </rPh>
    <rPh sb="5" eb="6">
      <t>ア</t>
    </rPh>
    <rPh sb="6" eb="8">
      <t>カサン</t>
    </rPh>
    <phoneticPr fontId="2"/>
  </si>
  <si>
    <t>ｅ</t>
    <phoneticPr fontId="2"/>
  </si>
  <si>
    <t>ｆ</t>
    <phoneticPr fontId="2"/>
  </si>
  <si>
    <t>g</t>
    <phoneticPr fontId="2"/>
  </si>
  <si>
    <t>栄養管理加算（Ａ：配置）を受けている場合</t>
    <rPh sb="0" eb="2">
      <t>エイヨウ</t>
    </rPh>
    <rPh sb="2" eb="4">
      <t>カンリ</t>
    </rPh>
    <rPh sb="4" eb="6">
      <t>カサン</t>
    </rPh>
    <rPh sb="9" eb="11">
      <t>ハイチ</t>
    </rPh>
    <rPh sb="13" eb="14">
      <t>ウ</t>
    </rPh>
    <rPh sb="18" eb="20">
      <t>バアイ</t>
    </rPh>
    <phoneticPr fontId="2"/>
  </si>
  <si>
    <t>利用定員数に基づく職員数</t>
    <rPh sb="0" eb="2">
      <t>リヨウ</t>
    </rPh>
    <rPh sb="2" eb="4">
      <t>テイイン</t>
    </rPh>
    <rPh sb="4" eb="5">
      <t>スウ</t>
    </rPh>
    <rPh sb="6" eb="7">
      <t>モト</t>
    </rPh>
    <rPh sb="9" eb="12">
      <t>ショクインスウ</t>
    </rPh>
    <phoneticPr fontId="2"/>
  </si>
  <si>
    <t>職員数（1人未満端数　四捨五入）</t>
    <rPh sb="0" eb="3">
      <t>ショクインスウ</t>
    </rPh>
    <rPh sb="5" eb="6">
      <t>ニン</t>
    </rPh>
    <rPh sb="6" eb="8">
      <t>ミマン</t>
    </rPh>
    <rPh sb="8" eb="10">
      <t>ハスウ</t>
    </rPh>
    <rPh sb="11" eb="15">
      <t>シシャゴニュウ</t>
    </rPh>
    <phoneticPr fontId="2"/>
  </si>
  <si>
    <t>２．加算対象職員数（人）</t>
    <rPh sb="2" eb="4">
      <t>カサン</t>
    </rPh>
    <rPh sb="4" eb="6">
      <t>タイショウ</t>
    </rPh>
    <rPh sb="6" eb="8">
      <t>ショクイン</t>
    </rPh>
    <rPh sb="8" eb="9">
      <t>スウ</t>
    </rPh>
    <rPh sb="10" eb="11">
      <t>ニン</t>
    </rPh>
    <phoneticPr fontId="2"/>
  </si>
  <si>
    <t>人数A（職員数の１／３）</t>
    <phoneticPr fontId="2"/>
  </si>
  <si>
    <t>人数B（職員数の１／５）</t>
    <rPh sb="0" eb="2">
      <t>ニンズウ</t>
    </rPh>
    <rPh sb="4" eb="6">
      <t>ショクイン</t>
    </rPh>
    <rPh sb="6" eb="7">
      <t>スウ</t>
    </rPh>
    <phoneticPr fontId="2"/>
  </si>
  <si>
    <t>円　×　人数A</t>
    <rPh sb="0" eb="1">
      <t>エン</t>
    </rPh>
    <rPh sb="4" eb="6">
      <t>ニンズウ</t>
    </rPh>
    <phoneticPr fontId="2"/>
  </si>
  <si>
    <t>円　×　人数B</t>
    <rPh sb="0" eb="1">
      <t>エン</t>
    </rPh>
    <rPh sb="4" eb="6">
      <t>ニンズウ</t>
    </rPh>
    <phoneticPr fontId="2"/>
  </si>
  <si>
    <t>合　計</t>
    <rPh sb="0" eb="1">
      <t>ア</t>
    </rPh>
    <rPh sb="2" eb="3">
      <t>ケイ</t>
    </rPh>
    <phoneticPr fontId="2"/>
  </si>
  <si>
    <t>園名</t>
    <rPh sb="0" eb="1">
      <t>エン</t>
    </rPh>
    <rPh sb="1" eb="2">
      <t>メイ</t>
    </rPh>
    <phoneticPr fontId="2"/>
  </si>
  <si>
    <t>処遇改善等加算Ⅱ　加算対象職員数計算表</t>
    <phoneticPr fontId="2"/>
  </si>
  <si>
    <t>←申請数を記入</t>
    <rPh sb="1" eb="4">
      <t>シンセイスウ</t>
    </rPh>
    <rPh sb="5" eb="7">
      <t>キニュウ</t>
    </rPh>
    <phoneticPr fontId="2"/>
  </si>
  <si>
    <t>職員数</t>
    <rPh sb="0" eb="3">
      <t>ショクインスウ</t>
    </rPh>
    <phoneticPr fontId="2"/>
  </si>
  <si>
    <t>月額加算基礎額（円）</t>
    <rPh sb="0" eb="2">
      <t>ゲツガク</t>
    </rPh>
    <rPh sb="2" eb="4">
      <t>カサン</t>
    </rPh>
    <rPh sb="4" eb="6">
      <t>キソ</t>
    </rPh>
    <rPh sb="6" eb="7">
      <t>ガク</t>
    </rPh>
    <rPh sb="8" eb="9">
      <t>エン</t>
    </rPh>
    <phoneticPr fontId="2"/>
  </si>
  <si>
    <t>休日保育加算</t>
    <rPh sb="0" eb="2">
      <t>キュウジツ</t>
    </rPh>
    <rPh sb="2" eb="4">
      <t>ホイク</t>
    </rPh>
    <rPh sb="4" eb="6">
      <t>カサン</t>
    </rPh>
    <phoneticPr fontId="2"/>
  </si>
  <si>
    <t>夜間保育加算</t>
    <rPh sb="0" eb="2">
      <t>ヤカン</t>
    </rPh>
    <rPh sb="2" eb="6">
      <t>ホイクカサン</t>
    </rPh>
    <phoneticPr fontId="2"/>
  </si>
  <si>
    <t>減価償却費加算</t>
    <rPh sb="0" eb="4">
      <t>ゲンカショウキャク</t>
    </rPh>
    <rPh sb="4" eb="5">
      <t>ヒ</t>
    </rPh>
    <rPh sb="5" eb="7">
      <t>カサン</t>
    </rPh>
    <phoneticPr fontId="2"/>
  </si>
  <si>
    <t>賃借料加算</t>
    <rPh sb="0" eb="3">
      <t>チンシャクリョウ</t>
    </rPh>
    <rPh sb="3" eb="5">
      <t>カサン</t>
    </rPh>
    <phoneticPr fontId="2"/>
  </si>
  <si>
    <t>分園減算</t>
    <rPh sb="0" eb="2">
      <t>ブンエン</t>
    </rPh>
    <rPh sb="2" eb="4">
      <t>ゲンサン</t>
    </rPh>
    <phoneticPr fontId="2"/>
  </si>
  <si>
    <t>土曜日閉所減算</t>
    <rPh sb="0" eb="3">
      <t>ドヨウビ</t>
    </rPh>
    <rPh sb="3" eb="5">
      <t>ヘイショ</t>
    </rPh>
    <rPh sb="5" eb="7">
      <t>ゲンサン</t>
    </rPh>
    <phoneticPr fontId="2"/>
  </si>
  <si>
    <t>恒常的定員超過減算</t>
    <rPh sb="0" eb="3">
      <t>コウジョウテキ</t>
    </rPh>
    <rPh sb="3" eb="5">
      <t>テイイン</t>
    </rPh>
    <rPh sb="5" eb="7">
      <t>チョウカ</t>
    </rPh>
    <rPh sb="7" eb="9">
      <t>ゲンサン</t>
    </rPh>
    <phoneticPr fontId="2"/>
  </si>
  <si>
    <t>処遇Ⅰ</t>
    <rPh sb="0" eb="2">
      <t>ショグウ</t>
    </rPh>
    <phoneticPr fontId="2"/>
  </si>
  <si>
    <t>【減算部分の情報】</t>
    <rPh sb="1" eb="3">
      <t>ゲンサン</t>
    </rPh>
    <rPh sb="3" eb="5">
      <t>ブブン</t>
    </rPh>
    <rPh sb="6" eb="8">
      <t>ジョウホウ</t>
    </rPh>
    <phoneticPr fontId="2"/>
  </si>
  <si>
    <t>基本分</t>
    <rPh sb="0" eb="3">
      <t>キホンブン</t>
    </rPh>
    <phoneticPr fontId="2"/>
  </si>
  <si>
    <t>÷３月初児童数</t>
    <rPh sb="2" eb="4">
      <t>ゲッショ</t>
    </rPh>
    <rPh sb="4" eb="7">
      <t>ジドウスウ</t>
    </rPh>
    <phoneticPr fontId="2"/>
  </si>
  <si>
    <t>自治体名</t>
    <rPh sb="0" eb="3">
      <t>ジチタイ</t>
    </rPh>
    <rPh sb="3" eb="4">
      <t>メイ</t>
    </rPh>
    <phoneticPr fontId="2"/>
  </si>
  <si>
    <t>内訳</t>
    <rPh sb="0" eb="2">
      <t>ウチワケ</t>
    </rPh>
    <phoneticPr fontId="2"/>
  </si>
  <si>
    <t>月初
児童数計</t>
    <rPh sb="0" eb="2">
      <t>ゲッショ</t>
    </rPh>
    <rPh sb="3" eb="5">
      <t>ジドウ</t>
    </rPh>
    <rPh sb="5" eb="6">
      <t>スウ</t>
    </rPh>
    <rPh sb="6" eb="7">
      <t>ケイ</t>
    </rPh>
    <phoneticPr fontId="2"/>
  </si>
  <si>
    <t>副食費徴収
免除費加算</t>
    <rPh sb="0" eb="3">
      <t>フクショクヒ</t>
    </rPh>
    <rPh sb="3" eb="5">
      <t>チョウシュウ</t>
    </rPh>
    <rPh sb="6" eb="9">
      <t>メンジョヒ</t>
    </rPh>
    <rPh sb="9" eb="11">
      <t>カサン</t>
    </rPh>
    <phoneticPr fontId="2"/>
  </si>
  <si>
    <t>合計</t>
    <rPh sb="0" eb="2">
      <t>ゴウケイ</t>
    </rPh>
    <phoneticPr fontId="2"/>
  </si>
  <si>
    <t>check</t>
    <phoneticPr fontId="2"/>
  </si>
  <si>
    <t>自治体計</t>
    <rPh sb="0" eb="3">
      <t>ジチタイ</t>
    </rPh>
    <rPh sb="3" eb="4">
      <t>ケイ</t>
    </rPh>
    <phoneticPr fontId="2"/>
  </si>
  <si>
    <t>対象児童数</t>
    <rPh sb="0" eb="5">
      <t>タイショウジドウスウ</t>
    </rPh>
    <phoneticPr fontId="2"/>
  </si>
  <si>
    <t>自治体計</t>
    <rPh sb="0" eb="4">
      <t>ジチタイケイ</t>
    </rPh>
    <phoneticPr fontId="2"/>
  </si>
  <si>
    <t>副食費徴収
免除費加算</t>
    <rPh sb="0" eb="3">
      <t>フクショクヒ</t>
    </rPh>
    <rPh sb="3" eb="5">
      <t>チョウシュウ</t>
    </rPh>
    <rPh sb="6" eb="8">
      <t>メンジョ</t>
    </rPh>
    <rPh sb="8" eb="9">
      <t>ヒ</t>
    </rPh>
    <rPh sb="9" eb="11">
      <t>カサン</t>
    </rPh>
    <phoneticPr fontId="2"/>
  </si>
  <si>
    <t>本園</t>
    <rPh sb="0" eb="2">
      <t>ホンエン</t>
    </rPh>
    <phoneticPr fontId="2"/>
  </si>
  <si>
    <t>合計児童数</t>
    <rPh sb="0" eb="2">
      <t>ゴウケイ</t>
    </rPh>
    <rPh sb="2" eb="5">
      <t>ジドウスウ</t>
    </rPh>
    <phoneticPr fontId="2"/>
  </si>
  <si>
    <t>本園児童数</t>
    <rPh sb="0" eb="2">
      <t>ホンエン</t>
    </rPh>
    <rPh sb="2" eb="5">
      <t>ジドウスウ</t>
    </rPh>
    <phoneticPr fontId="2"/>
  </si>
  <si>
    <t>分園児童数</t>
    <rPh sb="0" eb="2">
      <t>ブンエン</t>
    </rPh>
    <rPh sb="2" eb="5">
      <t>ジドウスウ</t>
    </rPh>
    <phoneticPr fontId="2"/>
  </si>
  <si>
    <t>３月単価に加算</t>
    <rPh sb="1" eb="4">
      <t>ガツタンカ</t>
    </rPh>
    <rPh sb="5" eb="7">
      <t>カサン</t>
    </rPh>
    <phoneticPr fontId="2"/>
  </si>
  <si>
    <t>【委託費総合計】</t>
    <rPh sb="1" eb="4">
      <t>イタクヒ</t>
    </rPh>
    <rPh sb="4" eb="7">
      <t>ソウゴウケイ</t>
    </rPh>
    <phoneticPr fontId="2"/>
  </si>
  <si>
    <r>
      <t xml:space="preserve">本園
委託費合計
</t>
    </r>
    <r>
      <rPr>
        <sz val="9"/>
        <color rgb="FFFF0000"/>
        <rFont val="メイリオ"/>
        <family val="3"/>
        <charset val="128"/>
      </rPr>
      <t>※副食費
除く</t>
    </r>
    <rPh sb="0" eb="2">
      <t>ホンエン</t>
    </rPh>
    <rPh sb="3" eb="6">
      <t>イタクヒ</t>
    </rPh>
    <rPh sb="6" eb="8">
      <t>ゴウケイ</t>
    </rPh>
    <rPh sb="10" eb="13">
      <t>フクショクヒ</t>
    </rPh>
    <rPh sb="14" eb="15">
      <t>ノゾ</t>
    </rPh>
    <phoneticPr fontId="2"/>
  </si>
  <si>
    <r>
      <t xml:space="preserve">本園
委託費合計
</t>
    </r>
    <r>
      <rPr>
        <sz val="9"/>
        <color rgb="FFFF0000"/>
        <rFont val="メイリオ"/>
        <family val="3"/>
        <charset val="128"/>
      </rPr>
      <t>※副食費
含む</t>
    </r>
    <rPh sb="0" eb="2">
      <t>ホンエン</t>
    </rPh>
    <rPh sb="3" eb="5">
      <t>イタク</t>
    </rPh>
    <rPh sb="5" eb="6">
      <t>ヒ</t>
    </rPh>
    <rPh sb="6" eb="8">
      <t>ゴウケイ</t>
    </rPh>
    <rPh sb="10" eb="13">
      <t>フクショクヒ</t>
    </rPh>
    <rPh sb="14" eb="15">
      <t>フク</t>
    </rPh>
    <phoneticPr fontId="2"/>
  </si>
  <si>
    <r>
      <t xml:space="preserve">分園
委託費合計
</t>
    </r>
    <r>
      <rPr>
        <sz val="9"/>
        <color rgb="FFFF0000"/>
        <rFont val="メイリオ"/>
        <family val="3"/>
        <charset val="128"/>
      </rPr>
      <t>※副食費
除く</t>
    </r>
    <rPh sb="0" eb="2">
      <t>ブンエン</t>
    </rPh>
    <rPh sb="3" eb="6">
      <t>イタクヒ</t>
    </rPh>
    <rPh sb="6" eb="8">
      <t>ゴウケイ</t>
    </rPh>
    <rPh sb="10" eb="13">
      <t>フクショクヒ</t>
    </rPh>
    <rPh sb="14" eb="15">
      <t>ノゾ</t>
    </rPh>
    <phoneticPr fontId="2"/>
  </si>
  <si>
    <r>
      <t xml:space="preserve">分園
委託費合計
</t>
    </r>
    <r>
      <rPr>
        <sz val="9"/>
        <color rgb="FFFF0000"/>
        <rFont val="メイリオ"/>
        <family val="3"/>
        <charset val="128"/>
      </rPr>
      <t>※副食費
含む</t>
    </r>
    <rPh sb="0" eb="2">
      <t>ブンエン</t>
    </rPh>
    <rPh sb="3" eb="5">
      <t>イタク</t>
    </rPh>
    <rPh sb="5" eb="6">
      <t>ヒ</t>
    </rPh>
    <rPh sb="6" eb="8">
      <t>ゴウケイ</t>
    </rPh>
    <rPh sb="10" eb="13">
      <t>フクショクヒ</t>
    </rPh>
    <rPh sb="14" eb="15">
      <t>フク</t>
    </rPh>
    <phoneticPr fontId="2"/>
  </si>
  <si>
    <t>分園</t>
    <rPh sb="0" eb="2">
      <t>ブンエン</t>
    </rPh>
    <phoneticPr fontId="2"/>
  </si>
  <si>
    <t>分園減算率</t>
    <rPh sb="0" eb="2">
      <t>ブンエン</t>
    </rPh>
    <rPh sb="2" eb="5">
      <t>ゲンサンリツ</t>
    </rPh>
    <phoneticPr fontId="2"/>
  </si>
  <si>
    <t>％</t>
    <phoneticPr fontId="2"/>
  </si>
  <si>
    <t>１日</t>
    <rPh sb="1" eb="2">
      <t>ニチ</t>
    </rPh>
    <phoneticPr fontId="2"/>
  </si>
  <si>
    <t>２日</t>
    <rPh sb="1" eb="2">
      <t>ニチ</t>
    </rPh>
    <phoneticPr fontId="2"/>
  </si>
  <si>
    <t>３日</t>
    <rPh sb="1" eb="2">
      <t>ニチ</t>
    </rPh>
    <phoneticPr fontId="2"/>
  </si>
  <si>
    <t>全て</t>
    <rPh sb="0" eb="1">
      <t>ゼン</t>
    </rPh>
    <phoneticPr fontId="2"/>
  </si>
  <si>
    <t>定員超過減算率</t>
    <rPh sb="0" eb="2">
      <t>テイイン</t>
    </rPh>
    <rPh sb="2" eb="4">
      <t>チョウカ</t>
    </rPh>
    <rPh sb="4" eb="6">
      <t>ゲンサン</t>
    </rPh>
    <rPh sb="6" eb="7">
      <t>リツ</t>
    </rPh>
    <phoneticPr fontId="2"/>
  </si>
  <si>
    <t>減算率</t>
    <rPh sb="0" eb="2">
      <t>ゲンサン</t>
    </rPh>
    <rPh sb="2" eb="3">
      <t>リツ</t>
    </rPh>
    <phoneticPr fontId="2"/>
  </si>
  <si>
    <t>減算率</t>
    <rPh sb="0" eb="3">
      <t>ゲンサンリツ</t>
    </rPh>
    <phoneticPr fontId="2"/>
  </si>
  <si>
    <t>冷暖房</t>
    <rPh sb="0" eb="3">
      <t>レイダンボウ</t>
    </rPh>
    <phoneticPr fontId="2"/>
  </si>
  <si>
    <t>土曜減算率</t>
    <rPh sb="0" eb="2">
      <t>ドヨウ</t>
    </rPh>
    <rPh sb="2" eb="4">
      <t>ゲンサン</t>
    </rPh>
    <rPh sb="4" eb="5">
      <t>リツ</t>
    </rPh>
    <phoneticPr fontId="2"/>
  </si>
  <si>
    <t>加算</t>
    <rPh sb="0" eb="2">
      <t>カサン</t>
    </rPh>
    <phoneticPr fontId="2"/>
  </si>
  <si>
    <t>加算部分２</t>
    <rPh sb="0" eb="4">
      <t>カサンブブン</t>
    </rPh>
    <phoneticPr fontId="2"/>
  </si>
  <si>
    <t>減算</t>
    <rPh sb="0" eb="2">
      <t>ゲンサン</t>
    </rPh>
    <phoneticPr fontId="2"/>
  </si>
  <si>
    <t>年齢</t>
    <rPh sb="0" eb="2">
      <t>ネンレイ</t>
    </rPh>
    <phoneticPr fontId="2"/>
  </si>
  <si>
    <t>認定区分</t>
    <rPh sb="0" eb="4">
      <t>ニンテイクブン</t>
    </rPh>
    <phoneticPr fontId="2"/>
  </si>
  <si>
    <t>４歳以上</t>
    <rPh sb="1" eb="2">
      <t>サイ</t>
    </rPh>
    <rPh sb="2" eb="4">
      <t>イジョウ</t>
    </rPh>
    <phoneticPr fontId="2"/>
  </si>
  <si>
    <t>３歳</t>
    <rPh sb="1" eb="2">
      <t>サイ</t>
    </rPh>
    <phoneticPr fontId="2"/>
  </si>
  <si>
    <t>１・２歳</t>
    <rPh sb="3" eb="4">
      <t>サイ</t>
    </rPh>
    <phoneticPr fontId="2"/>
  </si>
  <si>
    <t>０歳</t>
    <rPh sb="1" eb="2">
      <t>サイ</t>
    </rPh>
    <phoneticPr fontId="2"/>
  </si>
  <si>
    <t>標準時間</t>
    <rPh sb="0" eb="4">
      <t>ヒョウジュンジカン</t>
    </rPh>
    <phoneticPr fontId="2"/>
  </si>
  <si>
    <t>短時間</t>
    <rPh sb="0" eb="3">
      <t>タンジカン</t>
    </rPh>
    <phoneticPr fontId="2"/>
  </si>
  <si>
    <t>保育日数</t>
    <rPh sb="0" eb="2">
      <t>ホイク</t>
    </rPh>
    <rPh sb="2" eb="4">
      <t>ニッスウ</t>
    </rPh>
    <phoneticPr fontId="2"/>
  </si>
  <si>
    <t>単価計</t>
    <rPh sb="0" eb="3">
      <t>タンカケイ</t>
    </rPh>
    <phoneticPr fontId="2"/>
  </si>
  <si>
    <t>日割分</t>
    <rPh sb="0" eb="2">
      <t>ヒワリ</t>
    </rPh>
    <rPh sb="2" eb="3">
      <t>ブン</t>
    </rPh>
    <phoneticPr fontId="2"/>
  </si>
  <si>
    <t>合計</t>
    <rPh sb="0" eb="2">
      <t>ゴウケイ</t>
    </rPh>
    <phoneticPr fontId="2"/>
  </si>
  <si>
    <t>減算日数</t>
    <rPh sb="0" eb="2">
      <t>ゲンサン</t>
    </rPh>
    <rPh sb="2" eb="4">
      <t>ニッスウ</t>
    </rPh>
    <phoneticPr fontId="2"/>
  </si>
  <si>
    <t>地域
区分</t>
    <rPh sb="0" eb="2">
      <t>チイキ</t>
    </rPh>
    <rPh sb="3" eb="5">
      <t>クブン</t>
    </rPh>
    <phoneticPr fontId="32"/>
  </si>
  <si>
    <t>定員区分</t>
    <rPh sb="0" eb="2">
      <t>テイイン</t>
    </rPh>
    <rPh sb="2" eb="4">
      <t>クブン</t>
    </rPh>
    <phoneticPr fontId="32"/>
  </si>
  <si>
    <t>年齢区分</t>
    <rPh sb="0" eb="2">
      <t>ネンレイ</t>
    </rPh>
    <rPh sb="2" eb="4">
      <t>クブン</t>
    </rPh>
    <phoneticPr fontId="32"/>
  </si>
  <si>
    <t>保育必要量区分　⑤</t>
    <rPh sb="0" eb="2">
      <t>ホイク</t>
    </rPh>
    <rPh sb="2" eb="5">
      <t>ヒツヨウリョウ</t>
    </rPh>
    <rPh sb="5" eb="7">
      <t>クブン</t>
    </rPh>
    <phoneticPr fontId="33"/>
  </si>
  <si>
    <t>処遇改善等加算Ⅰ</t>
    <phoneticPr fontId="33"/>
  </si>
  <si>
    <t>３歳児配置改善加算</t>
    <rPh sb="1" eb="3">
      <t>サイジ</t>
    </rPh>
    <rPh sb="3" eb="5">
      <t>ハイチ</t>
    </rPh>
    <rPh sb="5" eb="7">
      <t>カイゼン</t>
    </rPh>
    <rPh sb="7" eb="9">
      <t>カサン</t>
    </rPh>
    <phoneticPr fontId="33"/>
  </si>
  <si>
    <t>休日保育加算</t>
    <rPh sb="0" eb="2">
      <t>キュウジツ</t>
    </rPh>
    <rPh sb="2" eb="4">
      <t>ホイク</t>
    </rPh>
    <rPh sb="4" eb="6">
      <t>カサン</t>
    </rPh>
    <phoneticPr fontId="33"/>
  </si>
  <si>
    <t>夜間保育加算</t>
    <rPh sb="0" eb="2">
      <t>ヤカン</t>
    </rPh>
    <rPh sb="2" eb="4">
      <t>ホイク</t>
    </rPh>
    <rPh sb="4" eb="6">
      <t>カサン</t>
    </rPh>
    <phoneticPr fontId="33"/>
  </si>
  <si>
    <t>減価償却費加算</t>
    <rPh sb="0" eb="2">
      <t>ゲンカ</t>
    </rPh>
    <rPh sb="2" eb="5">
      <t>ショウキャクヒ</t>
    </rPh>
    <rPh sb="5" eb="7">
      <t>カサン</t>
    </rPh>
    <phoneticPr fontId="33"/>
  </si>
  <si>
    <t>賃借料加算</t>
    <rPh sb="0" eb="3">
      <t>チンシャクリョウ</t>
    </rPh>
    <rPh sb="3" eb="5">
      <t>カサン</t>
    </rPh>
    <phoneticPr fontId="33"/>
  </si>
  <si>
    <t>チーム保育推進加算</t>
    <rPh sb="3" eb="5">
      <t>ホイク</t>
    </rPh>
    <rPh sb="5" eb="7">
      <t>スイシン</t>
    </rPh>
    <rPh sb="7" eb="9">
      <t>カサン</t>
    </rPh>
    <phoneticPr fontId="33"/>
  </si>
  <si>
    <t>分園の場合</t>
    <rPh sb="0" eb="2">
      <t>ブンエン</t>
    </rPh>
    <rPh sb="3" eb="5">
      <t>バアイ</t>
    </rPh>
    <phoneticPr fontId="33"/>
  </si>
  <si>
    <t>施設長を配置していない場合</t>
    <rPh sb="0" eb="2">
      <t>シセツ</t>
    </rPh>
    <rPh sb="2" eb="3">
      <t>チョウ</t>
    </rPh>
    <rPh sb="4" eb="6">
      <t>ハイチ</t>
    </rPh>
    <rPh sb="11" eb="13">
      <t>バアイ</t>
    </rPh>
    <phoneticPr fontId="33"/>
  </si>
  <si>
    <t>定員を恒常的に超過する場合</t>
    <rPh sb="0" eb="2">
      <t>テイイン</t>
    </rPh>
    <rPh sb="3" eb="6">
      <t>コウジョウテキ</t>
    </rPh>
    <rPh sb="7" eb="9">
      <t>チョウカ</t>
    </rPh>
    <rPh sb="11" eb="13">
      <t>バアイ</t>
    </rPh>
    <phoneticPr fontId="33"/>
  </si>
  <si>
    <t>保育標準時間認定</t>
    <rPh sb="0" eb="2">
      <t>ホイク</t>
    </rPh>
    <rPh sb="2" eb="4">
      <t>ヒョウジュン</t>
    </rPh>
    <rPh sb="4" eb="6">
      <t>ジカン</t>
    </rPh>
    <rPh sb="6" eb="8">
      <t>ニンテイ</t>
    </rPh>
    <phoneticPr fontId="33"/>
  </si>
  <si>
    <t>保育短時間認定</t>
    <rPh sb="0" eb="2">
      <t>ホイク</t>
    </rPh>
    <rPh sb="2" eb="3">
      <t>タン</t>
    </rPh>
    <rPh sb="3" eb="5">
      <t>ジカン</t>
    </rPh>
    <rPh sb="5" eb="7">
      <t>ニンテイ</t>
    </rPh>
    <phoneticPr fontId="33"/>
  </si>
  <si>
    <t>月に１日土曜日を閉所する場合</t>
    <rPh sb="0" eb="1">
      <t>ツキ</t>
    </rPh>
    <rPh sb="3" eb="4">
      <t>ニチ</t>
    </rPh>
    <rPh sb="4" eb="7">
      <t>ドヨウビ</t>
    </rPh>
    <rPh sb="8" eb="10">
      <t>ヘイショ</t>
    </rPh>
    <rPh sb="12" eb="14">
      <t>バアイ</t>
    </rPh>
    <phoneticPr fontId="33"/>
  </si>
  <si>
    <t>月に２日土曜日を閉所する場合</t>
    <rPh sb="0" eb="1">
      <t>ツキ</t>
    </rPh>
    <rPh sb="3" eb="4">
      <t>ニチ</t>
    </rPh>
    <rPh sb="4" eb="7">
      <t>ドヨウビ</t>
    </rPh>
    <rPh sb="8" eb="10">
      <t>ヘイショ</t>
    </rPh>
    <rPh sb="12" eb="14">
      <t>バアイ</t>
    </rPh>
    <phoneticPr fontId="33"/>
  </si>
  <si>
    <t>月に３日以上土曜日を閉所する場合</t>
    <rPh sb="0" eb="1">
      <t>ツキ</t>
    </rPh>
    <rPh sb="3" eb="4">
      <t>ニチ</t>
    </rPh>
    <rPh sb="4" eb="6">
      <t>イジョウ</t>
    </rPh>
    <rPh sb="6" eb="9">
      <t>ドヨウビ</t>
    </rPh>
    <rPh sb="10" eb="12">
      <t>ヘイショ</t>
    </rPh>
    <rPh sb="14" eb="16">
      <t>バアイ</t>
    </rPh>
    <phoneticPr fontId="33"/>
  </si>
  <si>
    <t>全ての土曜日を閉所する場合</t>
    <rPh sb="0" eb="1">
      <t>スベ</t>
    </rPh>
    <rPh sb="3" eb="6">
      <t>ドヨウビ</t>
    </rPh>
    <rPh sb="7" eb="9">
      <t>ヘイショ</t>
    </rPh>
    <rPh sb="11" eb="13">
      <t>バアイ</t>
    </rPh>
    <phoneticPr fontId="33"/>
  </si>
  <si>
    <t>基本分単価</t>
    <rPh sb="0" eb="2">
      <t>キホン</t>
    </rPh>
    <rPh sb="2" eb="3">
      <t>ブン</t>
    </rPh>
    <rPh sb="3" eb="4">
      <t>タン</t>
    </rPh>
    <rPh sb="4" eb="5">
      <t>アタイ</t>
    </rPh>
    <phoneticPr fontId="32"/>
  </si>
  <si>
    <t>加算額</t>
    <rPh sb="0" eb="3">
      <t>カサンガク</t>
    </rPh>
    <phoneticPr fontId="33"/>
  </si>
  <si>
    <t>（注）</t>
    <phoneticPr fontId="33"/>
  </si>
  <si>
    <t>（注）</t>
    <rPh sb="0" eb="3">
      <t>チュウ</t>
    </rPh>
    <phoneticPr fontId="32"/>
  </si>
  <si>
    <t>標　準</t>
    <rPh sb="0" eb="1">
      <t>シルベ</t>
    </rPh>
    <rPh sb="2" eb="3">
      <t>ジュン</t>
    </rPh>
    <phoneticPr fontId="33"/>
  </si>
  <si>
    <t>都市部</t>
    <rPh sb="0" eb="3">
      <t>トシブ</t>
    </rPh>
    <phoneticPr fontId="33"/>
  </si>
  <si>
    <t>①</t>
    <phoneticPr fontId="33"/>
  </si>
  <si>
    <t>②</t>
    <phoneticPr fontId="33"/>
  </si>
  <si>
    <t>④</t>
    <phoneticPr fontId="33"/>
  </si>
  <si>
    <t>⑥</t>
    <phoneticPr fontId="33"/>
  </si>
  <si>
    <t>⑦</t>
    <phoneticPr fontId="33"/>
  </si>
  <si>
    <t>⑧</t>
    <phoneticPr fontId="33"/>
  </si>
  <si>
    <t>⑨</t>
    <phoneticPr fontId="33"/>
  </si>
  <si>
    <t>⑩</t>
    <phoneticPr fontId="33"/>
  </si>
  <si>
    <t>⑪</t>
    <phoneticPr fontId="33"/>
  </si>
  <si>
    <t>⑫</t>
    <phoneticPr fontId="33"/>
  </si>
  <si>
    <t>⑬</t>
    <phoneticPr fontId="33"/>
  </si>
  <si>
    <t>⑭</t>
    <phoneticPr fontId="33"/>
  </si>
  <si>
    <t>⑮</t>
    <phoneticPr fontId="33"/>
  </si>
  <si>
    <t>⑯</t>
    <phoneticPr fontId="33"/>
  </si>
  <si>
    <t>⑰</t>
    <phoneticPr fontId="33"/>
  </si>
  <si>
    <t>⑱</t>
    <phoneticPr fontId="33"/>
  </si>
  <si>
    <t>地域区分</t>
    <rPh sb="0" eb="2">
      <t>チイキ</t>
    </rPh>
    <rPh sb="2" eb="4">
      <t>クブン</t>
    </rPh>
    <phoneticPr fontId="33"/>
  </si>
  <si>
    <t>定員区分</t>
    <rPh sb="0" eb="2">
      <t>テイイン</t>
    </rPh>
    <rPh sb="2" eb="4">
      <t>クブン</t>
    </rPh>
    <phoneticPr fontId="33"/>
  </si>
  <si>
    <t>年齢区分</t>
    <rPh sb="0" eb="2">
      <t>ネンレイ</t>
    </rPh>
    <rPh sb="2" eb="4">
      <t>クブン</t>
    </rPh>
    <phoneticPr fontId="33"/>
  </si>
  <si>
    <t>標準基本分単価</t>
    <rPh sb="0" eb="2">
      <t>ヒョウジュン</t>
    </rPh>
    <rPh sb="2" eb="4">
      <t>キホン</t>
    </rPh>
    <rPh sb="4" eb="5">
      <t>ブン</t>
    </rPh>
    <rPh sb="5" eb="7">
      <t>タンカ</t>
    </rPh>
    <phoneticPr fontId="33"/>
  </si>
  <si>
    <t>短時間基本分単価</t>
    <rPh sb="0" eb="3">
      <t>タンジカン</t>
    </rPh>
    <rPh sb="3" eb="5">
      <t>キホン</t>
    </rPh>
    <rPh sb="5" eb="6">
      <t>ブン</t>
    </rPh>
    <rPh sb="6" eb="8">
      <t>タンカ</t>
    </rPh>
    <phoneticPr fontId="33"/>
  </si>
  <si>
    <t>標準処遇改善</t>
    <rPh sb="0" eb="2">
      <t>ヒョウジュン</t>
    </rPh>
    <rPh sb="2" eb="4">
      <t>ショグウ</t>
    </rPh>
    <rPh sb="4" eb="6">
      <t>カイゼン</t>
    </rPh>
    <phoneticPr fontId="33"/>
  </si>
  <si>
    <t>短時間処遇改善</t>
    <rPh sb="0" eb="3">
      <t>タンジカン</t>
    </rPh>
    <rPh sb="3" eb="7">
      <t>ショグウカイゼン</t>
    </rPh>
    <phoneticPr fontId="33"/>
  </si>
  <si>
    <t>３歳児配置</t>
    <rPh sb="1" eb="3">
      <t>サイジ</t>
    </rPh>
    <rPh sb="3" eb="5">
      <t>ハイチ</t>
    </rPh>
    <phoneticPr fontId="33"/>
  </si>
  <si>
    <t>３歳児配置処遇改善</t>
    <rPh sb="1" eb="3">
      <t>サイジ</t>
    </rPh>
    <rPh sb="3" eb="5">
      <t>ハイチ</t>
    </rPh>
    <rPh sb="5" eb="9">
      <t>ショグウカイゼン</t>
    </rPh>
    <phoneticPr fontId="33"/>
  </si>
  <si>
    <t>減価償却標準</t>
    <rPh sb="0" eb="4">
      <t>ゲンカショウキャク</t>
    </rPh>
    <rPh sb="4" eb="6">
      <t>ヒョウジュン</t>
    </rPh>
    <phoneticPr fontId="37"/>
  </si>
  <si>
    <t>減価償却都市部</t>
    <rPh sb="0" eb="4">
      <t>ゲンカショウキャク</t>
    </rPh>
    <rPh sb="4" eb="7">
      <t>トシブ</t>
    </rPh>
    <phoneticPr fontId="37"/>
  </si>
  <si>
    <t>地域</t>
    <rPh sb="0" eb="2">
      <t>チイキ</t>
    </rPh>
    <phoneticPr fontId="37"/>
  </si>
  <si>
    <t>賃借料標準</t>
    <rPh sb="0" eb="3">
      <t>チンシャクリョウ</t>
    </rPh>
    <rPh sb="3" eb="5">
      <t>ヒョウジュン</t>
    </rPh>
    <phoneticPr fontId="37"/>
  </si>
  <si>
    <t>賃借料都市部</t>
    <rPh sb="0" eb="3">
      <t>チンシャクリョウ</t>
    </rPh>
    <rPh sb="3" eb="6">
      <t>トシブ</t>
    </rPh>
    <phoneticPr fontId="37"/>
  </si>
  <si>
    <t>チーム保育推進加算</t>
    <phoneticPr fontId="33"/>
  </si>
  <si>
    <t>チーム保育推進加算処遇改善</t>
    <rPh sb="9" eb="13">
      <t>ショグウカイゼン</t>
    </rPh>
    <phoneticPr fontId="37"/>
  </si>
  <si>
    <t>分園減算</t>
    <rPh sb="0" eb="2">
      <t>ブンエン</t>
    </rPh>
    <rPh sb="2" eb="4">
      <t>ゲンサン</t>
    </rPh>
    <phoneticPr fontId="33"/>
  </si>
  <si>
    <t>施設長未設置減算</t>
    <rPh sb="0" eb="3">
      <t>シセツチョウ</t>
    </rPh>
    <rPh sb="3" eb="6">
      <t>ミセッチ</t>
    </rPh>
    <rPh sb="6" eb="8">
      <t>ゲンサン</t>
    </rPh>
    <phoneticPr fontId="33"/>
  </si>
  <si>
    <t>施設長未設置減算処遇改善</t>
    <rPh sb="0" eb="3">
      <t>シセツチョウ</t>
    </rPh>
    <rPh sb="3" eb="6">
      <t>ミセッチ</t>
    </rPh>
    <rPh sb="6" eb="8">
      <t>ゲンサン</t>
    </rPh>
    <rPh sb="8" eb="12">
      <t>ショグウカイゼン</t>
    </rPh>
    <phoneticPr fontId="33"/>
  </si>
  <si>
    <t>土曜閉所１</t>
    <rPh sb="0" eb="2">
      <t>ドヨウ</t>
    </rPh>
    <rPh sb="2" eb="4">
      <t>ヘイショ</t>
    </rPh>
    <phoneticPr fontId="33"/>
  </si>
  <si>
    <t>土曜閉所２</t>
    <rPh sb="0" eb="2">
      <t>ドヨウ</t>
    </rPh>
    <rPh sb="2" eb="4">
      <t>ヘイショ</t>
    </rPh>
    <phoneticPr fontId="33"/>
  </si>
  <si>
    <t>土曜閉所３</t>
    <rPh sb="0" eb="2">
      <t>ドヨウ</t>
    </rPh>
    <rPh sb="2" eb="4">
      <t>ヘイショ</t>
    </rPh>
    <phoneticPr fontId="33"/>
  </si>
  <si>
    <t>土曜閉所全</t>
    <rPh sb="0" eb="2">
      <t>ドヨウ</t>
    </rPh>
    <rPh sb="2" eb="4">
      <t>ヘイショ</t>
    </rPh>
    <rPh sb="4" eb="5">
      <t>ゼン</t>
    </rPh>
    <phoneticPr fontId="33"/>
  </si>
  <si>
    <t>定員恒常超過減算</t>
    <rPh sb="0" eb="2">
      <t>テイイン</t>
    </rPh>
    <rPh sb="2" eb="4">
      <t>コウジョウ</t>
    </rPh>
    <rPh sb="4" eb="6">
      <t>チョウカ</t>
    </rPh>
    <rPh sb="6" eb="8">
      <t>ゲンサン</t>
    </rPh>
    <phoneticPr fontId="33"/>
  </si>
  <si>
    <t>20/100地域</t>
    <phoneticPr fontId="32"/>
  </si>
  <si>
    <t>20人</t>
    <rPh sb="2" eb="3">
      <t>ニン</t>
    </rPh>
    <phoneticPr fontId="32"/>
  </si>
  <si>
    <t>×加算率</t>
    <rPh sb="1" eb="3">
      <t>カサン</t>
    </rPh>
    <rPh sb="3" eb="4">
      <t>リツ</t>
    </rPh>
    <phoneticPr fontId="33"/>
  </si>
  <si>
    <t>ａ地域</t>
    <rPh sb="1" eb="3">
      <t>チイキ</t>
    </rPh>
    <phoneticPr fontId="33"/>
  </si>
  <si>
    <t>－</t>
    <phoneticPr fontId="33"/>
  </si>
  <si>
    <t>(⑥＋⑦＋⑧＋⑩)</t>
  </si>
  <si>
    <t>20/100地域</t>
  </si>
  <si>
    <t>ｂ地域</t>
    <rPh sb="1" eb="3">
      <t>チイキ</t>
    </rPh>
    <phoneticPr fontId="33"/>
  </si>
  <si>
    <t>ｃ地域</t>
    <rPh sb="1" eb="3">
      <t>チイキ</t>
    </rPh>
    <phoneticPr fontId="33"/>
  </si>
  <si>
    <t>ｄ地域</t>
    <rPh sb="1" eb="3">
      <t>チイキ</t>
    </rPh>
    <phoneticPr fontId="33"/>
  </si>
  <si>
    <t>21人～30人</t>
    <phoneticPr fontId="32"/>
  </si>
  <si>
    <t>(⑥～⑰（⑭を除く。)）</t>
  </si>
  <si>
    <t>21人～30人</t>
  </si>
  <si>
    <t>31人～40人</t>
    <phoneticPr fontId="32"/>
  </si>
  <si>
    <t>31人～40人</t>
  </si>
  <si>
    <t>41人～50人</t>
    <phoneticPr fontId="33"/>
  </si>
  <si>
    <t>41人～50人</t>
  </si>
  <si>
    <t>51人～60人</t>
    <phoneticPr fontId="2"/>
  </si>
  <si>
    <t>51人～60人</t>
  </si>
  <si>
    <t>61人～70人</t>
    <rPh sb="2" eb="3">
      <t>ニン</t>
    </rPh>
    <rPh sb="6" eb="7">
      <t>ニン</t>
    </rPh>
    <phoneticPr fontId="2"/>
  </si>
  <si>
    <t>71人～80人</t>
    <rPh sb="2" eb="3">
      <t>ニン</t>
    </rPh>
    <rPh sb="6" eb="7">
      <t>ニン</t>
    </rPh>
    <phoneticPr fontId="2"/>
  </si>
  <si>
    <t>81人～90人</t>
    <rPh sb="2" eb="3">
      <t>ニン</t>
    </rPh>
    <rPh sb="6" eb="7">
      <t>ニン</t>
    </rPh>
    <phoneticPr fontId="2"/>
  </si>
  <si>
    <t>91人～100人</t>
    <rPh sb="2" eb="3">
      <t>ニン</t>
    </rPh>
    <rPh sb="7" eb="8">
      <t>ニン</t>
    </rPh>
    <phoneticPr fontId="2"/>
  </si>
  <si>
    <t>(⑥＋⑦)</t>
    <phoneticPr fontId="33"/>
  </si>
  <si>
    <t>101人～110人</t>
    <rPh sb="3" eb="4">
      <t>ニン</t>
    </rPh>
    <rPh sb="8" eb="9">
      <t>ニン</t>
    </rPh>
    <phoneticPr fontId="2"/>
  </si>
  <si>
    <t>111人～120人</t>
    <rPh sb="3" eb="4">
      <t>ニン</t>
    </rPh>
    <rPh sb="8" eb="9">
      <t>ニン</t>
    </rPh>
    <phoneticPr fontId="2"/>
  </si>
  <si>
    <t>121人～130人</t>
    <rPh sb="3" eb="4">
      <t>ニン</t>
    </rPh>
    <rPh sb="8" eb="9">
      <t>ニン</t>
    </rPh>
    <phoneticPr fontId="2"/>
  </si>
  <si>
    <t>131人～140人</t>
    <rPh sb="3" eb="4">
      <t>ニン</t>
    </rPh>
    <rPh sb="8" eb="9">
      <t>ニン</t>
    </rPh>
    <phoneticPr fontId="2"/>
  </si>
  <si>
    <t>141人～150人</t>
    <rPh sb="3" eb="4">
      <t>ニン</t>
    </rPh>
    <rPh sb="8" eb="9">
      <t>ニン</t>
    </rPh>
    <phoneticPr fontId="2"/>
  </si>
  <si>
    <t>151人～160人</t>
    <rPh sb="3" eb="4">
      <t>ニン</t>
    </rPh>
    <rPh sb="8" eb="9">
      <t>ニン</t>
    </rPh>
    <phoneticPr fontId="2"/>
  </si>
  <si>
    <t>161人～170人</t>
    <rPh sb="3" eb="4">
      <t>ニン</t>
    </rPh>
    <rPh sb="8" eb="9">
      <t>ニン</t>
    </rPh>
    <phoneticPr fontId="2"/>
  </si>
  <si>
    <t>171人以上</t>
  </si>
  <si>
    <t>171人以上</t>
    <phoneticPr fontId="33"/>
  </si>
  <si>
    <t>16/100地域</t>
    <rPh sb="6" eb="8">
      <t>チイキ</t>
    </rPh>
    <phoneticPr fontId="2"/>
  </si>
  <si>
    <t>(⑥＋⑦)</t>
  </si>
  <si>
    <t>15/100地域</t>
    <rPh sb="6" eb="8">
      <t>チイキ</t>
    </rPh>
    <phoneticPr fontId="2"/>
  </si>
  <si>
    <t>12/100地域</t>
    <rPh sb="6" eb="8">
      <t>チイキ</t>
    </rPh>
    <phoneticPr fontId="2"/>
  </si>
  <si>
    <t>10/100地域</t>
    <rPh sb="6" eb="8">
      <t>チイキ</t>
    </rPh>
    <phoneticPr fontId="2"/>
  </si>
  <si>
    <t>6/100地域</t>
    <rPh sb="5" eb="7">
      <t>チイキ</t>
    </rPh>
    <phoneticPr fontId="2"/>
  </si>
  <si>
    <t>3/100地域</t>
    <rPh sb="5" eb="7">
      <t>チイキ</t>
    </rPh>
    <phoneticPr fontId="2"/>
  </si>
  <si>
    <t>その他地域</t>
    <rPh sb="2" eb="3">
      <t>タ</t>
    </rPh>
    <rPh sb="3" eb="5">
      <t>チイキ</t>
    </rPh>
    <phoneticPr fontId="2"/>
  </si>
  <si>
    <t>本園定員区分</t>
    <rPh sb="0" eb="1">
      <t>ホン</t>
    </rPh>
    <rPh sb="1" eb="2">
      <t>エン</t>
    </rPh>
    <rPh sb="2" eb="4">
      <t>テイイン</t>
    </rPh>
    <rPh sb="4" eb="6">
      <t>クブン</t>
    </rPh>
    <phoneticPr fontId="2"/>
  </si>
  <si>
    <t>分園定員区分</t>
    <rPh sb="0" eb="2">
      <t>ブンエン</t>
    </rPh>
    <rPh sb="2" eb="4">
      <t>テイイン</t>
    </rPh>
    <rPh sb="4" eb="6">
      <t>クブン</t>
    </rPh>
    <phoneticPr fontId="2"/>
  </si>
  <si>
    <t>20人</t>
    <rPh sb="2" eb="3">
      <t>ニン</t>
    </rPh>
    <phoneticPr fontId="2"/>
  </si>
  <si>
    <t>21人～30人</t>
    <rPh sb="2" eb="3">
      <t>ニン</t>
    </rPh>
    <rPh sb="6" eb="7">
      <t>ニン</t>
    </rPh>
    <phoneticPr fontId="2"/>
  </si>
  <si>
    <t>31人～40人</t>
    <rPh sb="2" eb="3">
      <t>ニン</t>
    </rPh>
    <rPh sb="6" eb="7">
      <t>ニン</t>
    </rPh>
    <phoneticPr fontId="2"/>
  </si>
  <si>
    <t>41人～50人</t>
    <rPh sb="2" eb="3">
      <t>ニン</t>
    </rPh>
    <rPh sb="6" eb="7">
      <t>ニン</t>
    </rPh>
    <phoneticPr fontId="2"/>
  </si>
  <si>
    <t>20/100地域</t>
    <phoneticPr fontId="2"/>
  </si>
  <si>
    <t>４歳以上</t>
  </si>
  <si>
    <t>４歳以上</t>
    <rPh sb="1" eb="2">
      <t>サイ</t>
    </rPh>
    <rPh sb="2" eb="4">
      <t>イジョウ</t>
    </rPh>
    <phoneticPr fontId="32"/>
  </si>
  <si>
    <t>３歳</t>
  </si>
  <si>
    <t>３歳</t>
    <phoneticPr fontId="32"/>
  </si>
  <si>
    <t>１・２歳</t>
  </si>
  <si>
    <t>０歳</t>
  </si>
  <si>
    <t>地域区分</t>
    <rPh sb="0" eb="4">
      <t>チイキクブン</t>
    </rPh>
    <phoneticPr fontId="2"/>
  </si>
  <si>
    <t>定員区分</t>
  </si>
  <si>
    <t>年齢区分</t>
  </si>
  <si>
    <t>１・２歳</t>
    <phoneticPr fontId="2"/>
  </si>
  <si>
    <t>０歳</t>
    <phoneticPr fontId="2"/>
  </si>
  <si>
    <t>土曜日に閉所する場合
(⑥＋⑦＋⑧＋⑩)×減算率</t>
    <rPh sb="0" eb="3">
      <t>ドヨウビ</t>
    </rPh>
    <rPh sb="4" eb="6">
      <t>ヘイショ</t>
    </rPh>
    <rPh sb="8" eb="10">
      <t>バアイ</t>
    </rPh>
    <rPh sb="21" eb="23">
      <t>ゲンサン</t>
    </rPh>
    <rPh sb="23" eb="24">
      <t>リツ</t>
    </rPh>
    <phoneticPr fontId="33"/>
  </si>
  <si>
    <t>ａ地域</t>
    <phoneticPr fontId="2"/>
  </si>
  <si>
    <t>ｂ地域</t>
    <phoneticPr fontId="2"/>
  </si>
  <si>
    <t>ｃ地域</t>
    <phoneticPr fontId="2"/>
  </si>
  <si>
    <t>ｄ地域</t>
    <phoneticPr fontId="2"/>
  </si>
  <si>
    <t>本　　　　園</t>
    <rPh sb="0" eb="1">
      <t>ホン</t>
    </rPh>
    <rPh sb="5" eb="6">
      <t>エン</t>
    </rPh>
    <phoneticPr fontId="2"/>
  </si>
  <si>
    <t>分　　　　園</t>
    <rPh sb="0" eb="1">
      <t>ブン</t>
    </rPh>
    <rPh sb="5" eb="6">
      <t>エン</t>
    </rPh>
    <phoneticPr fontId="2"/>
  </si>
  <si>
    <t>本園・分園共通単価</t>
    <rPh sb="0" eb="2">
      <t>ホンエン</t>
    </rPh>
    <rPh sb="3" eb="4">
      <t>ブン</t>
    </rPh>
    <rPh sb="4" eb="5">
      <t>エン</t>
    </rPh>
    <rPh sb="5" eb="7">
      <t>キョウツウ</t>
    </rPh>
    <rPh sb="7" eb="9">
      <t>タンカ</t>
    </rPh>
    <phoneticPr fontId="2"/>
  </si>
  <si>
    <t>合計定員区分</t>
    <rPh sb="0" eb="2">
      <t>ゴウケイ</t>
    </rPh>
    <rPh sb="2" eb="4">
      <t>テイイン</t>
    </rPh>
    <rPh sb="4" eb="6">
      <t>クブン</t>
    </rPh>
    <phoneticPr fontId="2"/>
  </si>
  <si>
    <t>管理費</t>
    <rPh sb="0" eb="3">
      <t>カンリヒ</t>
    </rPh>
    <phoneticPr fontId="2"/>
  </si>
  <si>
    <t>標準時間</t>
  </si>
  <si>
    <t>短時間</t>
    <phoneticPr fontId="2"/>
  </si>
  <si>
    <t>20人</t>
    <phoneticPr fontId="2"/>
  </si>
  <si>
    <t>21人～30人</t>
    <rPh sb="2" eb="3">
      <t>ニン</t>
    </rPh>
    <rPh sb="6" eb="7">
      <t>ニン</t>
    </rPh>
    <phoneticPr fontId="50"/>
  </si>
  <si>
    <t>31人～40人</t>
    <rPh sb="2" eb="3">
      <t>ニン</t>
    </rPh>
    <rPh sb="6" eb="7">
      <t>ニン</t>
    </rPh>
    <phoneticPr fontId="50"/>
  </si>
  <si>
    <t>41人～50人</t>
    <rPh sb="2" eb="3">
      <t>ニン</t>
    </rPh>
    <rPh sb="6" eb="7">
      <t>ニン</t>
    </rPh>
    <phoneticPr fontId="50"/>
  </si>
  <si>
    <t>51人～60人</t>
    <rPh sb="2" eb="3">
      <t>ニン</t>
    </rPh>
    <rPh sb="6" eb="7">
      <t>ニン</t>
    </rPh>
    <phoneticPr fontId="50"/>
  </si>
  <si>
    <t>61人～70人</t>
    <rPh sb="2" eb="3">
      <t>ニン</t>
    </rPh>
    <rPh sb="6" eb="7">
      <t>ニン</t>
    </rPh>
    <phoneticPr fontId="50"/>
  </si>
  <si>
    <t>71人～80人</t>
    <rPh sb="2" eb="3">
      <t>ニン</t>
    </rPh>
    <rPh sb="6" eb="7">
      <t>ニン</t>
    </rPh>
    <phoneticPr fontId="50"/>
  </si>
  <si>
    <t>81人～90人</t>
    <rPh sb="2" eb="3">
      <t>ニン</t>
    </rPh>
    <rPh sb="6" eb="7">
      <t>ニン</t>
    </rPh>
    <phoneticPr fontId="50"/>
  </si>
  <si>
    <t>91人～100人</t>
    <rPh sb="2" eb="3">
      <t>ニン</t>
    </rPh>
    <rPh sb="7" eb="8">
      <t>ニン</t>
    </rPh>
    <phoneticPr fontId="50"/>
  </si>
  <si>
    <t>101人～110人</t>
    <rPh sb="3" eb="4">
      <t>ニン</t>
    </rPh>
    <rPh sb="8" eb="9">
      <t>ニン</t>
    </rPh>
    <phoneticPr fontId="50"/>
  </si>
  <si>
    <t>111人～120人</t>
    <rPh sb="3" eb="4">
      <t>ニン</t>
    </rPh>
    <rPh sb="8" eb="9">
      <t>ニン</t>
    </rPh>
    <phoneticPr fontId="50"/>
  </si>
  <si>
    <t>121人～130人</t>
    <rPh sb="3" eb="4">
      <t>ニン</t>
    </rPh>
    <rPh sb="8" eb="9">
      <t>ニン</t>
    </rPh>
    <phoneticPr fontId="50"/>
  </si>
  <si>
    <t>131人～140人</t>
    <rPh sb="3" eb="4">
      <t>ニン</t>
    </rPh>
    <rPh sb="8" eb="9">
      <t>ニン</t>
    </rPh>
    <phoneticPr fontId="50"/>
  </si>
  <si>
    <t>141人～150人</t>
    <rPh sb="3" eb="4">
      <t>ニン</t>
    </rPh>
    <rPh sb="8" eb="9">
      <t>ニン</t>
    </rPh>
    <phoneticPr fontId="50"/>
  </si>
  <si>
    <t>151人～160人</t>
    <rPh sb="3" eb="4">
      <t>ニン</t>
    </rPh>
    <rPh sb="8" eb="9">
      <t>ニン</t>
    </rPh>
    <phoneticPr fontId="50"/>
  </si>
  <si>
    <t>161人～170人</t>
    <rPh sb="3" eb="4">
      <t>ニン</t>
    </rPh>
    <rPh sb="8" eb="9">
      <t>ニン</t>
    </rPh>
    <phoneticPr fontId="50"/>
  </si>
  <si>
    <t>171人以上</t>
    <rPh sb="3" eb="4">
      <t>ニン</t>
    </rPh>
    <rPh sb="4" eb="6">
      <t>イジョウ</t>
    </rPh>
    <phoneticPr fontId="50"/>
  </si>
  <si>
    <t>夜間保育加算</t>
    <rPh sb="0" eb="4">
      <t>ヤカンホイク</t>
    </rPh>
    <rPh sb="4" eb="6">
      <t>カサン</t>
    </rPh>
    <phoneticPr fontId="2"/>
  </si>
  <si>
    <t>基本分</t>
    <rPh sb="0" eb="2">
      <t>キホン</t>
    </rPh>
    <rPh sb="2" eb="3">
      <t>ブン</t>
    </rPh>
    <phoneticPr fontId="2"/>
  </si>
  <si>
    <t>処遇改善</t>
    <rPh sb="0" eb="4">
      <t>ショグウカイゼン</t>
    </rPh>
    <phoneticPr fontId="2"/>
  </si>
  <si>
    <t>事業費</t>
    <rPh sb="0" eb="3">
      <t>ジギョウヒ</t>
    </rPh>
    <phoneticPr fontId="2"/>
  </si>
  <si>
    <t>３歳以上児</t>
  </si>
  <si>
    <t>３歳未満児</t>
  </si>
  <si>
    <t>21人～30人</t>
    <rPh sb="2" eb="3">
      <t>ニン</t>
    </rPh>
    <rPh sb="6" eb="7">
      <t>ニン</t>
    </rPh>
    <phoneticPr fontId="32"/>
  </si>
  <si>
    <t>31人～40人</t>
    <rPh sb="2" eb="3">
      <t>ニン</t>
    </rPh>
    <rPh sb="6" eb="7">
      <t>ニン</t>
    </rPh>
    <phoneticPr fontId="32"/>
  </si>
  <si>
    <t>41人～50人</t>
    <rPh sb="2" eb="3">
      <t>ニン</t>
    </rPh>
    <rPh sb="6" eb="7">
      <t>ニン</t>
    </rPh>
    <phoneticPr fontId="32"/>
  </si>
  <si>
    <t>51人～60人</t>
    <rPh sb="2" eb="3">
      <t>ニン</t>
    </rPh>
    <rPh sb="6" eb="7">
      <t>ニン</t>
    </rPh>
    <phoneticPr fontId="32"/>
  </si>
  <si>
    <t>61人～70人</t>
    <rPh sb="2" eb="3">
      <t>ニン</t>
    </rPh>
    <rPh sb="6" eb="7">
      <t>ニン</t>
    </rPh>
    <phoneticPr fontId="32"/>
  </si>
  <si>
    <t>71人～80人</t>
    <rPh sb="2" eb="3">
      <t>ニン</t>
    </rPh>
    <rPh sb="6" eb="7">
      <t>ニン</t>
    </rPh>
    <phoneticPr fontId="32"/>
  </si>
  <si>
    <t>81人～90人</t>
    <rPh sb="2" eb="3">
      <t>ニン</t>
    </rPh>
    <rPh sb="6" eb="7">
      <t>ニン</t>
    </rPh>
    <phoneticPr fontId="32"/>
  </si>
  <si>
    <t>休日保育加算</t>
    <rPh sb="0" eb="4">
      <t>キュウジツホイク</t>
    </rPh>
    <rPh sb="4" eb="6">
      <t>カサン</t>
    </rPh>
    <phoneticPr fontId="2"/>
  </si>
  <si>
    <t>地域区分</t>
    <rPh sb="0" eb="2">
      <t>チイキ</t>
    </rPh>
    <rPh sb="2" eb="4">
      <t>クブン</t>
    </rPh>
    <phoneticPr fontId="32"/>
  </si>
  <si>
    <t>延べ利用者</t>
    <rPh sb="0" eb="1">
      <t>ノ</t>
    </rPh>
    <rPh sb="2" eb="5">
      <t>リヨウシャ</t>
    </rPh>
    <phoneticPr fontId="2"/>
  </si>
  <si>
    <t>20/100地域</t>
    <rPh sb="6" eb="8">
      <t>チイキ</t>
    </rPh>
    <phoneticPr fontId="32"/>
  </si>
  <si>
    <t>12/100地域</t>
    <rPh sb="6" eb="8">
      <t>チイキ</t>
    </rPh>
    <phoneticPr fontId="32"/>
  </si>
  <si>
    <t>6/100地域</t>
    <rPh sb="5" eb="7">
      <t>チイキ</t>
    </rPh>
    <phoneticPr fontId="32"/>
  </si>
  <si>
    <t>3/100地域</t>
    <rPh sb="5" eb="7">
      <t>チイキ</t>
    </rPh>
    <phoneticPr fontId="32"/>
  </si>
  <si>
    <t>その他地域</t>
    <rPh sb="2" eb="3">
      <t>タ</t>
    </rPh>
    <rPh sb="3" eb="5">
      <t>チイキ</t>
    </rPh>
    <phoneticPr fontId="32"/>
  </si>
  <si>
    <t>３歳児配置改善加算</t>
    <rPh sb="5" eb="9">
      <t>カイゼンカサン</t>
    </rPh>
    <phoneticPr fontId="2"/>
  </si>
  <si>
    <t>３歳児配置処遇改善</t>
    <rPh sb="1" eb="3">
      <t>サイジ</t>
    </rPh>
    <rPh sb="3" eb="5">
      <t>ハイチ</t>
    </rPh>
    <rPh sb="5" eb="9">
      <t>ショグウカイゼン</t>
    </rPh>
    <phoneticPr fontId="2"/>
  </si>
  <si>
    <t>15/100地域</t>
    <rPh sb="6" eb="8">
      <t>チイキ</t>
    </rPh>
    <phoneticPr fontId="32"/>
  </si>
  <si>
    <t>10/100地域</t>
    <rPh sb="6" eb="8">
      <t>チイキ</t>
    </rPh>
    <phoneticPr fontId="32"/>
  </si>
  <si>
    <t>土曜日に閉所する場合(⑥＋⑦＋⑧＋⑩)×減算率</t>
    <rPh sb="0" eb="3">
      <t>ドヨウビ</t>
    </rPh>
    <rPh sb="4" eb="6">
      <t>ヘイショ</t>
    </rPh>
    <rPh sb="8" eb="10">
      <t>バアイ</t>
    </rPh>
    <rPh sb="20" eb="22">
      <t>ゲンサン</t>
    </rPh>
    <rPh sb="22" eb="23">
      <t>リツ</t>
    </rPh>
    <phoneticPr fontId="33"/>
  </si>
  <si>
    <t>事業費</t>
    <rPh sb="0" eb="3">
      <t>ジギョウヒ</t>
    </rPh>
    <phoneticPr fontId="2"/>
  </si>
  <si>
    <t>～210</t>
  </si>
  <si>
    <t>211～279</t>
  </si>
  <si>
    <t>280～349</t>
  </si>
  <si>
    <t>350～419</t>
  </si>
  <si>
    <t>420～489</t>
  </si>
  <si>
    <t>490～559</t>
  </si>
  <si>
    <t>560～629</t>
  </si>
  <si>
    <t>630～699</t>
  </si>
  <si>
    <t>700～769</t>
  </si>
  <si>
    <t>770～839</t>
  </si>
  <si>
    <t>840～909</t>
  </si>
  <si>
    <t>910～979</t>
  </si>
  <si>
    <t>980～1,049</t>
  </si>
  <si>
    <t>1,050～</t>
  </si>
  <si>
    <t>休日保育加算</t>
    <rPh sb="0" eb="4">
      <t>キュウジツホイク</t>
    </rPh>
    <rPh sb="4" eb="6">
      <t>カサン</t>
    </rPh>
    <phoneticPr fontId="33"/>
  </si>
  <si>
    <t>夜間保育</t>
    <rPh sb="0" eb="2">
      <t>ヤカン</t>
    </rPh>
    <rPh sb="2" eb="4">
      <t>ホイク</t>
    </rPh>
    <phoneticPr fontId="2"/>
  </si>
  <si>
    <t>基本分</t>
  </si>
  <si>
    <t>処遇改善</t>
  </si>
  <si>
    <t>事業費</t>
  </si>
  <si>
    <t>管理費</t>
  </si>
  <si>
    <t>夜間保育</t>
    <rPh sb="0" eb="4">
      <t>ヤカンホイク</t>
    </rPh>
    <phoneticPr fontId="2"/>
  </si>
  <si>
    <t>夜間保育処遇改善</t>
    <rPh sb="0" eb="4">
      <t>ヤカンホイク</t>
    </rPh>
    <rPh sb="4" eb="8">
      <t>ショグウカイゼン</t>
    </rPh>
    <phoneticPr fontId="2"/>
  </si>
  <si>
    <t>休日保育</t>
    <rPh sb="0" eb="4">
      <t>キュウジツホイク</t>
    </rPh>
    <phoneticPr fontId="33"/>
  </si>
  <si>
    <t>休日保育処遇改善</t>
    <rPh sb="0" eb="4">
      <t>キュウジツホイク</t>
    </rPh>
    <rPh sb="4" eb="6">
      <t>ショグウ</t>
    </rPh>
    <rPh sb="6" eb="8">
      <t>カイゼン</t>
    </rPh>
    <phoneticPr fontId="2"/>
  </si>
  <si>
    <t>定員</t>
    <phoneticPr fontId="2"/>
  </si>
  <si>
    <t>本園</t>
    <rPh sb="0" eb="2">
      <t>ホンエン</t>
    </rPh>
    <phoneticPr fontId="2"/>
  </si>
  <si>
    <t>分園</t>
    <rPh sb="0" eb="2">
      <t>ブンエン</t>
    </rPh>
    <phoneticPr fontId="2"/>
  </si>
  <si>
    <t>本園【月途中退所児童】</t>
    <rPh sb="0" eb="2">
      <t>ホンエン</t>
    </rPh>
    <rPh sb="3" eb="6">
      <t>ツキトチュウ</t>
    </rPh>
    <rPh sb="6" eb="8">
      <t>タイショ</t>
    </rPh>
    <rPh sb="8" eb="10">
      <t>ジドウ</t>
    </rPh>
    <phoneticPr fontId="2"/>
  </si>
  <si>
    <t>本園【月途中入所児童】</t>
    <rPh sb="0" eb="2">
      <t>ホンエン</t>
    </rPh>
    <rPh sb="3" eb="6">
      <t>ツキトチュウ</t>
    </rPh>
    <rPh sb="6" eb="8">
      <t>ニュウショ</t>
    </rPh>
    <rPh sb="8" eb="10">
      <t>ジドウ</t>
    </rPh>
    <phoneticPr fontId="2"/>
  </si>
  <si>
    <t>自治体名</t>
    <rPh sb="0" eb="4">
      <t>ジチタイメイ</t>
    </rPh>
    <phoneticPr fontId="2"/>
  </si>
  <si>
    <t>分園【月途中入所児童】</t>
    <rPh sb="0" eb="2">
      <t>ブンエン</t>
    </rPh>
    <rPh sb="3" eb="6">
      <t>ツキトチュウ</t>
    </rPh>
    <rPh sb="6" eb="8">
      <t>ニュウショ</t>
    </rPh>
    <rPh sb="8" eb="10">
      <t>ジドウ</t>
    </rPh>
    <phoneticPr fontId="2"/>
  </si>
  <si>
    <t>分園【月途中退所児童】</t>
    <rPh sb="0" eb="2">
      <t>ブンエン</t>
    </rPh>
    <rPh sb="3" eb="6">
      <t>ツキトチュウ</t>
    </rPh>
    <rPh sb="6" eb="8">
      <t>タイショ</t>
    </rPh>
    <rPh sb="8" eb="10">
      <t>ジドウ</t>
    </rPh>
    <phoneticPr fontId="2"/>
  </si>
  <si>
    <t>降灰除去費加算</t>
    <rPh sb="0" eb="1">
      <t>フ</t>
    </rPh>
    <rPh sb="1" eb="2">
      <t>ハイ</t>
    </rPh>
    <rPh sb="2" eb="4">
      <t>ジョキョ</t>
    </rPh>
    <rPh sb="4" eb="5">
      <t>ヒ</t>
    </rPh>
    <rPh sb="5" eb="7">
      <t>カサン</t>
    </rPh>
    <phoneticPr fontId="2"/>
  </si>
  <si>
    <t>高齢者等活躍促進加算</t>
    <rPh sb="0" eb="4">
      <t>コウレイシャトウ</t>
    </rPh>
    <rPh sb="4" eb="6">
      <t>カツヤク</t>
    </rPh>
    <rPh sb="6" eb="8">
      <t>ソクシン</t>
    </rPh>
    <rPh sb="8" eb="10">
      <t>カサン</t>
    </rPh>
    <phoneticPr fontId="2"/>
  </si>
  <si>
    <t>施設機能強化推進費加算</t>
    <rPh sb="0" eb="2">
      <t>シセツ</t>
    </rPh>
    <rPh sb="2" eb="6">
      <t>キノウキョウカ</t>
    </rPh>
    <rPh sb="6" eb="8">
      <t>スイシン</t>
    </rPh>
    <rPh sb="8" eb="9">
      <t>ヒ</t>
    </rPh>
    <rPh sb="9" eb="11">
      <t>カサン</t>
    </rPh>
    <phoneticPr fontId="2"/>
  </si>
  <si>
    <t>第三者評価受審加算</t>
    <rPh sb="0" eb="5">
      <t>ダイサンシャヒョウカ</t>
    </rPh>
    <rPh sb="5" eb="7">
      <t>ジュシン</t>
    </rPh>
    <rPh sb="7" eb="9">
      <t>カサン</t>
    </rPh>
    <phoneticPr fontId="2"/>
  </si>
  <si>
    <t>市区町村</t>
    <rPh sb="0" eb="2">
      <t>シク</t>
    </rPh>
    <rPh sb="2" eb="4">
      <t>チョウソン</t>
    </rPh>
    <phoneticPr fontId="2"/>
  </si>
  <si>
    <t>児童名</t>
    <rPh sb="0" eb="2">
      <t>ジドウ</t>
    </rPh>
    <rPh sb="2" eb="3">
      <t>メイ</t>
    </rPh>
    <phoneticPr fontId="2"/>
  </si>
  <si>
    <t>対象月</t>
    <rPh sb="0" eb="2">
      <t>タイショウ</t>
    </rPh>
    <rPh sb="2" eb="3">
      <t>ツキ</t>
    </rPh>
    <phoneticPr fontId="2"/>
  </si>
  <si>
    <t>園名</t>
    <rPh sb="0" eb="2">
      <t>エンメイ</t>
    </rPh>
    <phoneticPr fontId="2"/>
  </si>
  <si>
    <t>※減額日数には、退所してからの日数ではなく、【２５日－保育日数】を入力してください。</t>
    <phoneticPr fontId="2"/>
  </si>
  <si>
    <t>４歳以上</t>
    <phoneticPr fontId="2"/>
  </si>
  <si>
    <t>３歳</t>
    <phoneticPr fontId="2"/>
  </si>
  <si>
    <t>対象</t>
    <rPh sb="0" eb="2">
      <t>タイショウ</t>
    </rPh>
    <phoneticPr fontId="2"/>
  </si>
  <si>
    <t>認定区分</t>
    <rPh sb="0" eb="2">
      <t>ニンテイ</t>
    </rPh>
    <rPh sb="2" eb="4">
      <t>クブン</t>
    </rPh>
    <phoneticPr fontId="2"/>
  </si>
  <si>
    <t>本　　　園</t>
    <rPh sb="0" eb="1">
      <t>ホン</t>
    </rPh>
    <rPh sb="4" eb="5">
      <t>エン</t>
    </rPh>
    <phoneticPr fontId="2"/>
  </si>
  <si>
    <t>分　　　園</t>
    <rPh sb="0" eb="1">
      <t>ブン</t>
    </rPh>
    <rPh sb="4" eb="5">
      <t>エン</t>
    </rPh>
    <phoneticPr fontId="2"/>
  </si>
  <si>
    <t>副食費徴収
免除対象か</t>
    <rPh sb="0" eb="3">
      <t>フクショクヒ</t>
    </rPh>
    <rPh sb="3" eb="5">
      <t>チョウシュウ</t>
    </rPh>
    <rPh sb="6" eb="8">
      <t>メンジョ</t>
    </rPh>
    <rPh sb="8" eb="10">
      <t>タイショウ</t>
    </rPh>
    <phoneticPr fontId="2"/>
  </si>
  <si>
    <t>副食費免除</t>
    <rPh sb="0" eb="3">
      <t>フクショクヒ</t>
    </rPh>
    <rPh sb="3" eb="5">
      <t>メンジョ</t>
    </rPh>
    <phoneticPr fontId="2"/>
  </si>
  <si>
    <t>月</t>
    <rPh sb="0" eb="1">
      <t>ツキ</t>
    </rPh>
    <phoneticPr fontId="2"/>
  </si>
  <si>
    <t>区分</t>
    <rPh sb="0" eb="2">
      <t>クブン</t>
    </rPh>
    <phoneticPr fontId="2"/>
  </si>
  <si>
    <t>標準時間</t>
    <rPh sb="0" eb="4">
      <t>ヒョウ</t>
    </rPh>
    <phoneticPr fontId="2"/>
  </si>
  <si>
    <t>短時間</t>
    <rPh sb="0" eb="3">
      <t>タン</t>
    </rPh>
    <phoneticPr fontId="2"/>
  </si>
  <si>
    <t>日割減算分</t>
    <rPh sb="0" eb="2">
      <t>ヒワリ</t>
    </rPh>
    <rPh sb="2" eb="4">
      <t>ゲンサン</t>
    </rPh>
    <rPh sb="4" eb="5">
      <t>ブン</t>
    </rPh>
    <phoneticPr fontId="2"/>
  </si>
  <si>
    <t>副食費免除</t>
    <rPh sb="0" eb="3">
      <t>フクショクヒ</t>
    </rPh>
    <rPh sb="3" eb="5">
      <t>メンジョ</t>
    </rPh>
    <phoneticPr fontId="2"/>
  </si>
  <si>
    <t>うち処遇Ⅰ</t>
    <rPh sb="2" eb="4">
      <t>ショグウ</t>
    </rPh>
    <phoneticPr fontId="2"/>
  </si>
  <si>
    <t>基本分単価</t>
    <rPh sb="0" eb="2">
      <t>キホン</t>
    </rPh>
    <rPh sb="2" eb="3">
      <t>ブン</t>
    </rPh>
    <rPh sb="3" eb="5">
      <t>タンカ</t>
    </rPh>
    <phoneticPr fontId="2"/>
  </si>
  <si>
    <t>単価ベース額</t>
    <rPh sb="0" eb="2">
      <t>タンカ</t>
    </rPh>
    <rPh sb="5" eb="6">
      <t>ガク</t>
    </rPh>
    <phoneticPr fontId="2"/>
  </si>
  <si>
    <t>処遇改善等加算加算率</t>
    <rPh sb="0" eb="4">
      <t>ショグウカイゼン</t>
    </rPh>
    <rPh sb="4" eb="5">
      <t>トウ</t>
    </rPh>
    <rPh sb="5" eb="7">
      <t>カサン</t>
    </rPh>
    <rPh sb="7" eb="10">
      <t>カサンリツ</t>
    </rPh>
    <phoneticPr fontId="2"/>
  </si>
  <si>
    <t>療育支援加算Ａ</t>
    <rPh sb="0" eb="2">
      <t>リョウイク</t>
    </rPh>
    <rPh sb="2" eb="4">
      <t>シエン</t>
    </rPh>
    <rPh sb="4" eb="6">
      <t>カサン</t>
    </rPh>
    <phoneticPr fontId="2"/>
  </si>
  <si>
    <t>療育支援加算Ｂ</t>
    <rPh sb="0" eb="2">
      <t>リョウイク</t>
    </rPh>
    <rPh sb="2" eb="4">
      <t>シエン</t>
    </rPh>
    <rPh sb="4" eb="6">
      <t>カサン</t>
    </rPh>
    <phoneticPr fontId="2"/>
  </si>
  <si>
    <t>栄養管理加算Ａ</t>
    <rPh sb="0" eb="2">
      <t>エイヨウ</t>
    </rPh>
    <rPh sb="2" eb="4">
      <t>カンリ</t>
    </rPh>
    <rPh sb="4" eb="6">
      <t>カサン</t>
    </rPh>
    <phoneticPr fontId="2"/>
  </si>
  <si>
    <t>栄養管理加算Ｂ</t>
    <rPh sb="0" eb="2">
      <t>エイヨウ</t>
    </rPh>
    <rPh sb="2" eb="4">
      <t>カンリ</t>
    </rPh>
    <rPh sb="4" eb="6">
      <t>カサン</t>
    </rPh>
    <phoneticPr fontId="2"/>
  </si>
  <si>
    <t>4月</t>
    <rPh sb="1" eb="2">
      <t>ガツ</t>
    </rPh>
    <phoneticPr fontId="2"/>
  </si>
  <si>
    <t>5月</t>
  </si>
  <si>
    <t>6月</t>
  </si>
  <si>
    <t>7月</t>
  </si>
  <si>
    <t>8月</t>
  </si>
  <si>
    <t>9月</t>
  </si>
  <si>
    <t>10月</t>
  </si>
  <si>
    <t>11月</t>
  </si>
  <si>
    <t>12月</t>
  </si>
  <si>
    <t>1月</t>
  </si>
  <si>
    <t>2月</t>
  </si>
  <si>
    <t>3月</t>
  </si>
  <si>
    <t>加算単価</t>
    <rPh sb="0" eb="2">
      <t>カサン</t>
    </rPh>
    <rPh sb="2" eb="4">
      <t>タンカ</t>
    </rPh>
    <phoneticPr fontId="2"/>
  </si>
  <si>
    <t>単価内処遇Ⅰ単価</t>
    <rPh sb="2" eb="3">
      <t>ナイ</t>
    </rPh>
    <rPh sb="3" eb="6">
      <t>ショグウ</t>
    </rPh>
    <rPh sb="6" eb="8">
      <t>タンカ</t>
    </rPh>
    <phoneticPr fontId="2"/>
  </si>
  <si>
    <t>加算の有・無</t>
    <rPh sb="0" eb="2">
      <t>カサン</t>
    </rPh>
    <rPh sb="3" eb="4">
      <t>タモツ</t>
    </rPh>
    <rPh sb="5" eb="6">
      <t>ム</t>
    </rPh>
    <phoneticPr fontId="2"/>
  </si>
  <si>
    <t>固定単価の処遇Ⅰ加算合計額</t>
    <rPh sb="0" eb="2">
      <t>コテイ</t>
    </rPh>
    <rPh sb="2" eb="4">
      <t>タンカ</t>
    </rPh>
    <rPh sb="5" eb="7">
      <t>ショグウ</t>
    </rPh>
    <rPh sb="8" eb="10">
      <t>カサン</t>
    </rPh>
    <rPh sb="10" eb="12">
      <t>ゴウケイ</t>
    </rPh>
    <rPh sb="12" eb="13">
      <t>ガク</t>
    </rPh>
    <phoneticPr fontId="2"/>
  </si>
  <si>
    <t>処遇Ⅰ算出用（土曜減算）</t>
    <rPh sb="0" eb="2">
      <t>ショグウ</t>
    </rPh>
    <rPh sb="3" eb="5">
      <t>サンシュツ</t>
    </rPh>
    <rPh sb="5" eb="6">
      <t>ヨウ</t>
    </rPh>
    <rPh sb="7" eb="9">
      <t>ドヨウ</t>
    </rPh>
    <rPh sb="9" eb="11">
      <t>ゲンサン</t>
    </rPh>
    <phoneticPr fontId="2"/>
  </si>
  <si>
    <t>減算単価</t>
    <rPh sb="0" eb="2">
      <t>ゲンサン</t>
    </rPh>
    <rPh sb="2" eb="4">
      <t>タンカ</t>
    </rPh>
    <phoneticPr fontId="2"/>
  </si>
  <si>
    <t>減算額</t>
    <rPh sb="0" eb="2">
      <t>ゲンサン</t>
    </rPh>
    <rPh sb="2" eb="3">
      <t>ガク</t>
    </rPh>
    <phoneticPr fontId="2"/>
  </si>
  <si>
    <t>本園</t>
    <rPh sb="0" eb="2">
      <t>ホンエン</t>
    </rPh>
    <phoneticPr fontId="2"/>
  </si>
  <si>
    <t>分園</t>
    <rPh sb="0" eb="2">
      <t>ブンエン</t>
    </rPh>
    <phoneticPr fontId="2"/>
  </si>
  <si>
    <t>土曜減算の処遇Ⅰ減算額合計</t>
    <rPh sb="0" eb="2">
      <t>ドヨウ</t>
    </rPh>
    <rPh sb="2" eb="4">
      <t>ゲンサン</t>
    </rPh>
    <rPh sb="5" eb="7">
      <t>ショグウ</t>
    </rPh>
    <rPh sb="8" eb="10">
      <t>ゲンサン</t>
    </rPh>
    <rPh sb="10" eb="11">
      <t>ガク</t>
    </rPh>
    <rPh sb="11" eb="13">
      <t>ゴウケイ</t>
    </rPh>
    <phoneticPr fontId="2"/>
  </si>
  <si>
    <t>◆固定単価◆</t>
    <rPh sb="1" eb="3">
      <t>コテイ</t>
    </rPh>
    <rPh sb="3" eb="5">
      <t>タンカ</t>
    </rPh>
    <phoneticPr fontId="2"/>
  </si>
  <si>
    <t>園児数（本園・分園合算）</t>
    <rPh sb="0" eb="3">
      <t>エンジスウ</t>
    </rPh>
    <rPh sb="4" eb="6">
      <t>ホンエン</t>
    </rPh>
    <rPh sb="7" eb="9">
      <t>ブンエン</t>
    </rPh>
    <rPh sb="9" eb="11">
      <t>ガッサン</t>
    </rPh>
    <phoneticPr fontId="2"/>
  </si>
  <si>
    <t>加算額（基本分＆処遇Ⅰ）</t>
    <rPh sb="0" eb="3">
      <t>カサンガク</t>
    </rPh>
    <rPh sb="4" eb="7">
      <t>キホンブン</t>
    </rPh>
    <rPh sb="8" eb="10">
      <t>ショグウ</t>
    </rPh>
    <phoneticPr fontId="2"/>
  </si>
  <si>
    <t>加算額のうち処遇Ⅰ</t>
    <rPh sb="0" eb="3">
      <t>カサンガク</t>
    </rPh>
    <rPh sb="6" eb="8">
      <t>ショグウ</t>
    </rPh>
    <phoneticPr fontId="2"/>
  </si>
  <si>
    <t>◆変動単価◆変動単価◆変動単価◆変動単価◆変動単価◆変動単価◆</t>
    <rPh sb="1" eb="3">
      <t>ヘンドウ</t>
    </rPh>
    <rPh sb="3" eb="5">
      <t>タンカ</t>
    </rPh>
    <rPh sb="6" eb="8">
      <t>ヘンドウ</t>
    </rPh>
    <rPh sb="8" eb="10">
      <t>タンカ</t>
    </rPh>
    <phoneticPr fontId="2"/>
  </si>
  <si>
    <t>土曜減算のうち
処遇Ⅰ減算額</t>
    <rPh sb="0" eb="2">
      <t>ドヨウ</t>
    </rPh>
    <rPh sb="2" eb="4">
      <t>ゲンサン</t>
    </rPh>
    <rPh sb="8" eb="10">
      <t>ショグウ</t>
    </rPh>
    <rPh sb="11" eb="14">
      <t>ゲンサンガク</t>
    </rPh>
    <phoneticPr fontId="2"/>
  </si>
  <si>
    <t>◆処遇Ⅱ◆</t>
    <rPh sb="1" eb="3">
      <t>ショグウ</t>
    </rPh>
    <phoneticPr fontId="2"/>
  </si>
  <si>
    <t>処遇Ⅱ加算単価</t>
    <rPh sb="0" eb="2">
      <t>ショグウ</t>
    </rPh>
    <rPh sb="3" eb="5">
      <t>カサン</t>
    </rPh>
    <rPh sb="5" eb="7">
      <t>タンカ</t>
    </rPh>
    <phoneticPr fontId="2"/>
  </si>
  <si>
    <t>処遇Ⅱ加算額</t>
    <rPh sb="0" eb="2">
      <t>ショグウ</t>
    </rPh>
    <rPh sb="3" eb="6">
      <t>カサンガク</t>
    </rPh>
    <phoneticPr fontId="2"/>
  </si>
  <si>
    <t>うち基礎分</t>
    <rPh sb="2" eb="5">
      <t>キソブン</t>
    </rPh>
    <phoneticPr fontId="2"/>
  </si>
  <si>
    <t>うち賃金改善分</t>
    <rPh sb="2" eb="4">
      <t>チンギン</t>
    </rPh>
    <rPh sb="4" eb="6">
      <t>カイゼン</t>
    </rPh>
    <rPh sb="6" eb="7">
      <t>ブン</t>
    </rPh>
    <phoneticPr fontId="2"/>
  </si>
  <si>
    <t>月途中入所分</t>
    <rPh sb="0" eb="5">
      <t>ツキトチュウニュウショ</t>
    </rPh>
    <rPh sb="5" eb="6">
      <t>ブン</t>
    </rPh>
    <phoneticPr fontId="2"/>
  </si>
  <si>
    <t>月途中退所分</t>
    <rPh sb="0" eb="3">
      <t>ツキトチュウ</t>
    </rPh>
    <rPh sb="3" eb="5">
      <t>タイショ</t>
    </rPh>
    <rPh sb="5" eb="6">
      <t>ブン</t>
    </rPh>
    <phoneticPr fontId="2"/>
  </si>
  <si>
    <t>月途中入退所合算</t>
    <rPh sb="0" eb="3">
      <t>ツキトチュウ</t>
    </rPh>
    <rPh sb="3" eb="4">
      <t>ニュウ</t>
    </rPh>
    <rPh sb="4" eb="6">
      <t>タイショ</t>
    </rPh>
    <rPh sb="6" eb="8">
      <t>ガッサン</t>
    </rPh>
    <phoneticPr fontId="2"/>
  </si>
  <si>
    <t>◆月途中入退所◆</t>
    <rPh sb="1" eb="4">
      <t>ツキトチュウ</t>
    </rPh>
    <rPh sb="4" eb="7">
      <t>ニュウタイショ</t>
    </rPh>
    <phoneticPr fontId="2"/>
  </si>
  <si>
    <t>(⑥～⑰（⑭を除く。)）</t>
    <rPh sb="7" eb="8">
      <t>ノゾ</t>
    </rPh>
    <phoneticPr fontId="4"/>
  </si>
  <si>
    <t>土曜減算の処遇Ⅰ算出用</t>
    <rPh sb="5" eb="7">
      <t>ショグウ</t>
    </rPh>
    <rPh sb="8" eb="10">
      <t>サンシュツ</t>
    </rPh>
    <rPh sb="10" eb="11">
      <t>ヨウ</t>
    </rPh>
    <phoneticPr fontId="2"/>
  </si>
  <si>
    <t>２月・３月単価</t>
    <rPh sb="1" eb="2">
      <t>ガツ</t>
    </rPh>
    <rPh sb="4" eb="5">
      <t>ガツ</t>
    </rPh>
    <rPh sb="5" eb="7">
      <t>タンカ</t>
    </rPh>
    <phoneticPr fontId="2"/>
  </si>
  <si>
    <t>２月・３月</t>
    <rPh sb="1" eb="2">
      <t>ガツ</t>
    </rPh>
    <rPh sb="4" eb="5">
      <t>ガツ</t>
    </rPh>
    <phoneticPr fontId="2"/>
  </si>
  <si>
    <t>本園</t>
    <rPh sb="0" eb="2">
      <t>ホンエン</t>
    </rPh>
    <phoneticPr fontId="2"/>
  </si>
  <si>
    <t>分園</t>
    <rPh sb="0" eb="2">
      <t>ブンエン</t>
    </rPh>
    <phoneticPr fontId="2"/>
  </si>
  <si>
    <t>園　名</t>
    <rPh sb="0" eb="1">
      <t>エン</t>
    </rPh>
    <rPh sb="2" eb="3">
      <t>ナ</t>
    </rPh>
    <phoneticPr fontId="2"/>
  </si>
  <si>
    <t>合計</t>
    <rPh sb="0" eb="2">
      <t>ゴウケイ</t>
    </rPh>
    <phoneticPr fontId="2"/>
  </si>
  <si>
    <t>合計（副食費加算を除く）</t>
    <rPh sb="0" eb="2">
      <t>ゴウケイ</t>
    </rPh>
    <rPh sb="3" eb="6">
      <t>フクショクヒ</t>
    </rPh>
    <rPh sb="6" eb="8">
      <t>カサン</t>
    </rPh>
    <rPh sb="9" eb="10">
      <t>ノゾ</t>
    </rPh>
    <phoneticPr fontId="2"/>
  </si>
  <si>
    <t>処遇Ⅰ計</t>
    <rPh sb="0" eb="2">
      <t>ショグウ</t>
    </rPh>
    <rPh sb="3" eb="4">
      <t>ケイ</t>
    </rPh>
    <phoneticPr fontId="2"/>
  </si>
  <si>
    <t>基本分計</t>
    <rPh sb="0" eb="2">
      <t>キホン</t>
    </rPh>
    <rPh sb="2" eb="3">
      <t>ブン</t>
    </rPh>
    <rPh sb="3" eb="4">
      <t>ケイ</t>
    </rPh>
    <phoneticPr fontId="2"/>
  </si>
  <si>
    <t>副食費加算計</t>
    <rPh sb="0" eb="3">
      <t>フクショクヒ</t>
    </rPh>
    <rPh sb="3" eb="5">
      <t>カサン</t>
    </rPh>
    <rPh sb="5" eb="6">
      <t>ケイ</t>
    </rPh>
    <phoneticPr fontId="2"/>
  </si>
  <si>
    <r>
      <t>月途中</t>
    </r>
    <r>
      <rPr>
        <sz val="11"/>
        <color rgb="FFFF0000"/>
        <rFont val="メイリオ"/>
        <family val="3"/>
        <charset val="128"/>
      </rPr>
      <t>入所</t>
    </r>
    <r>
      <rPr>
        <sz val="11"/>
        <color theme="1"/>
        <rFont val="メイリオ"/>
        <family val="3"/>
        <charset val="128"/>
      </rPr>
      <t>児童の情報</t>
    </r>
    <rPh sb="0" eb="1">
      <t>ツキ</t>
    </rPh>
    <rPh sb="1" eb="3">
      <t>トチュウ</t>
    </rPh>
    <rPh sb="3" eb="5">
      <t>ニュウショ</t>
    </rPh>
    <rPh sb="5" eb="7">
      <t>ジドウ</t>
    </rPh>
    <rPh sb="8" eb="10">
      <t>ジョウホウ</t>
    </rPh>
    <phoneticPr fontId="2"/>
  </si>
  <si>
    <r>
      <t>月途中</t>
    </r>
    <r>
      <rPr>
        <sz val="11"/>
        <color rgb="FFFF0000"/>
        <rFont val="メイリオ"/>
        <family val="3"/>
        <charset val="128"/>
      </rPr>
      <t>退所</t>
    </r>
    <r>
      <rPr>
        <sz val="11"/>
        <color theme="1"/>
        <rFont val="メイリオ"/>
        <family val="3"/>
        <charset val="128"/>
      </rPr>
      <t>児童の情報</t>
    </r>
    <rPh sb="0" eb="1">
      <t>ツキ</t>
    </rPh>
    <rPh sb="1" eb="3">
      <t>トチュウ</t>
    </rPh>
    <rPh sb="3" eb="5">
      <t>タイショ</t>
    </rPh>
    <rPh sb="5" eb="7">
      <t>ジドウ</t>
    </rPh>
    <rPh sb="8" eb="10">
      <t>ジョウホウ</t>
    </rPh>
    <phoneticPr fontId="2"/>
  </si>
  <si>
    <r>
      <t xml:space="preserve">副食費徴収
免除加算
</t>
    </r>
    <r>
      <rPr>
        <sz val="6"/>
        <rFont val="ＭＳ ゴシック"/>
        <family val="3"/>
        <charset val="128"/>
      </rPr>
      <t>※副食費の徴収が免除される子どもの単価に加算</t>
    </r>
    <rPh sb="0" eb="3">
      <t>フクショクヒ</t>
    </rPh>
    <rPh sb="3" eb="5">
      <t>チョウシュウ</t>
    </rPh>
    <rPh sb="6" eb="8">
      <t>メンジョ</t>
    </rPh>
    <rPh sb="8" eb="10">
      <t>カサン</t>
    </rPh>
    <phoneticPr fontId="2"/>
  </si>
  <si>
    <r>
      <rPr>
        <sz val="12"/>
        <color rgb="FFFF0000"/>
        <rFont val="メイリオ"/>
        <family val="3"/>
        <charset val="128"/>
      </rPr>
      <t>に</t>
    </r>
    <r>
      <rPr>
        <b/>
        <u/>
        <sz val="14"/>
        <color rgb="FFFF0000"/>
        <rFont val="メイリオ"/>
        <family val="3"/>
        <charset val="128"/>
      </rPr>
      <t>月初</t>
    </r>
    <r>
      <rPr>
        <sz val="10"/>
        <color rgb="FFFF0000"/>
        <rFont val="メイリオ"/>
        <family val="3"/>
        <charset val="128"/>
      </rPr>
      <t>在籍児童数を年齢別・月別・認定別に入力してください。</t>
    </r>
    <rPh sb="1" eb="3">
      <t>ゲッショ</t>
    </rPh>
    <rPh sb="3" eb="5">
      <t>ザイセキ</t>
    </rPh>
    <rPh sb="5" eb="7">
      <t>ジドウ</t>
    </rPh>
    <rPh sb="7" eb="8">
      <t>スウ</t>
    </rPh>
    <rPh sb="9" eb="11">
      <t>ネンレイ</t>
    </rPh>
    <rPh sb="11" eb="12">
      <t>ベツ</t>
    </rPh>
    <rPh sb="13" eb="15">
      <t>ツキベツ</t>
    </rPh>
    <rPh sb="16" eb="18">
      <t>ニンテイ</t>
    </rPh>
    <rPh sb="18" eb="19">
      <t>ベツ</t>
    </rPh>
    <rPh sb="20" eb="22">
      <t>ニュウリョク</t>
    </rPh>
    <phoneticPr fontId="2"/>
  </si>
  <si>
    <t>【月別委託費一覧】</t>
    <rPh sb="1" eb="3">
      <t>ツキベツ</t>
    </rPh>
    <rPh sb="3" eb="6">
      <t>イタクヒ</t>
    </rPh>
    <rPh sb="6" eb="8">
      <t>イチラン</t>
    </rPh>
    <phoneticPr fontId="2"/>
  </si>
  <si>
    <t>【市町村別・月別委託費一覧】</t>
    <rPh sb="1" eb="5">
      <t>シチョウソンベツ</t>
    </rPh>
    <rPh sb="6" eb="8">
      <t>ツキベツ</t>
    </rPh>
    <rPh sb="8" eb="11">
      <t>イタクヒ</t>
    </rPh>
    <rPh sb="11" eb="13">
      <t>イチラン</t>
    </rPh>
    <phoneticPr fontId="2"/>
  </si>
  <si>
    <t>高齢者等
活躍促進加算</t>
    <rPh sb="0" eb="3">
      <t>コウレイシャ</t>
    </rPh>
    <rPh sb="3" eb="4">
      <t>トウ</t>
    </rPh>
    <rPh sb="5" eb="7">
      <t>カツヤク</t>
    </rPh>
    <rPh sb="7" eb="9">
      <t>ソクシン</t>
    </rPh>
    <rPh sb="9" eb="11">
      <t>カサン</t>
    </rPh>
    <phoneticPr fontId="2"/>
  </si>
  <si>
    <t>AJ列近辺から参照</t>
    <rPh sb="2" eb="3">
      <t>レツ</t>
    </rPh>
    <rPh sb="3" eb="5">
      <t>キンペン</t>
    </rPh>
    <rPh sb="7" eb="9">
      <t>サンショウ</t>
    </rPh>
    <phoneticPr fontId="2"/>
  </si>
  <si>
    <t>←1%単価を算出して端数切捨て後に加算率を掛けている</t>
    <rPh sb="3" eb="5">
      <t>タンカ</t>
    </rPh>
    <rPh sb="6" eb="8">
      <t>サンシュツ</t>
    </rPh>
    <rPh sb="10" eb="14">
      <t>ハスウキリス</t>
    </rPh>
    <rPh sb="15" eb="16">
      <t>ゴ</t>
    </rPh>
    <rPh sb="17" eb="20">
      <t>カサンリツ</t>
    </rPh>
    <rPh sb="21" eb="22">
      <t>カ</t>
    </rPh>
    <phoneticPr fontId="2"/>
  </si>
  <si>
    <t>←園児の居住自治体をご記入ください</t>
    <rPh sb="1" eb="3">
      <t>エンジ</t>
    </rPh>
    <rPh sb="4" eb="6">
      <t>キョジュウ</t>
    </rPh>
    <rPh sb="6" eb="9">
      <t>ジチタイ</t>
    </rPh>
    <rPh sb="11" eb="13">
      <t>キニュウ</t>
    </rPh>
    <phoneticPr fontId="2"/>
  </si>
  <si>
    <t>２月</t>
    <phoneticPr fontId="2"/>
  </si>
  <si>
    <t>←手打ちでも入力できます</t>
    <rPh sb="1" eb="3">
      <t>テウ</t>
    </rPh>
    <rPh sb="6" eb="8">
      <t>ニュウリョク</t>
    </rPh>
    <phoneticPr fontId="2"/>
  </si>
  <si>
    <t>計算結果（33・34行目）を確認し、A・Bの対象人数が自治体から認められた人数と異なる場合、H33：H34セルに直接入力してください</t>
    <rPh sb="0" eb="2">
      <t>ケイサン</t>
    </rPh>
    <rPh sb="2" eb="4">
      <t>ケッカ</t>
    </rPh>
    <rPh sb="10" eb="12">
      <t>ギョウメ</t>
    </rPh>
    <rPh sb="14" eb="16">
      <t>カクニン</t>
    </rPh>
    <rPh sb="27" eb="30">
      <t>ジチタイ</t>
    </rPh>
    <rPh sb="32" eb="33">
      <t>ミト</t>
    </rPh>
    <rPh sb="37" eb="39">
      <t>ニンズウ</t>
    </rPh>
    <rPh sb="40" eb="41">
      <t>コト</t>
    </rPh>
    <rPh sb="43" eb="45">
      <t>バアイ</t>
    </rPh>
    <rPh sb="56" eb="58">
      <t>チョクセツ</t>
    </rPh>
    <rPh sb="58" eb="60">
      <t>ニュウリョク</t>
    </rPh>
    <phoneticPr fontId="2"/>
  </si>
  <si>
    <t>以上児</t>
    <rPh sb="0" eb="2">
      <t>イジョウ</t>
    </rPh>
    <rPh sb="2" eb="3">
      <t>ジ</t>
    </rPh>
    <phoneticPr fontId="2"/>
  </si>
  <si>
    <t>未満児</t>
    <rPh sb="0" eb="2">
      <t>ミマン</t>
    </rPh>
    <rPh sb="2" eb="3">
      <t>ジ</t>
    </rPh>
    <phoneticPr fontId="2"/>
  </si>
  <si>
    <t>【事業費】</t>
    <rPh sb="1" eb="4">
      <t>ジギョウヒ</t>
    </rPh>
    <phoneticPr fontId="2"/>
  </si>
  <si>
    <t>【管理費】</t>
    <rPh sb="1" eb="4">
      <t>カンリヒ</t>
    </rPh>
    <phoneticPr fontId="2"/>
  </si>
  <si>
    <t>～20人</t>
    <rPh sb="3" eb="4">
      <t>ニン</t>
    </rPh>
    <phoneticPr fontId="32"/>
  </si>
  <si>
    <t>171人～</t>
    <phoneticPr fontId="2"/>
  </si>
  <si>
    <t>短</t>
    <rPh sb="0" eb="1">
      <t>ミジカ</t>
    </rPh>
    <phoneticPr fontId="2"/>
  </si>
  <si>
    <t>【月初基本分】</t>
    <rPh sb="1" eb="3">
      <t>ゲッショ</t>
    </rPh>
    <rPh sb="3" eb="5">
      <t>キホン</t>
    </rPh>
    <rPh sb="5" eb="6">
      <t>ブン</t>
    </rPh>
    <phoneticPr fontId="2"/>
  </si>
  <si>
    <t>【処遇改善等加算分】</t>
    <rPh sb="1" eb="3">
      <t>ショグウ</t>
    </rPh>
    <rPh sb="3" eb="5">
      <t>カイゼン</t>
    </rPh>
    <rPh sb="5" eb="6">
      <t>トウ</t>
    </rPh>
    <rPh sb="6" eb="8">
      <t>カサン</t>
    </rPh>
    <rPh sb="8" eb="9">
      <t>ブン</t>
    </rPh>
    <phoneticPr fontId="2"/>
  </si>
  <si>
    <t>当初分</t>
    <rPh sb="0" eb="2">
      <t>トウショ</t>
    </rPh>
    <rPh sb="2" eb="3">
      <t>ブン</t>
    </rPh>
    <phoneticPr fontId="2"/>
  </si>
  <si>
    <t>年間児童数</t>
    <rPh sb="0" eb="2">
      <t>ネンカン</t>
    </rPh>
    <rPh sb="2" eb="5">
      <t>ジドウスウ</t>
    </rPh>
    <phoneticPr fontId="2"/>
  </si>
  <si>
    <t>うち事業費</t>
    <rPh sb="2" eb="5">
      <t>ジギョウヒ</t>
    </rPh>
    <phoneticPr fontId="2"/>
  </si>
  <si>
    <t>うち管理費</t>
    <rPh sb="2" eb="5">
      <t>カンリヒ</t>
    </rPh>
    <phoneticPr fontId="2"/>
  </si>
  <si>
    <t>うち人件費</t>
    <rPh sb="2" eb="5">
      <t>ジンケンヒ</t>
    </rPh>
    <phoneticPr fontId="2"/>
  </si>
  <si>
    <t>人件費総額</t>
    <rPh sb="0" eb="3">
      <t>ジンケンヒ</t>
    </rPh>
    <rPh sb="3" eb="5">
      <t>ソウガク</t>
    </rPh>
    <phoneticPr fontId="2"/>
  </si>
  <si>
    <t>事業費総額</t>
    <rPh sb="0" eb="5">
      <t>ジギョウヒソウガク</t>
    </rPh>
    <phoneticPr fontId="2"/>
  </si>
  <si>
    <t>管理費総額</t>
    <rPh sb="0" eb="5">
      <t>カンリヒソウガク</t>
    </rPh>
    <phoneticPr fontId="2"/>
  </si>
  <si>
    <t>Ⅰ</t>
    <phoneticPr fontId="2"/>
  </si>
  <si>
    <t>人件費分</t>
    <rPh sb="0" eb="4">
      <t>ジンケンヒブン</t>
    </rPh>
    <phoneticPr fontId="2"/>
  </si>
  <si>
    <t>副食費対象</t>
    <rPh sb="0" eb="3">
      <t>フクショクヒ</t>
    </rPh>
    <rPh sb="3" eb="5">
      <t>タイショウ</t>
    </rPh>
    <phoneticPr fontId="2"/>
  </si>
  <si>
    <t>支弁額</t>
    <rPh sb="0" eb="3">
      <t>シベンガク</t>
    </rPh>
    <phoneticPr fontId="2"/>
  </si>
  <si>
    <t>４歳以上児</t>
    <rPh sb="1" eb="2">
      <t>サイ</t>
    </rPh>
    <rPh sb="2" eb="4">
      <t>イジョウ</t>
    </rPh>
    <rPh sb="4" eb="5">
      <t>ジ</t>
    </rPh>
    <phoneticPr fontId="2"/>
  </si>
  <si>
    <t>管理費分</t>
    <rPh sb="0" eb="4">
      <t>カンリヒブン</t>
    </rPh>
    <phoneticPr fontId="2"/>
  </si>
  <si>
    <t>基本単価分</t>
    <rPh sb="0" eb="5">
      <t>キホンタンカブン</t>
    </rPh>
    <phoneticPr fontId="2"/>
  </si>
  <si>
    <t>３歳児</t>
    <rPh sb="1" eb="3">
      <t>サイジ</t>
    </rPh>
    <phoneticPr fontId="2"/>
  </si>
  <si>
    <t>相当額</t>
    <rPh sb="0" eb="3">
      <t>ソウトウガク</t>
    </rPh>
    <phoneticPr fontId="2"/>
  </si>
  <si>
    <t>１・２歳児</t>
    <rPh sb="3" eb="5">
      <t>サイジ</t>
    </rPh>
    <phoneticPr fontId="2"/>
  </si>
  <si>
    <t>０歳児</t>
    <rPh sb="1" eb="2">
      <t>サイ</t>
    </rPh>
    <phoneticPr fontId="2"/>
  </si>
  <si>
    <t>改正分</t>
    <rPh sb="0" eb="3">
      <t>カイセイブン</t>
    </rPh>
    <phoneticPr fontId="2"/>
  </si>
  <si>
    <t>事業費・管理費・人件費それぞれで人数掛けて、委託費の総額と一致するかどうか確認。</t>
    <phoneticPr fontId="2"/>
  </si>
  <si>
    <t>ふたつのアプローチで金額一致を確認すること！</t>
    <rPh sb="10" eb="12">
      <t>キンガク</t>
    </rPh>
    <rPh sb="12" eb="14">
      <t>イッチ</t>
    </rPh>
    <rPh sb="15" eb="17">
      <t>カクニン</t>
    </rPh>
    <phoneticPr fontId="2"/>
  </si>
  <si>
    <t>本園・本園・本園・本園・本園・本園</t>
    <rPh sb="0" eb="1">
      <t>ホン</t>
    </rPh>
    <rPh sb="1" eb="2">
      <t>エン</t>
    </rPh>
    <phoneticPr fontId="2"/>
  </si>
  <si>
    <t>分園・分園・分園・分園・分園・分園</t>
    <rPh sb="0" eb="1">
      <t>ブン</t>
    </rPh>
    <rPh sb="1" eb="2">
      <t>エン</t>
    </rPh>
    <phoneticPr fontId="2"/>
  </si>
  <si>
    <t>処遇改善Ⅱ</t>
    <rPh sb="0" eb="4">
      <t>ショグウカイゼン</t>
    </rPh>
    <phoneticPr fontId="2"/>
  </si>
  <si>
    <t>人件費</t>
    <rPh sb="0" eb="3">
      <t>ジンケンヒ</t>
    </rPh>
    <phoneticPr fontId="2"/>
  </si>
  <si>
    <t>【本園月途中入所分】</t>
    <rPh sb="1" eb="3">
      <t>ホンエン</t>
    </rPh>
    <rPh sb="3" eb="6">
      <t>ツキトチュウ</t>
    </rPh>
    <rPh sb="6" eb="8">
      <t>ニュウショ</t>
    </rPh>
    <rPh sb="8" eb="9">
      <t>ブン</t>
    </rPh>
    <phoneticPr fontId="2"/>
  </si>
  <si>
    <t>【分園月途中入所分】</t>
    <rPh sb="1" eb="3">
      <t>ブンエン</t>
    </rPh>
    <rPh sb="3" eb="6">
      <t>ツキトチュウ</t>
    </rPh>
    <rPh sb="6" eb="8">
      <t>ニュウショ</t>
    </rPh>
    <rPh sb="8" eb="9">
      <t>ブン</t>
    </rPh>
    <phoneticPr fontId="2"/>
  </si>
  <si>
    <t>副食費徴収免除加算</t>
    <rPh sb="0" eb="3">
      <t>フクショクヒ</t>
    </rPh>
    <rPh sb="3" eb="5">
      <t>チョウシュウ</t>
    </rPh>
    <rPh sb="5" eb="7">
      <t>メンジョ</t>
    </rPh>
    <rPh sb="7" eb="9">
      <t>カサン</t>
    </rPh>
    <phoneticPr fontId="2"/>
  </si>
  <si>
    <t>副食費徴収免除加算</t>
    <rPh sb="0" eb="3">
      <t>フクショクヒ</t>
    </rPh>
    <rPh sb="3" eb="9">
      <t>チョウシュウメ</t>
    </rPh>
    <phoneticPr fontId="2"/>
  </si>
  <si>
    <t>4月</t>
    <rPh sb="1" eb="2">
      <t>ガツ</t>
    </rPh>
    <phoneticPr fontId="2"/>
  </si>
  <si>
    <t>合計</t>
    <rPh sb="0" eb="2">
      <t>ゴウケイ</t>
    </rPh>
    <phoneticPr fontId="2"/>
  </si>
  <si>
    <t>本園</t>
    <rPh sb="0" eb="2">
      <t>ホンエン</t>
    </rPh>
    <phoneticPr fontId="2"/>
  </si>
  <si>
    <t>分園</t>
    <rPh sb="0" eb="2">
      <t>ブンエン</t>
    </rPh>
    <phoneticPr fontId="2"/>
  </si>
  <si>
    <t>分園</t>
    <rPh sb="0" eb="2">
      <t>ブ</t>
    </rPh>
    <phoneticPr fontId="2"/>
  </si>
  <si>
    <t>本園</t>
    <rPh sb="0" eb="2">
      <t>ホ</t>
    </rPh>
    <phoneticPr fontId="2"/>
  </si>
  <si>
    <t>人件費</t>
    <rPh sb="0" eb="3">
      <t>ジンケンヒ</t>
    </rPh>
    <phoneticPr fontId="2"/>
  </si>
  <si>
    <t>事業費</t>
    <rPh sb="0" eb="3">
      <t>ジギョウヒ</t>
    </rPh>
    <phoneticPr fontId="2"/>
  </si>
  <si>
    <t>管理費</t>
    <rPh sb="0" eb="3">
      <t>カンリヒ</t>
    </rPh>
    <phoneticPr fontId="2"/>
  </si>
  <si>
    <t>加算率(合計)</t>
    <rPh sb="0" eb="3">
      <t>カサンリツ</t>
    </rPh>
    <rPh sb="4" eb="6">
      <t>ゴウケイ</t>
    </rPh>
    <phoneticPr fontId="2"/>
  </si>
  <si>
    <t>管理費分</t>
    <rPh sb="0" eb="3">
      <t>カンリヒ</t>
    </rPh>
    <rPh sb="3" eb="4">
      <t>ブン</t>
    </rPh>
    <phoneticPr fontId="2"/>
  </si>
  <si>
    <t>児童数</t>
    <rPh sb="0" eb="3">
      <t>ジドウスウ</t>
    </rPh>
    <phoneticPr fontId="2"/>
  </si>
  <si>
    <t>休日保育加算</t>
  </si>
  <si>
    <t>主任保育士専任加算</t>
  </si>
  <si>
    <t>療育支援加算Ａ</t>
  </si>
  <si>
    <t>療育支援加算Ｂ</t>
  </si>
  <si>
    <t>事務職員雇上費加算</t>
  </si>
  <si>
    <t>栄養管理加算Ａ</t>
  </si>
  <si>
    <t>栄養管理加算Ｂ</t>
  </si>
  <si>
    <t>本園・児童数</t>
    <rPh sb="0" eb="2">
      <t>ホンエン</t>
    </rPh>
    <rPh sb="3" eb="5">
      <t>ジドウ</t>
    </rPh>
    <rPh sb="5" eb="6">
      <t>スウ</t>
    </rPh>
    <phoneticPr fontId="2"/>
  </si>
  <si>
    <t>分園・児童数</t>
    <rPh sb="0" eb="2">
      <t>ブンエン</t>
    </rPh>
    <rPh sb="3" eb="5">
      <t>ジドウ</t>
    </rPh>
    <rPh sb="5" eb="6">
      <t>スウ</t>
    </rPh>
    <phoneticPr fontId="2"/>
  </si>
  <si>
    <t>事業費分</t>
    <rPh sb="0" eb="2">
      <t>ジギョウ</t>
    </rPh>
    <rPh sb="2" eb="3">
      <t>ヒ</t>
    </rPh>
    <rPh sb="3" eb="4">
      <t>ブン</t>
    </rPh>
    <phoneticPr fontId="2"/>
  </si>
  <si>
    <t>管理費分</t>
    <rPh sb="0" eb="2">
      <t>カンリ</t>
    </rPh>
    <rPh sb="2" eb="3">
      <t>ヒ</t>
    </rPh>
    <rPh sb="3" eb="4">
      <t>ブン</t>
    </rPh>
    <phoneticPr fontId="2"/>
  </si>
  <si>
    <t>人件費分</t>
    <rPh sb="0" eb="2">
      <t>ジンケン</t>
    </rPh>
    <rPh sb="2" eb="3">
      <t>ヒ</t>
    </rPh>
    <rPh sb="3" eb="4">
      <t>ブン</t>
    </rPh>
    <phoneticPr fontId="2"/>
  </si>
  <si>
    <t>処遇改善単価</t>
    <rPh sb="0" eb="2">
      <t>ショグウ</t>
    </rPh>
    <rPh sb="2" eb="4">
      <t>カイゼン</t>
    </rPh>
    <rPh sb="4" eb="6">
      <t>タンカ</t>
    </rPh>
    <phoneticPr fontId="2"/>
  </si>
  <si>
    <t>１％分</t>
    <rPh sb="2" eb="3">
      <t>ブン</t>
    </rPh>
    <phoneticPr fontId="2"/>
  </si>
  <si>
    <t>単価内基本分内訳</t>
    <rPh sb="0" eb="3">
      <t>タンカナイ</t>
    </rPh>
    <rPh sb="3" eb="5">
      <t>キホン</t>
    </rPh>
    <rPh sb="5" eb="6">
      <t>ブン</t>
    </rPh>
    <rPh sb="6" eb="8">
      <t>ウチワケ</t>
    </rPh>
    <phoneticPr fontId="2"/>
  </si>
  <si>
    <t>事業費額</t>
    <rPh sb="0" eb="2">
      <t>ジギョウ</t>
    </rPh>
    <rPh sb="2" eb="3">
      <t>ヒ</t>
    </rPh>
    <rPh sb="3" eb="4">
      <t>ガク</t>
    </rPh>
    <phoneticPr fontId="2"/>
  </si>
  <si>
    <t>管理費額</t>
    <rPh sb="0" eb="2">
      <t>カンリ</t>
    </rPh>
    <rPh sb="2" eb="3">
      <t>ヒ</t>
    </rPh>
    <rPh sb="3" eb="4">
      <t>ガク</t>
    </rPh>
    <phoneticPr fontId="2"/>
  </si>
  <si>
    <t>人件費額</t>
    <rPh sb="0" eb="3">
      <t>ジンケンヒ</t>
    </rPh>
    <rPh sb="3" eb="4">
      <t>ガク</t>
    </rPh>
    <phoneticPr fontId="2"/>
  </si>
  <si>
    <t>月初在籍児童分</t>
    <rPh sb="0" eb="2">
      <t>ゲッショ</t>
    </rPh>
    <rPh sb="2" eb="4">
      <t>ザイセキ</t>
    </rPh>
    <rPh sb="4" eb="7">
      <t>ジドウブン</t>
    </rPh>
    <phoneticPr fontId="2"/>
  </si>
  <si>
    <t>【本園分】</t>
    <rPh sb="1" eb="3">
      <t>ホンエン</t>
    </rPh>
    <rPh sb="3" eb="4">
      <t>ブン</t>
    </rPh>
    <phoneticPr fontId="2"/>
  </si>
  <si>
    <t>【分園分】</t>
    <rPh sb="1" eb="3">
      <t>ブンエン</t>
    </rPh>
    <rPh sb="3" eb="4">
      <t>ブン</t>
    </rPh>
    <phoneticPr fontId="2"/>
  </si>
  <si>
    <t>基本分うち事業費</t>
    <rPh sb="0" eb="2">
      <t>キホン</t>
    </rPh>
    <rPh sb="2" eb="3">
      <t>ブン</t>
    </rPh>
    <rPh sb="5" eb="7">
      <t>ジギョウ</t>
    </rPh>
    <rPh sb="7" eb="8">
      <t>ヒ</t>
    </rPh>
    <phoneticPr fontId="2"/>
  </si>
  <si>
    <t>基本分うち管理費</t>
    <rPh sb="0" eb="3">
      <t>キ</t>
    </rPh>
    <rPh sb="5" eb="7">
      <t>カンリ</t>
    </rPh>
    <rPh sb="7" eb="8">
      <t>ヒ</t>
    </rPh>
    <phoneticPr fontId="2"/>
  </si>
  <si>
    <t>基本分うち人件費</t>
    <rPh sb="0" eb="3">
      <t>キ</t>
    </rPh>
    <rPh sb="5" eb="7">
      <t>ジンケン</t>
    </rPh>
    <rPh sb="7" eb="8">
      <t>ヒ</t>
    </rPh>
    <phoneticPr fontId="2"/>
  </si>
  <si>
    <t>休日保育加算の内訳◆休日保育加算の内訳◆休日保育加算の内訳◆休日保育加算の内訳</t>
    <rPh sb="20" eb="24">
      <t>キュウジツホイク</t>
    </rPh>
    <rPh sb="24" eb="26">
      <t>カサン</t>
    </rPh>
    <rPh sb="27" eb="29">
      <t>ウチワ</t>
    </rPh>
    <phoneticPr fontId="2"/>
  </si>
  <si>
    <t>加算率</t>
    <rPh sb="0" eb="3">
      <t>カサンリツ</t>
    </rPh>
    <phoneticPr fontId="2"/>
  </si>
  <si>
    <t>3歳以上児</t>
    <rPh sb="1" eb="2">
      <t>サイ</t>
    </rPh>
    <rPh sb="2" eb="5">
      <t>イジョウジ</t>
    </rPh>
    <phoneticPr fontId="2"/>
  </si>
  <si>
    <t>3歳未満児</t>
    <rPh sb="1" eb="2">
      <t>サイ</t>
    </rPh>
    <rPh sb="4" eb="5">
      <t>ジ</t>
    </rPh>
    <phoneticPr fontId="2"/>
  </si>
  <si>
    <t>処遇Ⅰ(管理費除く)</t>
    <phoneticPr fontId="2"/>
  </si>
  <si>
    <t>処遇Ⅰ(管理費)</t>
    <rPh sb="0" eb="3">
      <t>ショグウ1</t>
    </rPh>
    <rPh sb="4" eb="7">
      <t>カン</t>
    </rPh>
    <phoneticPr fontId="2"/>
  </si>
  <si>
    <t>本園</t>
    <rPh sb="0" eb="2">
      <t>ホンエン</t>
    </rPh>
    <phoneticPr fontId="2"/>
  </si>
  <si>
    <t>分園</t>
    <rPh sb="0" eb="2">
      <t>ブンエン</t>
    </rPh>
    <phoneticPr fontId="2"/>
  </si>
  <si>
    <t>切り捨てなし</t>
    <rPh sb="0" eb="1">
      <t>キ</t>
    </rPh>
    <rPh sb="2" eb="3">
      <t>ス</t>
    </rPh>
    <phoneticPr fontId="2"/>
  </si>
  <si>
    <t>人件費</t>
    <rPh sb="0" eb="3">
      <t>ジンケンヒ</t>
    </rPh>
    <phoneticPr fontId="2"/>
  </si>
  <si>
    <t>事業費</t>
    <rPh sb="0" eb="3">
      <t>ジギョウヒ</t>
    </rPh>
    <phoneticPr fontId="2"/>
  </si>
  <si>
    <t>管理費</t>
    <rPh sb="0" eb="3">
      <t>カンリヒ</t>
    </rPh>
    <phoneticPr fontId="2"/>
  </si>
  <si>
    <t>単価</t>
    <rPh sb="0" eb="2">
      <t>タンカ</t>
    </rPh>
    <phoneticPr fontId="2"/>
  </si>
  <si>
    <t>処遇改善等加算Ⅰ</t>
    <rPh sb="0" eb="7">
      <t>ショグウカイゼ</t>
    </rPh>
    <phoneticPr fontId="2"/>
  </si>
  <si>
    <t>管理費分</t>
    <rPh sb="0" eb="3">
      <t>カンリヒ</t>
    </rPh>
    <rPh sb="3" eb="4">
      <t>ブン</t>
    </rPh>
    <phoneticPr fontId="2"/>
  </si>
  <si>
    <t>3歳児配置改善加算</t>
    <rPh sb="1" eb="3">
      <t>サイジ</t>
    </rPh>
    <rPh sb="3" eb="5">
      <t>ハイチ</t>
    </rPh>
    <rPh sb="5" eb="7">
      <t>カイゼン</t>
    </rPh>
    <rPh sb="7" eb="9">
      <t>カサン</t>
    </rPh>
    <phoneticPr fontId="2"/>
  </si>
  <si>
    <t>人件費分</t>
    <rPh sb="0" eb="3">
      <t>ジンケンヒ</t>
    </rPh>
    <rPh sb="3" eb="4">
      <t>ブン</t>
    </rPh>
    <phoneticPr fontId="2"/>
  </si>
  <si>
    <t>基本分</t>
    <rPh sb="0" eb="2">
      <t>キホン</t>
    </rPh>
    <rPh sb="2" eb="3">
      <t>ブン</t>
    </rPh>
    <phoneticPr fontId="2"/>
  </si>
  <si>
    <t>事業費分</t>
    <rPh sb="0" eb="3">
      <t>ジギョウヒ</t>
    </rPh>
    <rPh sb="3" eb="4">
      <t>ブン</t>
    </rPh>
    <phoneticPr fontId="2"/>
  </si>
  <si>
    <t>夜間保育加算</t>
    <rPh sb="0" eb="2">
      <t>ヤカン</t>
    </rPh>
    <rPh sb="2" eb="4">
      <t>ホイク</t>
    </rPh>
    <rPh sb="4" eb="6">
      <t>カサン</t>
    </rPh>
    <phoneticPr fontId="2"/>
  </si>
  <si>
    <t>相当額</t>
    <rPh sb="0" eb="3">
      <t>ソウトウガ</t>
    </rPh>
    <phoneticPr fontId="2"/>
  </si>
  <si>
    <t>相当額</t>
    <rPh sb="0" eb="3">
      <t>ソウトウ</t>
    </rPh>
    <phoneticPr fontId="2"/>
  </si>
  <si>
    <t>減価償却費加算</t>
    <rPh sb="0" eb="5">
      <t>ゲンカショウ</t>
    </rPh>
    <rPh sb="5" eb="7">
      <t>カサン</t>
    </rPh>
    <phoneticPr fontId="2"/>
  </si>
  <si>
    <t>賃借料加算</t>
    <rPh sb="0" eb="3">
      <t>チンシャクリョウ</t>
    </rPh>
    <rPh sb="3" eb="5">
      <t>カサン</t>
    </rPh>
    <phoneticPr fontId="2"/>
  </si>
  <si>
    <t>チーム保育推進加算</t>
    <rPh sb="3" eb="5">
      <t>ホイク</t>
    </rPh>
    <rPh sb="5" eb="7">
      <t>スイシン</t>
    </rPh>
    <rPh sb="7" eb="9">
      <t>カサン</t>
    </rPh>
    <phoneticPr fontId="2"/>
  </si>
  <si>
    <t>冷暖房費加算</t>
    <rPh sb="0" eb="4">
      <t>レイダンボウヒ</t>
    </rPh>
    <rPh sb="4" eb="6">
      <t>カサン</t>
    </rPh>
    <phoneticPr fontId="2"/>
  </si>
  <si>
    <t>副食費徴収免除加算</t>
    <rPh sb="0" eb="3">
      <t>フクショクヒ</t>
    </rPh>
    <rPh sb="3" eb="9">
      <t>チョウシュ</t>
    </rPh>
    <phoneticPr fontId="2"/>
  </si>
  <si>
    <t>標準時間</t>
    <rPh sb="0" eb="4">
      <t>ヒョウジュンジカン</t>
    </rPh>
    <phoneticPr fontId="2"/>
  </si>
  <si>
    <t>短時間</t>
    <rPh sb="0" eb="3">
      <t>タンジカン</t>
    </rPh>
    <phoneticPr fontId="2"/>
  </si>
  <si>
    <t>標準時間</t>
    <rPh sb="0" eb="4">
      <t>ヒョウ</t>
    </rPh>
    <phoneticPr fontId="2"/>
  </si>
  <si>
    <t>あ</t>
  </si>
  <si>
    <t>あ</t>
    <phoneticPr fontId="2"/>
  </si>
  <si>
    <t>い</t>
  </si>
  <si>
    <t>い</t>
    <phoneticPr fontId="2"/>
  </si>
  <si>
    <t>う</t>
  </si>
  <si>
    <t>う</t>
    <phoneticPr fontId="2"/>
  </si>
  <si>
    <t>え</t>
  </si>
  <si>
    <t>え</t>
    <phoneticPr fontId="2"/>
  </si>
  <si>
    <t>お</t>
  </si>
  <si>
    <t>お</t>
    <phoneticPr fontId="2"/>
  </si>
  <si>
    <t>か</t>
  </si>
  <si>
    <t>か</t>
    <phoneticPr fontId="2"/>
  </si>
  <si>
    <t>き</t>
  </si>
  <si>
    <t>き</t>
    <phoneticPr fontId="2"/>
  </si>
  <si>
    <t>く</t>
  </si>
  <si>
    <t>く</t>
    <phoneticPr fontId="2"/>
  </si>
  <si>
    <t>け</t>
  </si>
  <si>
    <t>け</t>
    <phoneticPr fontId="2"/>
  </si>
  <si>
    <t>こ</t>
  </si>
  <si>
    <t>こ</t>
    <phoneticPr fontId="2"/>
  </si>
  <si>
    <t>さ</t>
  </si>
  <si>
    <t>さ</t>
    <phoneticPr fontId="2"/>
  </si>
  <si>
    <t>し</t>
    <phoneticPr fontId="2"/>
  </si>
  <si>
    <t>す</t>
    <phoneticPr fontId="2"/>
  </si>
  <si>
    <t>せ</t>
    <phoneticPr fontId="2"/>
  </si>
  <si>
    <t>そ</t>
    <phoneticPr fontId="2"/>
  </si>
  <si>
    <t>た</t>
    <phoneticPr fontId="2"/>
  </si>
  <si>
    <t>ち</t>
    <phoneticPr fontId="2"/>
  </si>
  <si>
    <t>つ</t>
    <phoneticPr fontId="2"/>
  </si>
  <si>
    <t>て</t>
    <phoneticPr fontId="2"/>
  </si>
  <si>
    <t>と</t>
    <phoneticPr fontId="2"/>
  </si>
  <si>
    <t>な</t>
    <phoneticPr fontId="2"/>
  </si>
  <si>
    <t>に</t>
    <phoneticPr fontId="2"/>
  </si>
  <si>
    <t>ぬ</t>
    <phoneticPr fontId="2"/>
  </si>
  <si>
    <t>ね</t>
    <phoneticPr fontId="2"/>
  </si>
  <si>
    <t>の</t>
    <phoneticPr fontId="2"/>
  </si>
  <si>
    <t>は</t>
    <phoneticPr fontId="2"/>
  </si>
  <si>
    <t>ひ</t>
    <phoneticPr fontId="2"/>
  </si>
  <si>
    <t>ふ</t>
    <phoneticPr fontId="2"/>
  </si>
  <si>
    <t>へ</t>
    <phoneticPr fontId="2"/>
  </si>
  <si>
    <t>施設長未設置の減算</t>
    <rPh sb="0" eb="6">
      <t>シセツチョウミセッチ</t>
    </rPh>
    <rPh sb="7" eb="9">
      <t>ゲンサン</t>
    </rPh>
    <phoneticPr fontId="2"/>
  </si>
  <si>
    <t>土曜日閉所の減算</t>
    <rPh sb="0" eb="5">
      <t>ドヨウビヘイショ</t>
    </rPh>
    <rPh sb="6" eb="8">
      <t>ゲンサン</t>
    </rPh>
    <phoneticPr fontId="2"/>
  </si>
  <si>
    <t>恒常的定員超過の減算</t>
    <rPh sb="0" eb="3">
      <t>コウジョウテキ</t>
    </rPh>
    <rPh sb="3" eb="7">
      <t>テイインチョウカ</t>
    </rPh>
    <rPh sb="8" eb="10">
      <t>ゲンサン</t>
    </rPh>
    <phoneticPr fontId="2"/>
  </si>
  <si>
    <t>分園の減算</t>
    <rPh sb="0" eb="2">
      <t>ブンエン</t>
    </rPh>
    <rPh sb="3" eb="5">
      <t>ゲンサン</t>
    </rPh>
    <phoneticPr fontId="2"/>
  </si>
  <si>
    <r>
      <t>【本園月途中</t>
    </r>
    <r>
      <rPr>
        <b/>
        <sz val="10"/>
        <color rgb="FFFF0000"/>
        <rFont val="游ゴシック"/>
        <family val="3"/>
        <charset val="128"/>
        <scheme val="minor"/>
      </rPr>
      <t>退所</t>
    </r>
    <r>
      <rPr>
        <b/>
        <sz val="10"/>
        <color theme="1"/>
        <rFont val="游ゴシック"/>
        <family val="3"/>
        <charset val="128"/>
        <scheme val="minor"/>
      </rPr>
      <t>分】</t>
    </r>
    <rPh sb="1" eb="3">
      <t>ホンエン</t>
    </rPh>
    <rPh sb="3" eb="6">
      <t>ツキトチュウ</t>
    </rPh>
    <rPh sb="6" eb="8">
      <t>タイショ</t>
    </rPh>
    <rPh sb="8" eb="9">
      <t>ブン</t>
    </rPh>
    <phoneticPr fontId="2"/>
  </si>
  <si>
    <r>
      <t>【分園月途中</t>
    </r>
    <r>
      <rPr>
        <b/>
        <sz val="10"/>
        <color rgb="FFFF0000"/>
        <rFont val="游ゴシック"/>
        <family val="3"/>
        <charset val="128"/>
        <scheme val="minor"/>
      </rPr>
      <t>退所</t>
    </r>
    <r>
      <rPr>
        <b/>
        <sz val="10"/>
        <color theme="1"/>
        <rFont val="游ゴシック"/>
        <family val="3"/>
        <charset val="128"/>
        <scheme val="minor"/>
      </rPr>
      <t>分】</t>
    </r>
    <rPh sb="1" eb="3">
      <t>ブンエン</t>
    </rPh>
    <rPh sb="3" eb="6">
      <t>ツキトチュウ</t>
    </rPh>
    <rPh sb="6" eb="8">
      <t>タイショ</t>
    </rPh>
    <rPh sb="8" eb="9">
      <t>ブン</t>
    </rPh>
    <phoneticPr fontId="2"/>
  </si>
  <si>
    <t>処遇改善Ⅰ(賃金改善分)</t>
    <rPh sb="0" eb="2">
      <t>ショグウ</t>
    </rPh>
    <rPh sb="2" eb="4">
      <t>カイゼン</t>
    </rPh>
    <rPh sb="6" eb="10">
      <t>チンギンカイゼン</t>
    </rPh>
    <rPh sb="10" eb="11">
      <t>ブン</t>
    </rPh>
    <phoneticPr fontId="2"/>
  </si>
  <si>
    <t>処遇改善Ⅰ(基礎分)</t>
    <rPh sb="0" eb="2">
      <t>ショグウ</t>
    </rPh>
    <rPh sb="2" eb="4">
      <t>カイゼン</t>
    </rPh>
    <rPh sb="6" eb="8">
      <t>キソ</t>
    </rPh>
    <rPh sb="8" eb="9">
      <t>ブン</t>
    </rPh>
    <phoneticPr fontId="2"/>
  </si>
  <si>
    <t>処遇改善(賃金改善分)</t>
    <rPh sb="0" eb="2">
      <t>ショグウ</t>
    </rPh>
    <rPh sb="2" eb="4">
      <t>カイゼン</t>
    </rPh>
    <rPh sb="5" eb="7">
      <t>チンギン</t>
    </rPh>
    <rPh sb="7" eb="9">
      <t>カイゼン</t>
    </rPh>
    <rPh sb="9" eb="10">
      <t>ブン</t>
    </rPh>
    <phoneticPr fontId="2"/>
  </si>
  <si>
    <t>処遇改善(基礎分)</t>
    <rPh sb="0" eb="2">
      <t>ショグウ</t>
    </rPh>
    <rPh sb="2" eb="4">
      <t>カイゼン</t>
    </rPh>
    <rPh sb="5" eb="7">
      <t>キソ</t>
    </rPh>
    <rPh sb="7" eb="8">
      <t>ブン</t>
    </rPh>
    <phoneticPr fontId="2"/>
  </si>
  <si>
    <t>↓↓↓</t>
    <phoneticPr fontId="2"/>
  </si>
  <si>
    <t>賃金改善分</t>
    <rPh sb="0" eb="4">
      <t>チンギンカイゼ</t>
    </rPh>
    <rPh sb="4" eb="5">
      <t>ブン</t>
    </rPh>
    <phoneticPr fontId="2"/>
  </si>
  <si>
    <t>基礎分</t>
    <rPh sb="0" eb="2">
      <t>キソ</t>
    </rPh>
    <rPh sb="2" eb="3">
      <t>ブン</t>
    </rPh>
    <phoneticPr fontId="2"/>
  </si>
  <si>
    <t>基本部分</t>
    <rPh sb="0" eb="2">
      <t>キホン</t>
    </rPh>
    <rPh sb="2" eb="4">
      <t>ブブン</t>
    </rPh>
    <phoneticPr fontId="2"/>
  </si>
  <si>
    <t>賃金改善分</t>
    <rPh sb="0" eb="2">
      <t>チンギン</t>
    </rPh>
    <rPh sb="2" eb="4">
      <t>カイゼン</t>
    </rPh>
    <rPh sb="4" eb="5">
      <t>ブン</t>
    </rPh>
    <phoneticPr fontId="2"/>
  </si>
  <si>
    <t>基礎分</t>
    <rPh sb="0" eb="2">
      <t>キソ</t>
    </rPh>
    <rPh sb="2" eb="3">
      <t>ブン</t>
    </rPh>
    <phoneticPr fontId="2"/>
  </si>
  <si>
    <t>処遇Ⅰのうち基礎分単価</t>
    <rPh sb="0" eb="2">
      <t>ショグウ</t>
    </rPh>
    <rPh sb="6" eb="8">
      <t>キソ</t>
    </rPh>
    <rPh sb="8" eb="9">
      <t>ブン</t>
    </rPh>
    <rPh sb="9" eb="11">
      <t>タンカ</t>
    </rPh>
    <phoneticPr fontId="2"/>
  </si>
  <si>
    <t>賃金改善要件分</t>
    <rPh sb="0" eb="7">
      <t>チンギン</t>
    </rPh>
    <phoneticPr fontId="2"/>
  </si>
  <si>
    <t>処遇Ⅰのうち賃金改善要件分単価</t>
    <rPh sb="6" eb="13">
      <t>チンギ</t>
    </rPh>
    <phoneticPr fontId="2"/>
  </si>
  <si>
    <t>処遇Ⅰ(賃改分)</t>
    <rPh sb="4" eb="5">
      <t>チン</t>
    </rPh>
    <rPh sb="5" eb="6">
      <t>カイ</t>
    </rPh>
    <rPh sb="6" eb="7">
      <t>ブン</t>
    </rPh>
    <phoneticPr fontId="2"/>
  </si>
  <si>
    <t>処遇Ⅰ(基礎分)</t>
    <rPh sb="0" eb="3">
      <t>ショグウ1</t>
    </rPh>
    <rPh sb="4" eb="7">
      <t>キソブ</t>
    </rPh>
    <phoneticPr fontId="2"/>
  </si>
  <si>
    <t>賃金改善要件分</t>
    <rPh sb="0" eb="7">
      <t>チンギ</t>
    </rPh>
    <phoneticPr fontId="2"/>
  </si>
  <si>
    <t>https://www8.cao.go.jp/shoushi/shinseido/law/kodomo3houan/pdf/r030331/r03-unei_hiyou.pdf</t>
    <phoneticPr fontId="2"/>
  </si>
  <si>
    <t>令和３年度における私立保育所の運営に要する費用について</t>
    <phoneticPr fontId="2"/>
  </si>
  <si>
    <t>の4ページの記載</t>
    <rPh sb="6" eb="8">
      <t>キサイ</t>
    </rPh>
    <phoneticPr fontId="2"/>
  </si>
  <si>
    <t>↑↑↑</t>
    <phoneticPr fontId="2"/>
  </si>
  <si>
    <t>他方、</t>
    <rPh sb="0" eb="2">
      <t>タホウ</t>
    </rPh>
    <phoneticPr fontId="2"/>
  </si>
  <si>
    <t>https://www8.cao.go.jp/shoushi/shinseido/law/kodomo3houan/pdf/r020730/shisetsu_kasan.pdf</t>
    <phoneticPr fontId="2"/>
  </si>
  <si>
    <t>施設型給付費等に係る処遇改善等加算Ⅰ及び処遇改善等加算Ⅱについて</t>
    <phoneticPr fontId="2"/>
  </si>
  <si>
    <t>の3ページの記載</t>
    <rPh sb="6" eb="8">
      <t>キサイ</t>
    </rPh>
    <phoneticPr fontId="2"/>
  </si>
  <si>
    <t>賃金改善分</t>
    <rPh sb="0" eb="4">
      <t>チン</t>
    </rPh>
    <rPh sb="4" eb="5">
      <t>ブン</t>
    </rPh>
    <phoneticPr fontId="2"/>
  </si>
  <si>
    <t>加算率</t>
    <rPh sb="0" eb="3">
      <t>カサンリツ</t>
    </rPh>
    <phoneticPr fontId="2"/>
  </si>
  <si>
    <t>賃金改善要件分</t>
    <rPh sb="0" eb="7">
      <t>チンギンカ</t>
    </rPh>
    <phoneticPr fontId="2"/>
  </si>
  <si>
    <t>月途中の定員恒常超過減算</t>
    <rPh sb="0" eb="3">
      <t>ツキトチュウ</t>
    </rPh>
    <rPh sb="4" eb="10">
      <t>テイイン</t>
    </rPh>
    <rPh sb="10" eb="12">
      <t>ゲンサン</t>
    </rPh>
    <phoneticPr fontId="2"/>
  </si>
  <si>
    <t>基礎分だけ置いてけぼり。弾力運用に配慮してのことか？　でもそこまで考えてなさそう。</t>
    <rPh sb="0" eb="2">
      <t>キソ</t>
    </rPh>
    <rPh sb="2" eb="3">
      <t>ブン</t>
    </rPh>
    <rPh sb="5" eb="6">
      <t>オ</t>
    </rPh>
    <rPh sb="12" eb="14">
      <t>ダンリョク</t>
    </rPh>
    <rPh sb="14" eb="16">
      <t>ウンヨウ</t>
    </rPh>
    <rPh sb="17" eb="19">
      <t>ハイリョ</t>
    </rPh>
    <rPh sb="33" eb="34">
      <t>カンガ</t>
    </rPh>
    <phoneticPr fontId="2"/>
  </si>
  <si>
    <t>本園の月途中入所の集計</t>
    <rPh sb="0" eb="2">
      <t>ホンエン</t>
    </rPh>
    <rPh sb="3" eb="6">
      <t>ツキトチュウ</t>
    </rPh>
    <rPh sb="6" eb="7">
      <t>ニュウ</t>
    </rPh>
    <rPh sb="9" eb="11">
      <t>シュウケイ</t>
    </rPh>
    <phoneticPr fontId="2"/>
  </si>
  <si>
    <r>
      <t>本園の月途中</t>
    </r>
    <r>
      <rPr>
        <b/>
        <sz val="10"/>
        <color rgb="FFFF0000"/>
        <rFont val="游ゴシック"/>
        <family val="3"/>
        <charset val="128"/>
        <scheme val="minor"/>
      </rPr>
      <t>退所</t>
    </r>
    <r>
      <rPr>
        <b/>
        <sz val="10"/>
        <color rgb="FF0000FF"/>
        <rFont val="游ゴシック"/>
        <family val="3"/>
        <charset val="128"/>
        <scheme val="minor"/>
      </rPr>
      <t>の集計</t>
    </r>
    <rPh sb="0" eb="2">
      <t>ホンエン</t>
    </rPh>
    <rPh sb="3" eb="6">
      <t>ツキトチュウ</t>
    </rPh>
    <rPh sb="6" eb="8">
      <t>タイショ</t>
    </rPh>
    <rPh sb="9" eb="11">
      <t>シュウケイ</t>
    </rPh>
    <phoneticPr fontId="2"/>
  </si>
  <si>
    <t>分園の月途中入所の集計</t>
    <rPh sb="0" eb="2">
      <t>ブンエン</t>
    </rPh>
    <rPh sb="3" eb="6">
      <t>ツキトチュウ</t>
    </rPh>
    <rPh sb="6" eb="7">
      <t>ニュウ</t>
    </rPh>
    <rPh sb="9" eb="11">
      <t>シュウケイ</t>
    </rPh>
    <phoneticPr fontId="2"/>
  </si>
  <si>
    <t>本園の月途中退所の集計</t>
    <rPh sb="0" eb="2">
      <t>ホンエン</t>
    </rPh>
    <rPh sb="3" eb="6">
      <t>ツキトチュウ</t>
    </rPh>
    <rPh sb="6" eb="8">
      <t>タイショ</t>
    </rPh>
    <rPh sb="9" eb="11">
      <t>シュウケイ</t>
    </rPh>
    <phoneticPr fontId="2"/>
  </si>
  <si>
    <t>賃金改善</t>
    <phoneticPr fontId="2"/>
  </si>
  <si>
    <t>月初児童への支弁額合計</t>
    <rPh sb="0" eb="2">
      <t>ゲッショ</t>
    </rPh>
    <rPh sb="2" eb="4">
      <t>ジドウ</t>
    </rPh>
    <rPh sb="6" eb="8">
      <t>シベン</t>
    </rPh>
    <rPh sb="8" eb="9">
      <t>ガク</t>
    </rPh>
    <rPh sb="9" eb="11">
      <t>ゴウケイ</t>
    </rPh>
    <phoneticPr fontId="2"/>
  </si>
  <si>
    <t>月途中入退所児童への支弁額合計</t>
    <rPh sb="0" eb="1">
      <t>ツキ</t>
    </rPh>
    <rPh sb="1" eb="3">
      <t>トチュウ</t>
    </rPh>
    <rPh sb="3" eb="5">
      <t>ニュウタイ</t>
    </rPh>
    <rPh sb="5" eb="6">
      <t>ショ</t>
    </rPh>
    <rPh sb="6" eb="8">
      <t>ジドウ</t>
    </rPh>
    <rPh sb="10" eb="12">
      <t>シベン</t>
    </rPh>
    <rPh sb="12" eb="13">
      <t>ガク</t>
    </rPh>
    <rPh sb="13" eb="15">
      <t>ゴウケイ</t>
    </rPh>
    <phoneticPr fontId="2"/>
  </si>
  <si>
    <t>青田確認用</t>
    <rPh sb="0" eb="2">
      <t>アオタ</t>
    </rPh>
    <rPh sb="2" eb="5">
      <t>カクニンヨウ</t>
    </rPh>
    <phoneticPr fontId="2"/>
  </si>
  <si>
    <t>小数点第1位以下切り捨て（根拠なし）</t>
    <rPh sb="0" eb="3">
      <t>ショウスウテン</t>
    </rPh>
    <rPh sb="3" eb="4">
      <t>ダイ</t>
    </rPh>
    <rPh sb="5" eb="6">
      <t>イ</t>
    </rPh>
    <rPh sb="6" eb="8">
      <t>イカ</t>
    </rPh>
    <rPh sb="8" eb="9">
      <t>キ</t>
    </rPh>
    <rPh sb="10" eb="11">
      <t>ス</t>
    </rPh>
    <rPh sb="13" eb="15">
      <t>コンキョ</t>
    </rPh>
    <phoneticPr fontId="2"/>
  </si>
  <si>
    <t>総計</t>
    <rPh sb="0" eb="2">
      <t>ソウケイ</t>
    </rPh>
    <phoneticPr fontId="2"/>
  </si>
  <si>
    <t>委託費総額</t>
    <rPh sb="0" eb="3">
      <t>イタクヒ</t>
    </rPh>
    <rPh sb="3" eb="5">
      <t>ソウガク</t>
    </rPh>
    <phoneticPr fontId="2"/>
  </si>
  <si>
    <t>月途中入退所分</t>
    <rPh sb="0" eb="3">
      <t>ツキトチュウ</t>
    </rPh>
    <rPh sb="3" eb="6">
      <t>ニュウタイショ</t>
    </rPh>
    <rPh sb="6" eb="7">
      <t>ブン</t>
    </rPh>
    <phoneticPr fontId="2"/>
  </si>
  <si>
    <t>毎月の委託費計</t>
    <rPh sb="0" eb="2">
      <t>マイツキ</t>
    </rPh>
    <rPh sb="3" eb="6">
      <t>イタクヒ</t>
    </rPh>
    <rPh sb="6" eb="7">
      <t>ケイ</t>
    </rPh>
    <phoneticPr fontId="2"/>
  </si>
  <si>
    <r>
      <t>※ 調整部分（分園の場合、施設長を設置していない場合、土曜日に閉所する場合、定員を恒常的に超過する場合）については、</t>
    </r>
    <r>
      <rPr>
        <b/>
        <u/>
        <sz val="11"/>
        <color rgb="FF0000FF"/>
        <rFont val="游ゴシック"/>
        <family val="3"/>
        <charset val="128"/>
        <scheme val="minor"/>
      </rPr>
      <t>調整部分以外の人件費、事業費、管理費の割合で按分して算出</t>
    </r>
    <r>
      <rPr>
        <b/>
        <sz val="11"/>
        <color rgb="FF0000FF"/>
        <rFont val="游ゴシック"/>
        <family val="3"/>
        <charset val="128"/>
        <scheme val="minor"/>
      </rPr>
      <t>すること。</t>
    </r>
    <phoneticPr fontId="2"/>
  </si>
  <si>
    <t>土地建物賃借料とか借入金償還とか、どうやって払ったらいいのか？
処遇改善の通知を是とするならば、収支計算分析表もちゃんと作り変えろよと……。
平均勤続年数1年未満の場合の人件費分は0％なので、少なくとも管理費分の２％は弾力運用の使途としてあるべき。
管理費分のパーセンテージ2％からもっと上げて、基礎分も切り分けて管理費分のみ分析表の下段に残すとかしてくれたらいいのに。</t>
    <rPh sb="0" eb="4">
      <t>トチタテモノ</t>
    </rPh>
    <rPh sb="4" eb="7">
      <t>チンシャクリョウ</t>
    </rPh>
    <rPh sb="9" eb="12">
      <t>カリイレキン</t>
    </rPh>
    <rPh sb="12" eb="14">
      <t>ショウカン</t>
    </rPh>
    <rPh sb="22" eb="23">
      <t>ハラ</t>
    </rPh>
    <rPh sb="71" eb="77">
      <t>ヘイキンキンゾクネンスウ</t>
    </rPh>
    <rPh sb="78" eb="81">
      <t>ネンミマン</t>
    </rPh>
    <rPh sb="82" eb="84">
      <t>バアイ</t>
    </rPh>
    <rPh sb="85" eb="89">
      <t>ジンケンヒブン</t>
    </rPh>
    <rPh sb="96" eb="97">
      <t>スク</t>
    </rPh>
    <rPh sb="101" eb="105">
      <t>カンリヒブン</t>
    </rPh>
    <rPh sb="109" eb="113">
      <t>ダンリョクウンヨウ</t>
    </rPh>
    <rPh sb="114" eb="116">
      <t>シト</t>
    </rPh>
    <phoneticPr fontId="2"/>
  </si>
  <si>
    <t>集計シートの処遇Ⅰの総額</t>
    <rPh sb="0" eb="2">
      <t>シュウケイ</t>
    </rPh>
    <rPh sb="6" eb="8">
      <t>ショグウ</t>
    </rPh>
    <rPh sb="10" eb="12">
      <t>ソウガク</t>
    </rPh>
    <phoneticPr fontId="2"/>
  </si>
  <si>
    <t>差額</t>
    <rPh sb="0" eb="2">
      <t>サガク</t>
    </rPh>
    <phoneticPr fontId="2"/>
  </si>
  <si>
    <t>CY78セルの値が経理等通知の分け方に拠っている</t>
    <rPh sb="7" eb="8">
      <t>アタイ</t>
    </rPh>
    <rPh sb="9" eb="14">
      <t>ケイリトウツウチ</t>
    </rPh>
    <rPh sb="15" eb="16">
      <t>ワ</t>
    </rPh>
    <rPh sb="17" eb="18">
      <t>カタ</t>
    </rPh>
    <rPh sb="19" eb="20">
      <t>ヨ</t>
    </rPh>
    <phoneticPr fontId="2"/>
  </si>
  <si>
    <r>
      <t xml:space="preserve">第３ 加算額に係る使途
１ 基本的な考え方
</t>
    </r>
    <r>
      <rPr>
        <b/>
        <u/>
        <sz val="11"/>
        <color rgb="FFFF0000"/>
        <rFont val="游ゴシック"/>
        <family val="3"/>
        <charset val="128"/>
        <scheme val="minor"/>
      </rPr>
      <t>加算Ⅰの基礎分に係る加算額は、</t>
    </r>
    <r>
      <rPr>
        <b/>
        <u/>
        <sz val="11"/>
        <color rgb="FF0000FF"/>
        <rFont val="游ゴシック"/>
        <family val="3"/>
        <charset val="128"/>
        <scheme val="minor"/>
      </rPr>
      <t>職員</t>
    </r>
    <r>
      <rPr>
        <b/>
        <sz val="11"/>
        <color rgb="FF0000FF"/>
        <rFont val="游ゴシック"/>
        <family val="3"/>
        <charset val="128"/>
        <scheme val="minor"/>
      </rPr>
      <t>（非常勤職員及び法人の役員等を兼務している職員を含む。以下同じ。）</t>
    </r>
    <r>
      <rPr>
        <b/>
        <u/>
        <sz val="11"/>
        <color rgb="FF0000FF"/>
        <rFont val="游ゴシック"/>
        <family val="3"/>
        <charset val="128"/>
        <scheme val="minor"/>
      </rPr>
      <t>の賃金</t>
    </r>
    <r>
      <rPr>
        <b/>
        <sz val="11"/>
        <color rgb="FF0000FF"/>
        <rFont val="游ゴシック"/>
        <family val="3"/>
        <charset val="128"/>
        <scheme val="minor"/>
      </rPr>
      <t>（退職金（注）及び法人の役員等としての報酬を除く。以下同じ。）</t>
    </r>
    <r>
      <rPr>
        <b/>
        <u/>
        <sz val="11"/>
        <color rgb="FF0000FF"/>
        <rFont val="游ゴシック"/>
        <family val="3"/>
        <charset val="128"/>
        <scheme val="minor"/>
      </rPr>
      <t>の</t>
    </r>
    <r>
      <rPr>
        <b/>
        <u/>
        <sz val="11"/>
        <color rgb="FFFF0000"/>
        <rFont val="游ゴシック"/>
        <family val="3"/>
        <charset val="128"/>
        <scheme val="minor"/>
      </rPr>
      <t>勤続年数等を基準として行う昇給等に適切に充てること。</t>
    </r>
    <phoneticPr fontId="2"/>
  </si>
  <si>
    <t>処遇改善等加算Ⅰ</t>
    <rPh sb="0" eb="7">
      <t>ショグウカイゼン</t>
    </rPh>
    <phoneticPr fontId="2"/>
  </si>
  <si>
    <t>【収支計算分析表の表示による区分】</t>
    <rPh sb="1" eb="3">
      <t>シュウシ</t>
    </rPh>
    <rPh sb="3" eb="5">
      <t>ケイサン</t>
    </rPh>
    <rPh sb="5" eb="8">
      <t>ブンセキヒョウ</t>
    </rPh>
    <rPh sb="9" eb="11">
      <t>ヒョウジ</t>
    </rPh>
    <rPh sb="14" eb="16">
      <t>クブン</t>
    </rPh>
    <phoneticPr fontId="2"/>
  </si>
  <si>
    <t>１（1）人件費（改善基礎分を除く）</t>
  </si>
  <si>
    <t>１（2）事業費</t>
  </si>
  <si>
    <t>１（3）管理費（改善基礎分を除く）</t>
  </si>
  <si>
    <t>10　委託費収入のうち改善基礎分</t>
  </si>
  <si>
    <t>合計</t>
    <rPh sb="0" eb="2">
      <t>ゴウケイ</t>
    </rPh>
    <phoneticPr fontId="2"/>
  </si>
  <si>
    <t>×加算率</t>
    <rPh sb="1" eb="3">
      <t>カサン</t>
    </rPh>
    <rPh sb="3" eb="4">
      <t>リツ</t>
    </rPh>
    <phoneticPr fontId="4"/>
  </si>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</sst>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quot;%&quot;"/>
    <numFmt numFmtId="177" formatCode="#,##0_ "/>
    <numFmt numFmtId="178" formatCode="0_);[Red]\(0\)"/>
    <numFmt numFmtId="179" formatCode="0.0_);[Red]\(0.0\)"/>
    <numFmt numFmtId="180" formatCode="0.00_);[Red]\(0.00\)"/>
    <numFmt numFmtId="181" formatCode="0.000_);[Red]\(0.000\)"/>
    <numFmt numFmtId="182" formatCode="\(#,##0\)"/>
    <numFmt numFmtId="183" formatCode="#,##0;&quot;▲ &quot;#,##0"/>
    <numFmt numFmtId="184" formatCode="\(#,##0\×&quot;加&quot;&quot;算&quot;&quot;率&quot;\)"/>
    <numFmt numFmtId="185" formatCode="#,##0\×&quot;加&quot;&quot;算&quot;&quot;率&quot;"/>
    <numFmt numFmtId="186" formatCode="&quot;×&quot;#\ ?/100"/>
    <numFmt numFmtId="187" formatCode="#,##0_);[Red]\(#,##0\)"/>
    <numFmt numFmtId="188" formatCode="&quot;本園　&quot;###&quot;%&quot;"/>
    <numFmt numFmtId="189" formatCode="&quot;分園　&quot;###&quot;%&quot;"/>
    <numFmt numFmtId="190" formatCode="#&quot;月&quot;"/>
    <numFmt numFmtId="191" formatCode="##.##&quot;%&quot;"/>
    <numFmt numFmtId="192" formatCode="0.0%"/>
    <numFmt numFmtId="193" formatCode="##&quot;%&quot;"/>
    <numFmt numFmtId="194" formatCode="###&quot;月&quot;"/>
  </numFmts>
  <fonts count="109">
    <font>
      <sz val="11"/>
      <color theme="1"/>
      <name val="游ゴシック"/>
      <family val="2"/>
      <charset val="128"/>
      <scheme val="minor"/>
    </font>
    <font>
      <sz val="10"/>
      <color theme="1"/>
      <name val="メイリオ"/>
      <family val="3"/>
      <charset val="128"/>
    </font>
    <font>
      <sz val="6"/>
      <name val="游ゴシック"/>
      <family val="2"/>
      <charset val="128"/>
      <scheme val="minor"/>
    </font>
    <font>
      <sz val="11"/>
      <name val="ＭＳ Ｐゴシック"/>
      <family val="3"/>
      <charset val="128"/>
    </font>
    <font>
      <b/>
      <sz val="10"/>
      <color theme="0"/>
      <name val="メイリオ"/>
      <family val="3"/>
      <charset val="128"/>
    </font>
    <font>
      <sz val="9"/>
      <color theme="1"/>
      <name val="メイリオ"/>
      <family val="3"/>
      <charset val="128"/>
    </font>
    <font>
      <b/>
      <sz val="9"/>
      <color theme="0"/>
      <name val="メイリオ"/>
      <family val="3"/>
      <charset val="128"/>
    </font>
    <font>
      <sz val="9"/>
      <color rgb="FFFF0000"/>
      <name val="メイリオ"/>
      <family val="3"/>
      <charset val="128"/>
    </font>
    <font>
      <b/>
      <sz val="10"/>
      <color theme="0" tint="-4.9989318521683403E-2"/>
      <name val="メイリオ"/>
      <family val="3"/>
      <charset val="128"/>
    </font>
    <font>
      <b/>
      <sz val="10"/>
      <color rgb="FFFF0000"/>
      <name val="メイリオ"/>
      <family val="3"/>
      <charset val="128"/>
    </font>
    <font>
      <sz val="10"/>
      <color rgb="FFFF0000"/>
      <name val="メイリオ"/>
      <family val="3"/>
      <charset val="128"/>
    </font>
    <font>
      <sz val="10"/>
      <name val="メイリオ"/>
      <family val="3"/>
      <charset val="128"/>
    </font>
    <font>
      <b/>
      <sz val="10"/>
      <color theme="0"/>
      <name val="HGSｺﾞｼｯｸM"/>
      <family val="3"/>
      <charset val="128"/>
    </font>
    <font>
      <b/>
      <u/>
      <sz val="14"/>
      <color rgb="FFFF0000"/>
      <name val="メイリオ"/>
      <family val="3"/>
      <charset val="128"/>
    </font>
    <font>
      <b/>
      <sz val="10"/>
      <name val="メイリオ"/>
      <family val="3"/>
      <charset val="128"/>
    </font>
    <font>
      <b/>
      <sz val="10"/>
      <color rgb="FF00B050"/>
      <name val="メイリオ"/>
      <family val="3"/>
      <charset val="128"/>
    </font>
    <font>
      <b/>
      <sz val="10"/>
      <color rgb="FF0070C0"/>
      <name val="メイリオ"/>
      <family val="3"/>
      <charset val="128"/>
    </font>
    <font>
      <sz val="11"/>
      <color theme="1"/>
      <name val="游ゴシック"/>
      <family val="2"/>
      <charset val="128"/>
      <scheme val="minor"/>
    </font>
    <font>
      <b/>
      <sz val="10"/>
      <color theme="1"/>
      <name val="メイリオ"/>
      <family val="3"/>
      <charset val="128"/>
    </font>
    <font>
      <sz val="10"/>
      <color theme="0"/>
      <name val="メイリオ"/>
      <family val="3"/>
      <charset val="128"/>
    </font>
    <font>
      <sz val="10"/>
      <color theme="2" tint="-0.499984740745262"/>
      <name val="メイリオ"/>
      <family val="3"/>
      <charset val="128"/>
    </font>
    <font>
      <sz val="10"/>
      <color theme="2" tint="-0.249977111117893"/>
      <name val="メイリオ"/>
      <family val="3"/>
      <charset val="128"/>
    </font>
    <font>
      <b/>
      <sz val="10"/>
      <name val="HGSｺﾞｼｯｸM"/>
      <family val="3"/>
      <charset val="128"/>
    </font>
    <font>
      <b/>
      <sz val="9"/>
      <color rgb="FFFF0000"/>
      <name val="メイリオ"/>
      <family val="3"/>
      <charset val="128"/>
    </font>
    <font>
      <b/>
      <sz val="9"/>
      <color rgb="FF0070C0"/>
      <name val="メイリオ"/>
      <family val="3"/>
      <charset val="128"/>
    </font>
    <font>
      <b/>
      <sz val="9"/>
      <color rgb="FF00B050"/>
      <name val="メイリオ"/>
      <family val="3"/>
      <charset val="128"/>
    </font>
    <font>
      <b/>
      <sz val="9"/>
      <color rgb="FFFFC000"/>
      <name val="メイリオ"/>
      <family val="3"/>
      <charset val="128"/>
    </font>
    <font>
      <b/>
      <sz val="9"/>
      <color rgb="FFCC66FF"/>
      <name val="メイリオ"/>
      <family val="3"/>
      <charset val="128"/>
    </font>
    <font>
      <b/>
      <sz val="9"/>
      <color theme="1"/>
      <name val="メイリオ"/>
      <family val="3"/>
      <charset val="128"/>
    </font>
    <font>
      <b/>
      <sz val="9"/>
      <color theme="8"/>
      <name val="メイリオ"/>
      <family val="3"/>
      <charset val="128"/>
    </font>
    <font>
      <sz val="9"/>
      <name val="メイリオ"/>
      <family val="3"/>
      <charset val="128"/>
    </font>
    <font>
      <sz val="8"/>
      <name val="HGｺﾞｼｯｸM"/>
      <family val="3"/>
      <charset val="128"/>
    </font>
    <font>
      <sz val="6"/>
      <name val="ＭＳ Ｐゴシック"/>
      <family val="3"/>
      <charset val="128"/>
    </font>
    <font>
      <sz val="6"/>
      <name val="明朝"/>
      <family val="3"/>
      <charset val="128"/>
    </font>
    <font>
      <sz val="10"/>
      <name val="HGｺﾞｼｯｸM"/>
      <family val="3"/>
      <charset val="128"/>
    </font>
    <font>
      <sz val="11"/>
      <name val="HGｺﾞｼｯｸM"/>
      <family val="3"/>
      <charset val="128"/>
    </font>
    <font>
      <sz val="11"/>
      <color theme="0"/>
      <name val="HGｺﾞｼｯｸM"/>
      <family val="3"/>
      <charset val="128"/>
    </font>
    <font>
      <sz val="11"/>
      <name val="明朝"/>
      <family val="3"/>
      <charset val="128"/>
    </font>
    <font>
      <sz val="10"/>
      <color theme="0"/>
      <name val="HGｺﾞｼｯｸM"/>
      <family val="3"/>
      <charset val="128"/>
    </font>
    <font>
      <sz val="11"/>
      <color theme="1"/>
      <name val="メイリオ"/>
      <family val="3"/>
      <charset val="128"/>
    </font>
    <font>
      <sz val="8"/>
      <color theme="1"/>
      <name val="メイリオ"/>
      <family val="3"/>
      <charset val="128"/>
    </font>
    <font>
      <b/>
      <sz val="10"/>
      <name val="HGｺﾞｼｯｸM"/>
      <family val="3"/>
      <charset val="128"/>
    </font>
    <font>
      <sz val="8"/>
      <color rgb="FFCC0000"/>
      <name val="HGｺﾞｼｯｸM"/>
      <family val="3"/>
      <charset val="128"/>
    </font>
    <font>
      <sz val="11"/>
      <color rgb="FFCC0000"/>
      <name val="HGｺﾞｼｯｸM"/>
      <family val="3"/>
      <charset val="128"/>
    </font>
    <font>
      <sz val="10"/>
      <color rgb="FFCC0000"/>
      <name val="HGｺﾞｼｯｸM"/>
      <family val="3"/>
      <charset val="128"/>
    </font>
    <font>
      <b/>
      <sz val="10"/>
      <color rgb="FFCC0000"/>
      <name val="HGｺﾞｼｯｸM"/>
      <family val="3"/>
      <charset val="128"/>
    </font>
    <font>
      <b/>
      <sz val="8"/>
      <color rgb="FFCC0000"/>
      <name val="HGｺﾞｼｯｸM"/>
      <family val="3"/>
      <charset val="128"/>
    </font>
    <font>
      <sz val="8"/>
      <color theme="0" tint="-0.34998626667073579"/>
      <name val="HGｺﾞｼｯｸM"/>
      <family val="3"/>
      <charset val="128"/>
    </font>
    <font>
      <sz val="10"/>
      <color theme="0" tint="-0.34998626667073579"/>
      <name val="HGｺﾞｼｯｸM"/>
      <family val="3"/>
      <charset val="128"/>
    </font>
    <font>
      <sz val="14"/>
      <name val="HGｺﾞｼｯｸM"/>
      <family val="3"/>
      <charset val="128"/>
    </font>
    <font>
      <i/>
      <sz val="11"/>
      <color rgb="FF7F7F7F"/>
      <name val="游ゴシック"/>
      <family val="2"/>
      <charset val="128"/>
      <scheme val="minor"/>
    </font>
    <font>
      <sz val="9"/>
      <color rgb="FF000000"/>
      <name val="メイリオ"/>
      <family val="3"/>
      <charset val="128"/>
    </font>
    <font>
      <sz val="9"/>
      <color theme="1"/>
      <name val="HGｺﾞｼｯｸM"/>
      <family val="3"/>
      <charset val="128"/>
    </font>
    <font>
      <sz val="9"/>
      <name val="HGｺﾞｼｯｸM"/>
      <family val="3"/>
      <charset val="128"/>
    </font>
    <font>
      <b/>
      <sz val="9"/>
      <color theme="1"/>
      <name val="HGｺﾞｼｯｸM"/>
      <family val="3"/>
      <charset val="128"/>
    </font>
    <font>
      <sz val="9"/>
      <color indexed="81"/>
      <name val="MS P ゴシック"/>
      <family val="3"/>
      <charset val="128"/>
    </font>
    <font>
      <b/>
      <sz val="14"/>
      <name val="メイリオ"/>
      <family val="3"/>
      <charset val="128"/>
    </font>
    <font>
      <b/>
      <sz val="11"/>
      <color rgb="FFFF0000"/>
      <name val="メイリオ"/>
      <family val="3"/>
      <charset val="128"/>
    </font>
    <font>
      <b/>
      <sz val="7.5"/>
      <color rgb="FFFF0000"/>
      <name val="メイリオ"/>
      <family val="3"/>
      <charset val="128"/>
    </font>
    <font>
      <b/>
      <sz val="14"/>
      <color theme="0"/>
      <name val="游ゴシック"/>
      <family val="3"/>
      <charset val="128"/>
      <scheme val="minor"/>
    </font>
    <font>
      <b/>
      <sz val="14"/>
      <color rgb="FFFFFF00"/>
      <name val="游ゴシック"/>
      <family val="3"/>
      <charset val="128"/>
      <scheme val="minor"/>
    </font>
    <font>
      <b/>
      <sz val="14"/>
      <color rgb="FF00B050"/>
      <name val="游ゴシック"/>
      <family val="3"/>
      <charset val="128"/>
      <scheme val="minor"/>
    </font>
    <font>
      <sz val="12"/>
      <color theme="1"/>
      <name val="游ゴシック"/>
      <family val="2"/>
      <charset val="128"/>
      <scheme val="minor"/>
    </font>
    <font>
      <b/>
      <sz val="14"/>
      <color rgb="FFFF0000"/>
      <name val="游ゴシック"/>
      <family val="3"/>
      <charset val="128"/>
      <scheme val="minor"/>
    </font>
    <font>
      <b/>
      <sz val="14"/>
      <color rgb="FFFFFFFF"/>
      <name val="游ゴシック"/>
      <family val="3"/>
      <charset val="128"/>
      <scheme val="minor"/>
    </font>
    <font>
      <b/>
      <sz val="22"/>
      <color theme="0"/>
      <name val="游ゴシック"/>
      <family val="3"/>
      <charset val="128"/>
      <scheme val="minor"/>
    </font>
    <font>
      <b/>
      <sz val="18"/>
      <color rgb="FFFFC000"/>
      <name val="游ゴシック"/>
      <family val="3"/>
      <charset val="128"/>
      <scheme val="minor"/>
    </font>
    <font>
      <b/>
      <sz val="14"/>
      <color rgb="FFCC66FF"/>
      <name val="游ゴシック"/>
      <family val="3"/>
      <charset val="128"/>
      <scheme val="minor"/>
    </font>
    <font>
      <sz val="11"/>
      <color rgb="FFFF0000"/>
      <name val="メイリオ"/>
      <family val="3"/>
      <charset val="128"/>
    </font>
    <font>
      <sz val="8"/>
      <name val="ＭＳ ゴシック"/>
      <family val="3"/>
      <charset val="128"/>
    </font>
    <font>
      <sz val="8"/>
      <color rgb="FFFF0000"/>
      <name val="ＭＳ ゴシック"/>
      <family val="3"/>
      <charset val="128"/>
    </font>
    <font>
      <sz val="6"/>
      <name val="ＭＳ ゴシック"/>
      <family val="3"/>
      <charset val="128"/>
    </font>
    <font>
      <sz val="8"/>
      <color theme="0"/>
      <name val="ＭＳ ゴシック"/>
      <family val="3"/>
      <charset val="128"/>
    </font>
    <font>
      <sz val="11"/>
      <color theme="0"/>
      <name val="ＭＳ ゴシック"/>
      <family val="3"/>
      <charset val="128"/>
    </font>
    <font>
      <sz val="10"/>
      <name val="ＭＳ ゴシック"/>
      <family val="3"/>
      <charset val="128"/>
    </font>
    <font>
      <sz val="11"/>
      <name val="ＭＳ ゴシック"/>
      <family val="3"/>
      <charset val="128"/>
    </font>
    <font>
      <sz val="12"/>
      <color rgb="FFFF0000"/>
      <name val="メイリオ"/>
      <family val="3"/>
      <charset val="128"/>
    </font>
    <font>
      <b/>
      <sz val="11"/>
      <color rgb="FFFF0000"/>
      <name val="游ゴシック"/>
      <family val="3"/>
      <charset val="128"/>
      <scheme val="minor"/>
    </font>
    <font>
      <b/>
      <sz val="12"/>
      <color theme="0"/>
      <name val="メイリオ"/>
      <family val="3"/>
      <charset val="128"/>
    </font>
    <font>
      <sz val="9"/>
      <color theme="1"/>
      <name val="游ゴシック"/>
      <family val="3"/>
      <charset val="128"/>
      <scheme val="minor"/>
    </font>
    <font>
      <sz val="10"/>
      <color theme="1"/>
      <name val="游ゴシック"/>
      <family val="3"/>
      <charset val="128"/>
      <scheme val="minor"/>
    </font>
    <font>
      <sz val="10"/>
      <name val="游ゴシック"/>
      <family val="3"/>
      <charset val="128"/>
      <scheme val="minor"/>
    </font>
    <font>
      <b/>
      <sz val="10"/>
      <color rgb="FFFF0000"/>
      <name val="游ゴシック"/>
      <family val="3"/>
      <charset val="128"/>
      <scheme val="minor"/>
    </font>
    <font>
      <b/>
      <sz val="10"/>
      <color theme="0"/>
      <name val="游ゴシック"/>
      <family val="3"/>
      <charset val="128"/>
      <scheme val="minor"/>
    </font>
    <font>
      <b/>
      <sz val="10"/>
      <color theme="1"/>
      <name val="游ゴシック"/>
      <family val="3"/>
      <charset val="128"/>
      <scheme val="minor"/>
    </font>
    <font>
      <b/>
      <sz val="10"/>
      <color rgb="FFFFFF00"/>
      <name val="游ゴシック"/>
      <family val="3"/>
      <charset val="128"/>
      <scheme val="minor"/>
    </font>
    <font>
      <b/>
      <sz val="10"/>
      <color rgb="FF0070C0"/>
      <name val="游ゴシック"/>
      <family val="3"/>
      <charset val="128"/>
      <scheme val="minor"/>
    </font>
    <font>
      <b/>
      <sz val="12"/>
      <color theme="1"/>
      <name val="游ゴシック"/>
      <family val="3"/>
      <charset val="128"/>
      <scheme val="minor"/>
    </font>
    <font>
      <sz val="6"/>
      <color theme="1"/>
      <name val="游ゴシック"/>
      <family val="3"/>
      <charset val="128"/>
      <scheme val="minor"/>
    </font>
    <font>
      <sz val="11"/>
      <name val="游ゴシック"/>
      <family val="3"/>
      <charset val="128"/>
      <scheme val="minor"/>
    </font>
    <font>
      <sz val="11"/>
      <color theme="1"/>
      <name val="游ゴシック"/>
      <family val="3"/>
      <charset val="128"/>
      <scheme val="minor"/>
    </font>
    <font>
      <sz val="10"/>
      <color rgb="FFFF0000"/>
      <name val="游ゴシック"/>
      <family val="3"/>
      <charset val="128"/>
      <scheme val="minor"/>
    </font>
    <font>
      <b/>
      <sz val="10"/>
      <name val="游ゴシック"/>
      <family val="3"/>
      <charset val="128"/>
      <scheme val="minor"/>
    </font>
    <font>
      <b/>
      <sz val="10"/>
      <color rgb="FFFFFFFF"/>
      <name val="游ゴシック"/>
      <family val="3"/>
      <charset val="128"/>
      <scheme val="minor"/>
    </font>
    <font>
      <u/>
      <sz val="11"/>
      <color theme="10"/>
      <name val="游ゴシック"/>
      <family val="2"/>
      <charset val="128"/>
      <scheme val="minor"/>
    </font>
    <font>
      <b/>
      <sz val="10"/>
      <color rgb="FF0000FF"/>
      <name val="游ゴシック"/>
      <family val="3"/>
      <charset val="128"/>
      <scheme val="minor"/>
    </font>
    <font>
      <sz val="10"/>
      <color rgb="FF0000FF"/>
      <name val="游ゴシック"/>
      <family val="3"/>
      <charset val="128"/>
      <scheme val="minor"/>
    </font>
    <font>
      <b/>
      <sz val="16"/>
      <color theme="1"/>
      <name val="メイリオ"/>
      <family val="3"/>
      <charset val="128"/>
    </font>
    <font>
      <b/>
      <sz val="11"/>
      <color theme="1"/>
      <name val="游ゴシック"/>
      <family val="3"/>
      <charset val="128"/>
      <scheme val="minor"/>
    </font>
    <font>
      <b/>
      <sz val="12"/>
      <color rgb="FFFFFFFF"/>
      <name val="游ゴシック"/>
      <family val="3"/>
      <charset val="128"/>
      <scheme val="minor"/>
    </font>
    <font>
      <sz val="12"/>
      <color theme="1"/>
      <name val="游ゴシック"/>
      <family val="3"/>
      <charset val="128"/>
      <scheme val="minor"/>
    </font>
    <font>
      <sz val="12"/>
      <color theme="1"/>
      <name val="メイリオ"/>
      <family val="3"/>
      <charset val="128"/>
    </font>
    <font>
      <u/>
      <sz val="11"/>
      <color theme="10"/>
      <name val="游ゴシック"/>
      <family val="3"/>
      <charset val="128"/>
      <scheme val="minor"/>
    </font>
    <font>
      <b/>
      <sz val="11"/>
      <color rgb="FF0000FF"/>
      <name val="游ゴシック"/>
      <family val="3"/>
      <charset val="128"/>
      <scheme val="minor"/>
    </font>
    <font>
      <b/>
      <u/>
      <sz val="11"/>
      <color rgb="FF0000FF"/>
      <name val="游ゴシック"/>
      <family val="3"/>
      <charset val="128"/>
      <scheme val="minor"/>
    </font>
    <font>
      <b/>
      <u/>
      <sz val="11"/>
      <color rgb="FFFF0000"/>
      <name val="游ゴシック"/>
      <family val="3"/>
      <charset val="128"/>
      <scheme val="minor"/>
    </font>
    <font>
      <b/>
      <sz val="14"/>
      <color indexed="81"/>
      <name val="MS P ゴシック"/>
      <family val="3"/>
      <charset val="128"/>
    </font>
    <font>
      <b/>
      <sz val="14"/>
      <color rgb="FF00B050"/>
      <name val="メイリオ"/>
      <family val="3"/>
      <charset val="128"/>
    </font>
    <font>
      <b/>
      <sz val="14"/>
      <color rgb="FF0070C0"/>
      <name val="メイリオ"/>
      <family val="3"/>
      <charset val="128"/>
    </font>
  </fonts>
  <fills count="28">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B0F0"/>
        <bgColor indexed="64"/>
      </patternFill>
    </fill>
    <fill>
      <patternFill patternType="solid">
        <fgColor rgb="FFFF0000"/>
        <bgColor indexed="64"/>
      </patternFill>
    </fill>
    <fill>
      <patternFill patternType="solid">
        <fgColor rgb="FF7030A0"/>
        <bgColor indexed="64"/>
      </patternFill>
    </fill>
    <fill>
      <patternFill patternType="solid">
        <fgColor rgb="FF0070C0"/>
        <bgColor indexed="64"/>
      </patternFill>
    </fill>
    <fill>
      <patternFill patternType="solid">
        <fgColor rgb="FF00B050"/>
        <bgColor indexed="64"/>
      </patternFill>
    </fill>
    <fill>
      <patternFill patternType="solid">
        <fgColor rgb="FFFFC000"/>
        <bgColor indexed="64"/>
      </patternFill>
    </fill>
    <fill>
      <patternFill patternType="solid">
        <fgColor rgb="FFCC00FF"/>
        <bgColor indexed="64"/>
      </patternFill>
    </fill>
    <fill>
      <patternFill patternType="solid">
        <fgColor rgb="FFFF0066"/>
        <bgColor indexed="64"/>
      </patternFill>
    </fill>
    <fill>
      <patternFill patternType="solid">
        <fgColor theme="2"/>
        <bgColor indexed="64"/>
      </patternFill>
    </fill>
    <fill>
      <patternFill patternType="solid">
        <fgColor theme="1"/>
        <bgColor indexed="64"/>
      </patternFill>
    </fill>
    <fill>
      <patternFill patternType="solid">
        <fgColor rgb="FFFFFF00"/>
        <bgColor indexed="64"/>
      </patternFill>
    </fill>
    <fill>
      <patternFill patternType="solid">
        <fgColor theme="4" tint="0.59999389629810485"/>
        <bgColor indexed="64"/>
      </patternFill>
    </fill>
    <fill>
      <patternFill patternType="solid">
        <fgColor rgb="FFDDEBF7"/>
        <bgColor indexed="64"/>
      </patternFill>
    </fill>
    <fill>
      <patternFill patternType="solid">
        <fgColor theme="7"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FF99FF"/>
        <bgColor indexed="64"/>
      </patternFill>
    </fill>
    <fill>
      <patternFill patternType="solid">
        <fgColor rgb="FFCC66FF"/>
        <bgColor indexed="64"/>
      </patternFill>
    </fill>
    <fill>
      <patternFill patternType="solid">
        <fgColor rgb="FFFFCCFF"/>
        <bgColor indexed="64"/>
      </patternFill>
    </fill>
  </fills>
  <borders count="30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indexed="64"/>
      </right>
      <top/>
      <bottom style="thin">
        <color indexed="64"/>
      </bottom>
      <diagonal/>
    </border>
    <border>
      <left style="thin">
        <color auto="1"/>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ck">
        <color indexed="64"/>
      </left>
      <right/>
      <top style="thick">
        <color indexed="64"/>
      </top>
      <bottom/>
      <diagonal/>
    </border>
    <border>
      <left style="thin">
        <color indexed="64"/>
      </left>
      <right/>
      <top style="thin">
        <color indexed="64"/>
      </top>
      <bottom/>
      <diagonal/>
    </border>
    <border>
      <left/>
      <right/>
      <top style="thick">
        <color indexed="64"/>
      </top>
      <bottom/>
      <diagonal/>
    </border>
    <border>
      <left style="thick">
        <color indexed="64"/>
      </left>
      <right/>
      <top/>
      <bottom/>
      <diagonal/>
    </border>
    <border>
      <left style="thick">
        <color indexed="64"/>
      </left>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right style="thin">
        <color indexed="64"/>
      </right>
      <top/>
      <bottom style="thick">
        <color indexed="64"/>
      </bottom>
      <diagonal/>
    </border>
    <border>
      <left style="thin">
        <color auto="1"/>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auto="1"/>
      </bottom>
      <diagonal/>
    </border>
    <border>
      <left/>
      <right style="thick">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style="thick">
        <color indexed="64"/>
      </top>
      <bottom/>
      <diagonal/>
    </border>
    <border>
      <left/>
      <right style="thin">
        <color indexed="64"/>
      </right>
      <top/>
      <bottom/>
      <diagonal/>
    </border>
    <border>
      <left style="thick">
        <color indexed="64"/>
      </left>
      <right/>
      <top/>
      <bottom style="thick">
        <color indexed="64"/>
      </bottom>
      <diagonal/>
    </border>
    <border>
      <left/>
      <right/>
      <top/>
      <bottom style="thick">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thin">
        <color indexed="64"/>
      </right>
      <top style="thin">
        <color indexed="64"/>
      </top>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rgb="FFFF0000"/>
      </left>
      <right style="thin">
        <color rgb="FFFF0000"/>
      </right>
      <top style="thin">
        <color rgb="FFFF0000"/>
      </top>
      <bottom style="thin">
        <color rgb="FFFF0000"/>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ck">
        <color indexed="64"/>
      </top>
      <bottom style="thin">
        <color indexed="64"/>
      </bottom>
      <diagonal/>
    </border>
    <border>
      <left style="double">
        <color indexed="64"/>
      </left>
      <right style="thick">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double">
        <color indexed="64"/>
      </left>
      <right style="thick">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auto="1"/>
      </left>
      <right style="thick">
        <color indexed="64"/>
      </right>
      <top/>
      <bottom style="thin">
        <color indexed="64"/>
      </bottom>
      <diagonal/>
    </border>
    <border>
      <left style="thin">
        <color auto="1"/>
      </left>
      <right style="thick">
        <color indexed="64"/>
      </right>
      <top style="thin">
        <color indexed="64"/>
      </top>
      <bottom/>
      <diagonal/>
    </border>
    <border>
      <left/>
      <right style="thick">
        <color indexed="64"/>
      </right>
      <top/>
      <bottom/>
      <diagonal/>
    </border>
    <border>
      <left style="thin">
        <color indexed="64"/>
      </left>
      <right style="thick">
        <color indexed="64"/>
      </right>
      <top style="medium">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top/>
      <bottom style="thick">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diagonalDown="1">
      <left/>
      <right style="thin">
        <color indexed="64"/>
      </right>
      <top style="medium">
        <color indexed="64"/>
      </top>
      <bottom style="thin">
        <color indexed="64"/>
      </bottom>
      <diagonal style="thin">
        <color indexed="64"/>
      </diagonal>
    </border>
    <border diagonalDown="1">
      <left style="medium">
        <color indexed="64"/>
      </left>
      <right/>
      <top style="medium">
        <color indexed="64"/>
      </top>
      <bottom style="thin">
        <color indexed="64"/>
      </bottom>
      <diagonal style="thin">
        <color indexed="64"/>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uble">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thin">
        <color indexed="64"/>
      </top>
      <bottom/>
      <diagonal style="thin">
        <color indexed="64"/>
      </diagonal>
    </border>
    <border>
      <left style="double">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top/>
      <bottom style="medium">
        <color rgb="FFFF0000"/>
      </bottom>
      <diagonal/>
    </border>
    <border>
      <left style="medium">
        <color rgb="FFFF0000"/>
      </left>
      <right style="medium">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medium">
        <color indexed="64"/>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indexed="64"/>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indexed="64"/>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medium">
        <color indexed="64"/>
      </left>
      <right style="thin">
        <color rgb="FFFF0000"/>
      </right>
      <top style="thin">
        <color rgb="FFFF0000"/>
      </top>
      <bottom style="double">
        <color rgb="FFFF0000"/>
      </bottom>
      <diagonal/>
    </border>
    <border>
      <left style="thin">
        <color rgb="FFFF0000"/>
      </left>
      <right style="thin">
        <color rgb="FFFF0000"/>
      </right>
      <top style="thin">
        <color rgb="FFFF0000"/>
      </top>
      <bottom style="double">
        <color rgb="FFFF0000"/>
      </bottom>
      <diagonal/>
    </border>
    <border>
      <left style="thin">
        <color rgb="FFFF0000"/>
      </left>
      <right style="medium">
        <color rgb="FFFF0000"/>
      </right>
      <top style="thin">
        <color rgb="FFFF0000"/>
      </top>
      <bottom style="double">
        <color rgb="FFFF0000"/>
      </bottom>
      <diagonal/>
    </border>
    <border>
      <left style="medium">
        <color indexed="64"/>
      </left>
      <right style="thin">
        <color rgb="FFFF0000"/>
      </right>
      <top style="double">
        <color rgb="FFFF0000"/>
      </top>
      <bottom style="thin">
        <color rgb="FFFF0000"/>
      </bottom>
      <diagonal/>
    </border>
    <border>
      <left style="thin">
        <color rgb="FFFF0000"/>
      </left>
      <right style="thin">
        <color rgb="FFFF0000"/>
      </right>
      <top style="double">
        <color rgb="FFFF0000"/>
      </top>
      <bottom style="thin">
        <color rgb="FFFF0000"/>
      </bottom>
      <diagonal/>
    </border>
    <border>
      <left style="thin">
        <color rgb="FFFF0000"/>
      </left>
      <right style="medium">
        <color rgb="FFFF0000"/>
      </right>
      <top style="double">
        <color rgb="FFFF0000"/>
      </top>
      <bottom style="thin">
        <color rgb="FFFF0000"/>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double">
        <color rgb="FFFF0000"/>
      </bottom>
      <diagonal/>
    </border>
    <border>
      <left style="thin">
        <color rgb="FFFF0000"/>
      </left>
      <right/>
      <top style="double">
        <color rgb="FFFF0000"/>
      </top>
      <bottom style="thin">
        <color rgb="FFFF0000"/>
      </bottom>
      <diagonal/>
    </border>
    <border>
      <left style="thin">
        <color rgb="FFFF0000"/>
      </left>
      <right/>
      <top style="thin">
        <color rgb="FFFF0000"/>
      </top>
      <bottom style="medium">
        <color rgb="FFFF0000"/>
      </bottom>
      <diagonal/>
    </border>
    <border>
      <left/>
      <right style="thin">
        <color rgb="FFFF0000"/>
      </right>
      <top style="medium">
        <color rgb="FFFF0000"/>
      </top>
      <bottom style="thin">
        <color rgb="FFFF0000"/>
      </bottom>
      <diagonal/>
    </border>
    <border>
      <left/>
      <right style="thin">
        <color rgb="FFFF0000"/>
      </right>
      <top style="thin">
        <color rgb="FFFF0000"/>
      </top>
      <bottom style="thin">
        <color rgb="FFFF0000"/>
      </bottom>
      <diagonal/>
    </border>
    <border>
      <left/>
      <right style="thin">
        <color rgb="FFFF0000"/>
      </right>
      <top style="thin">
        <color rgb="FFFF0000"/>
      </top>
      <bottom style="double">
        <color rgb="FFFF0000"/>
      </bottom>
      <diagonal/>
    </border>
    <border>
      <left/>
      <right style="thin">
        <color rgb="FFFF0000"/>
      </right>
      <top style="double">
        <color rgb="FFFF0000"/>
      </top>
      <bottom style="thin">
        <color rgb="FFFF0000"/>
      </bottom>
      <diagonal/>
    </border>
    <border>
      <left/>
      <right style="thin">
        <color rgb="FFFF0000"/>
      </right>
      <top style="thin">
        <color rgb="FFFF0000"/>
      </top>
      <bottom style="medium">
        <color rgb="FFFF0000"/>
      </bottom>
      <diagonal/>
    </border>
    <border>
      <left style="medium">
        <color rgb="FFFF0000"/>
      </left>
      <right style="thin">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medium">
        <color rgb="FFFF0000"/>
      </left>
      <right style="thin">
        <color rgb="FFFF0000"/>
      </right>
      <top style="thin">
        <color rgb="FFFF0000"/>
      </top>
      <bottom style="double">
        <color rgb="FFFF0000"/>
      </bottom>
      <diagonal/>
    </border>
    <border>
      <left style="medium">
        <color rgb="FFFF0000"/>
      </left>
      <right style="thin">
        <color rgb="FFFF0000"/>
      </right>
      <top style="double">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indexed="64"/>
      </left>
      <right style="medium">
        <color indexed="64"/>
      </right>
      <top style="double">
        <color indexed="64"/>
      </top>
      <bottom style="double">
        <color indexed="64"/>
      </bottom>
      <diagonal/>
    </border>
    <border>
      <left style="thick">
        <color rgb="FF0000FF"/>
      </left>
      <right style="thin">
        <color rgb="FF0000FF"/>
      </right>
      <top style="thick">
        <color rgb="FF0000FF"/>
      </top>
      <bottom style="thin">
        <color rgb="FF0000FF"/>
      </bottom>
      <diagonal/>
    </border>
    <border>
      <left style="thin">
        <color rgb="FF0000FF"/>
      </left>
      <right style="thin">
        <color rgb="FF0000FF"/>
      </right>
      <top style="thick">
        <color rgb="FF0000FF"/>
      </top>
      <bottom style="thin">
        <color rgb="FF0000FF"/>
      </bottom>
      <diagonal/>
    </border>
    <border>
      <left style="thin">
        <color rgb="FF0000FF"/>
      </left>
      <right style="thick">
        <color rgb="FF0000FF"/>
      </right>
      <top style="thick">
        <color rgb="FF0000FF"/>
      </top>
      <bottom style="thin">
        <color rgb="FF0000FF"/>
      </bottom>
      <diagonal/>
    </border>
    <border>
      <left style="thick">
        <color rgb="FF0000FF"/>
      </left>
      <right style="thin">
        <color rgb="FF0000FF"/>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style="thin">
        <color rgb="FF0000FF"/>
      </left>
      <right style="thick">
        <color rgb="FF0000FF"/>
      </right>
      <top style="thin">
        <color rgb="FF0000FF"/>
      </top>
      <bottom style="thin">
        <color rgb="FF0000FF"/>
      </bottom>
      <diagonal/>
    </border>
    <border>
      <left style="thick">
        <color rgb="FF0000FF"/>
      </left>
      <right style="thin">
        <color rgb="FF0000FF"/>
      </right>
      <top style="thin">
        <color rgb="FF0000FF"/>
      </top>
      <bottom/>
      <diagonal/>
    </border>
    <border>
      <left style="thin">
        <color rgb="FF0000FF"/>
      </left>
      <right style="thin">
        <color rgb="FF0000FF"/>
      </right>
      <top style="thin">
        <color rgb="FF0000FF"/>
      </top>
      <bottom/>
      <diagonal/>
    </border>
    <border>
      <left style="thin">
        <color rgb="FF0000FF"/>
      </left>
      <right style="thick">
        <color rgb="FF0000FF"/>
      </right>
      <top style="thin">
        <color rgb="FF0000FF"/>
      </top>
      <bottom/>
      <diagonal/>
    </border>
    <border>
      <left style="thick">
        <color rgb="FF0000FF"/>
      </left>
      <right style="thin">
        <color rgb="FF0000FF"/>
      </right>
      <top style="double">
        <color rgb="FF0000FF"/>
      </top>
      <bottom style="thick">
        <color rgb="FF0000FF"/>
      </bottom>
      <diagonal/>
    </border>
    <border>
      <left style="thin">
        <color rgb="FF0000FF"/>
      </left>
      <right style="thin">
        <color rgb="FF0000FF"/>
      </right>
      <top style="double">
        <color rgb="FF0000FF"/>
      </top>
      <bottom style="thick">
        <color rgb="FF0000FF"/>
      </bottom>
      <diagonal/>
    </border>
    <border>
      <left style="thin">
        <color rgb="FF0000FF"/>
      </left>
      <right style="thick">
        <color rgb="FF0000FF"/>
      </right>
      <top style="double">
        <color rgb="FF0000FF"/>
      </top>
      <bottom style="thick">
        <color rgb="FF0000FF"/>
      </bottom>
      <diagonal/>
    </border>
    <border>
      <left style="thick">
        <color rgb="FF0000FF"/>
      </left>
      <right style="thin">
        <color rgb="FF0000FF"/>
      </right>
      <top/>
      <bottom style="thin">
        <color rgb="FF0000FF"/>
      </bottom>
      <diagonal/>
    </border>
    <border>
      <left style="thin">
        <color rgb="FF0000FF"/>
      </left>
      <right style="thin">
        <color rgb="FF0000FF"/>
      </right>
      <top/>
      <bottom style="thin">
        <color rgb="FF0000FF"/>
      </bottom>
      <diagonal/>
    </border>
    <border>
      <left style="thin">
        <color rgb="FF0000FF"/>
      </left>
      <right style="thick">
        <color rgb="FF0000FF"/>
      </right>
      <top/>
      <bottom style="thin">
        <color rgb="FF0000FF"/>
      </bottom>
      <diagonal/>
    </border>
    <border>
      <left style="thick">
        <color rgb="FF0000FF"/>
      </left>
      <right style="thin">
        <color rgb="FF0000FF"/>
      </right>
      <top/>
      <bottom style="double">
        <color rgb="FF0000FF"/>
      </bottom>
      <diagonal/>
    </border>
    <border>
      <left style="thin">
        <color rgb="FF0000FF"/>
      </left>
      <right style="thin">
        <color rgb="FF0000FF"/>
      </right>
      <top/>
      <bottom style="double">
        <color rgb="FF0000FF"/>
      </bottom>
      <diagonal/>
    </border>
    <border>
      <left style="thin">
        <color rgb="FF0000FF"/>
      </left>
      <right style="thick">
        <color rgb="FF0000FF"/>
      </right>
      <top/>
      <bottom style="double">
        <color rgb="FF0000FF"/>
      </bottom>
      <diagonal/>
    </border>
    <border>
      <left style="thin">
        <color rgb="FF0000FF"/>
      </left>
      <right/>
      <top style="thick">
        <color rgb="FF0000FF"/>
      </top>
      <bottom style="thin">
        <color rgb="FF0000FF"/>
      </bottom>
      <diagonal/>
    </border>
    <border>
      <left style="thin">
        <color rgb="FF0000FF"/>
      </left>
      <right/>
      <top style="thin">
        <color rgb="FF0000FF"/>
      </top>
      <bottom/>
      <diagonal/>
    </border>
    <border>
      <left style="thin">
        <color rgb="FF0000FF"/>
      </left>
      <right/>
      <top/>
      <bottom style="thin">
        <color rgb="FF0000FF"/>
      </bottom>
      <diagonal/>
    </border>
    <border>
      <left style="thin">
        <color rgb="FF0000FF"/>
      </left>
      <right/>
      <top style="thin">
        <color rgb="FF0000FF"/>
      </top>
      <bottom style="thin">
        <color rgb="FF0000FF"/>
      </bottom>
      <diagonal/>
    </border>
    <border>
      <left style="thin">
        <color rgb="FF0000FF"/>
      </left>
      <right/>
      <top style="double">
        <color rgb="FF0000FF"/>
      </top>
      <bottom style="thick">
        <color rgb="FF0000FF"/>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hair">
        <color indexed="64"/>
      </top>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3" fillId="0" borderId="0">
      <alignment vertical="center"/>
    </xf>
    <xf numFmtId="38" fontId="17" fillId="0" borderId="0" applyFont="0" applyFill="0" applyBorder="0" applyAlignment="0" applyProtection="0">
      <alignment vertical="center"/>
    </xf>
    <xf numFmtId="0" fontId="94" fillId="0" borderId="0" applyNumberFormat="0" applyFill="0" applyBorder="0" applyAlignment="0" applyProtection="0">
      <alignment vertical="center"/>
    </xf>
  </cellStyleXfs>
  <cellXfs count="1725">
    <xf numFmtId="0" fontId="0" fillId="0" borderId="0" xfId="0">
      <alignment vertical="center"/>
    </xf>
    <xf numFmtId="0" fontId="5" fillId="0" borderId="0" xfId="0" applyFont="1" applyAlignment="1" applyProtection="1">
      <alignment horizontal="center" vertical="center" shrinkToFit="1"/>
    </xf>
    <xf numFmtId="0" fontId="5" fillId="0" borderId="0" xfId="0" applyFont="1" applyAlignment="1" applyProtection="1">
      <alignment vertical="center" shrinkToFit="1"/>
    </xf>
    <xf numFmtId="38" fontId="5" fillId="0" borderId="3" xfId="0" applyNumberFormat="1" applyFont="1" applyFill="1" applyBorder="1" applyAlignment="1" applyProtection="1">
      <alignment horizontal="right" vertical="center" shrinkToFit="1"/>
    </xf>
    <xf numFmtId="0" fontId="5" fillId="0" borderId="0" xfId="0" applyFont="1" applyBorder="1" applyAlignment="1" applyProtection="1">
      <alignment vertical="center" shrinkToFit="1"/>
    </xf>
    <xf numFmtId="38" fontId="5" fillId="0" borderId="3" xfId="0" applyNumberFormat="1" applyFont="1" applyBorder="1" applyAlignment="1" applyProtection="1">
      <alignment horizontal="right" vertical="center" shrinkToFit="1"/>
    </xf>
    <xf numFmtId="38" fontId="5" fillId="5" borderId="3" xfId="0" applyNumberFormat="1" applyFont="1" applyFill="1" applyBorder="1" applyAlignment="1" applyProtection="1">
      <alignment horizontal="right" vertical="center" shrinkToFit="1"/>
    </xf>
    <xf numFmtId="38" fontId="5" fillId="0" borderId="0" xfId="0" applyNumberFormat="1" applyFont="1" applyBorder="1" applyAlignment="1" applyProtection="1">
      <alignment horizontal="right" vertical="center" shrinkToFit="1"/>
    </xf>
    <xf numFmtId="0" fontId="5" fillId="0" borderId="0" xfId="0" applyFont="1" applyBorder="1" applyAlignment="1" applyProtection="1">
      <alignment horizontal="distributed" vertical="center" shrinkToFit="1"/>
    </xf>
    <xf numFmtId="38" fontId="5" fillId="0" borderId="38" xfId="0" applyNumberFormat="1" applyFont="1" applyFill="1" applyBorder="1" applyAlignment="1" applyProtection="1">
      <alignment horizontal="right" vertical="center" shrinkToFit="1"/>
    </xf>
    <xf numFmtId="38" fontId="5" fillId="0" borderId="0" xfId="0" applyNumberFormat="1" applyFont="1" applyFill="1" applyBorder="1" applyAlignment="1" applyProtection="1">
      <alignment horizontal="right" vertical="center" shrinkToFit="1"/>
    </xf>
    <xf numFmtId="0" fontId="5" fillId="0" borderId="0" xfId="0" applyFont="1" applyFill="1" applyBorder="1" applyAlignment="1" applyProtection="1">
      <alignment vertical="center" shrinkToFit="1"/>
    </xf>
    <xf numFmtId="0" fontId="9" fillId="0" borderId="0" xfId="0" applyFont="1" applyAlignment="1" applyProtection="1">
      <alignment vertical="center"/>
    </xf>
    <xf numFmtId="0" fontId="1" fillId="0" borderId="0" xfId="0" applyFont="1" applyProtection="1">
      <alignment vertical="center"/>
    </xf>
    <xf numFmtId="0" fontId="10" fillId="0" borderId="0" xfId="0" applyFont="1" applyProtection="1">
      <alignment vertical="center"/>
    </xf>
    <xf numFmtId="0" fontId="1" fillId="3" borderId="14"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Alignment="1" applyProtection="1">
      <alignment horizontal="center" vertical="center"/>
    </xf>
    <xf numFmtId="0" fontId="1" fillId="0" borderId="0" xfId="0" applyFont="1" applyFill="1" applyBorder="1" applyAlignment="1" applyProtection="1">
      <alignment horizontal="center" vertical="center"/>
    </xf>
    <xf numFmtId="0" fontId="1" fillId="0" borderId="0" xfId="0" applyFont="1" applyFill="1" applyBorder="1" applyProtection="1">
      <alignment vertical="center"/>
    </xf>
    <xf numFmtId="0" fontId="9" fillId="0" borderId="0" xfId="0" applyFont="1" applyBorder="1" applyAlignment="1" applyProtection="1">
      <alignment vertical="center"/>
    </xf>
    <xf numFmtId="38" fontId="1" fillId="2" borderId="24" xfId="0" applyNumberFormat="1" applyFont="1" applyFill="1" applyBorder="1" applyProtection="1">
      <alignment vertical="center"/>
      <protection locked="0"/>
    </xf>
    <xf numFmtId="0" fontId="1" fillId="0" borderId="25" xfId="0" applyFont="1" applyBorder="1" applyAlignment="1" applyProtection="1">
      <alignment horizontal="left" vertical="center"/>
    </xf>
    <xf numFmtId="38" fontId="1" fillId="0" borderId="24" xfId="0" applyNumberFormat="1" applyFont="1" applyBorder="1" applyProtection="1">
      <alignment vertical="center"/>
    </xf>
    <xf numFmtId="0" fontId="1" fillId="0" borderId="26" xfId="0" applyFont="1" applyBorder="1" applyAlignment="1" applyProtection="1">
      <alignment horizontal="left" vertical="center"/>
    </xf>
    <xf numFmtId="0" fontId="9" fillId="0" borderId="0" xfId="0" applyFont="1" applyBorder="1" applyAlignment="1" applyProtection="1">
      <alignment vertical="center" shrinkToFit="1"/>
    </xf>
    <xf numFmtId="0" fontId="9" fillId="0" borderId="0" xfId="0" applyFont="1" applyFill="1" applyBorder="1" applyAlignment="1" applyProtection="1">
      <alignment vertical="center"/>
    </xf>
    <xf numFmtId="38" fontId="1" fillId="5" borderId="11" xfId="0" applyNumberFormat="1" applyFont="1" applyFill="1" applyBorder="1" applyAlignment="1" applyProtection="1">
      <alignment vertical="center" shrinkToFit="1"/>
    </xf>
    <xf numFmtId="176" fontId="1" fillId="5" borderId="29" xfId="0" applyNumberFormat="1" applyFont="1" applyFill="1" applyBorder="1" applyAlignment="1" applyProtection="1">
      <alignment horizontal="left" vertical="center" shrinkToFit="1"/>
    </xf>
    <xf numFmtId="176" fontId="1" fillId="0" borderId="41" xfId="0" applyNumberFormat="1" applyFont="1" applyBorder="1" applyAlignment="1" applyProtection="1">
      <alignment horizontal="left" vertical="center" shrinkToFit="1"/>
    </xf>
    <xf numFmtId="0" fontId="1" fillId="0" borderId="3" xfId="0" applyFont="1" applyBorder="1" applyAlignment="1" applyProtection="1">
      <alignment horizontal="center" vertical="center"/>
    </xf>
    <xf numFmtId="177" fontId="1" fillId="2" borderId="3" xfId="0" applyNumberFormat="1" applyFont="1" applyFill="1" applyBorder="1" applyAlignment="1" applyProtection="1">
      <alignment horizontal="center" vertical="center" shrinkToFit="1"/>
      <protection locked="0"/>
    </xf>
    <xf numFmtId="0" fontId="9" fillId="0" borderId="0" xfId="0" applyFont="1" applyProtection="1">
      <alignment vertical="center"/>
    </xf>
    <xf numFmtId="0" fontId="1" fillId="5" borderId="3"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xf>
    <xf numFmtId="0" fontId="1" fillId="0" borderId="0" xfId="0" applyFont="1" applyFill="1" applyProtection="1">
      <alignment vertical="center"/>
    </xf>
    <xf numFmtId="38" fontId="1" fillId="0" borderId="3" xfId="0" applyNumberFormat="1" applyFont="1" applyBorder="1" applyProtection="1">
      <alignment vertical="center"/>
    </xf>
    <xf numFmtId="38" fontId="1" fillId="5" borderId="3" xfId="0" applyNumberFormat="1" applyFont="1" applyFill="1" applyBorder="1" applyProtection="1">
      <alignment vertical="center"/>
    </xf>
    <xf numFmtId="0" fontId="1" fillId="5" borderId="3" xfId="0" applyFont="1" applyFill="1" applyBorder="1" applyProtection="1">
      <alignment vertical="center"/>
    </xf>
    <xf numFmtId="38" fontId="1" fillId="0" borderId="3" xfId="0" applyNumberFormat="1" applyFont="1" applyFill="1" applyBorder="1" applyProtection="1">
      <alignment vertical="center"/>
    </xf>
    <xf numFmtId="0" fontId="5" fillId="0" borderId="3" xfId="0" applyFont="1" applyBorder="1" applyAlignment="1" applyProtection="1">
      <alignment horizontal="distributed" vertical="center" shrinkToFit="1"/>
    </xf>
    <xf numFmtId="38" fontId="9" fillId="0" borderId="43" xfId="2" applyFont="1" applyBorder="1" applyProtection="1">
      <alignment vertical="center"/>
      <protection locked="0"/>
    </xf>
    <xf numFmtId="38" fontId="9" fillId="0" borderId="106" xfId="2" applyFont="1" applyBorder="1" applyProtection="1">
      <alignment vertical="center"/>
      <protection locked="0"/>
    </xf>
    <xf numFmtId="0" fontId="1" fillId="2" borderId="65" xfId="0" applyFont="1" applyFill="1" applyBorder="1" applyAlignment="1" applyProtection="1">
      <alignment horizontal="right" vertical="center"/>
      <protection locked="0"/>
    </xf>
    <xf numFmtId="0" fontId="1" fillId="2" borderId="66" xfId="0" applyFont="1" applyFill="1" applyBorder="1" applyAlignment="1" applyProtection="1">
      <alignment horizontal="right" vertical="center"/>
      <protection locked="0"/>
    </xf>
    <xf numFmtId="0" fontId="1" fillId="2" borderId="71" xfId="0" applyFont="1" applyFill="1" applyBorder="1" applyAlignment="1" applyProtection="1">
      <alignment horizontal="right" vertical="center"/>
      <protection locked="0"/>
    </xf>
    <xf numFmtId="0" fontId="1" fillId="4" borderId="89" xfId="0" applyFont="1" applyFill="1" applyBorder="1" applyAlignment="1" applyProtection="1">
      <alignment horizontal="center" vertical="center"/>
      <protection locked="0"/>
    </xf>
    <xf numFmtId="0" fontId="1" fillId="4" borderId="31" xfId="0" applyFont="1" applyFill="1" applyBorder="1" applyAlignment="1" applyProtection="1">
      <alignment horizontal="center" vertical="center"/>
      <protection locked="0"/>
    </xf>
    <xf numFmtId="0" fontId="10" fillId="4" borderId="31"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38" fontId="14" fillId="0" borderId="60" xfId="2" applyFont="1" applyFill="1" applyBorder="1" applyAlignment="1" applyProtection="1">
      <alignment vertical="center"/>
    </xf>
    <xf numFmtId="38" fontId="14" fillId="0" borderId="107" xfId="2" applyFont="1" applyFill="1" applyBorder="1" applyAlignment="1" applyProtection="1">
      <alignment vertical="center"/>
    </xf>
    <xf numFmtId="38" fontId="9" fillId="0" borderId="108" xfId="2" applyFont="1" applyFill="1" applyBorder="1" applyProtection="1">
      <alignment vertical="center"/>
    </xf>
    <xf numFmtId="0" fontId="5" fillId="0" borderId="3" xfId="0" applyFont="1" applyFill="1" applyBorder="1" applyAlignment="1" applyProtection="1">
      <alignment horizontal="distributed" vertical="center" shrinkToFit="1"/>
    </xf>
    <xf numFmtId="38" fontId="5" fillId="0" borderId="39" xfId="0" applyNumberFormat="1" applyFont="1" applyFill="1" applyBorder="1" applyAlignment="1" applyProtection="1">
      <alignment horizontal="right" vertical="center" shrinkToFit="1"/>
    </xf>
    <xf numFmtId="0" fontId="5" fillId="0" borderId="0" xfId="0" applyFont="1" applyAlignment="1" applyProtection="1">
      <alignment horizontal="right" vertical="center" shrinkToFit="1"/>
    </xf>
    <xf numFmtId="38" fontId="1" fillId="0" borderId="40" xfId="0" applyNumberFormat="1" applyFont="1" applyFill="1" applyBorder="1" applyAlignment="1" applyProtection="1">
      <alignment vertical="center" shrinkToFit="1"/>
    </xf>
    <xf numFmtId="0" fontId="5" fillId="0" borderId="0" xfId="0" applyFont="1" applyFill="1" applyAlignment="1" applyProtection="1">
      <alignment horizontal="center" vertical="center" shrinkToFit="1"/>
    </xf>
    <xf numFmtId="0" fontId="5" fillId="0" borderId="0" xfId="0" applyFont="1" applyFill="1" applyBorder="1" applyAlignment="1" applyProtection="1">
      <alignment horizontal="distributed" vertical="center" shrinkToFit="1"/>
    </xf>
    <xf numFmtId="0" fontId="5" fillId="0" borderId="114" xfId="0" applyFont="1" applyFill="1" applyBorder="1" applyAlignment="1" applyProtection="1">
      <alignment horizontal="distributed" vertical="center" shrinkToFit="1"/>
    </xf>
    <xf numFmtId="0" fontId="7" fillId="0" borderId="114" xfId="0" applyFont="1" applyFill="1" applyBorder="1" applyAlignment="1" applyProtection="1">
      <alignment horizontal="distributed" vertical="center" shrinkToFit="1"/>
    </xf>
    <xf numFmtId="0" fontId="5" fillId="0" borderId="3" xfId="0" applyFont="1" applyFill="1" applyBorder="1" applyAlignment="1" applyProtection="1">
      <alignment horizontal="center" vertical="center" shrinkToFit="1"/>
    </xf>
    <xf numFmtId="0" fontId="5" fillId="0" borderId="0" xfId="0" applyFont="1" applyFill="1" applyAlignment="1" applyProtection="1">
      <alignment vertical="center" shrinkToFit="1"/>
    </xf>
    <xf numFmtId="38" fontId="28" fillId="0" borderId="0" xfId="0" applyNumberFormat="1" applyFont="1" applyFill="1" applyBorder="1" applyAlignment="1" applyProtection="1">
      <alignment horizontal="right" vertical="center" shrinkToFit="1"/>
    </xf>
    <xf numFmtId="38" fontId="5" fillId="0" borderId="3" xfId="0" applyNumberFormat="1" applyFont="1" applyFill="1" applyBorder="1" applyAlignment="1" applyProtection="1">
      <alignment vertical="center" shrinkToFit="1"/>
    </xf>
    <xf numFmtId="38" fontId="23" fillId="0" borderId="3" xfId="0" applyNumberFormat="1" applyFont="1" applyFill="1" applyBorder="1" applyAlignment="1" applyProtection="1">
      <alignment horizontal="right" vertical="center" shrinkToFit="1"/>
    </xf>
    <xf numFmtId="38" fontId="24" fillId="0" borderId="3" xfId="0" applyNumberFormat="1" applyFont="1" applyFill="1" applyBorder="1" applyAlignment="1" applyProtection="1">
      <alignment horizontal="right" vertical="center" shrinkToFit="1"/>
    </xf>
    <xf numFmtId="38" fontId="25" fillId="0" borderId="3" xfId="0" applyNumberFormat="1" applyFont="1" applyFill="1" applyBorder="1" applyAlignment="1" applyProtection="1">
      <alignment horizontal="right" vertical="center" shrinkToFit="1"/>
    </xf>
    <xf numFmtId="38" fontId="26" fillId="0" borderId="3" xfId="0" applyNumberFormat="1" applyFont="1" applyFill="1" applyBorder="1" applyAlignment="1" applyProtection="1">
      <alignment horizontal="right" vertical="center" shrinkToFit="1"/>
    </xf>
    <xf numFmtId="38" fontId="27" fillId="0" borderId="3" xfId="0" applyNumberFormat="1" applyFont="1" applyFill="1" applyBorder="1" applyAlignment="1" applyProtection="1">
      <alignment horizontal="right" vertical="center" shrinkToFit="1"/>
    </xf>
    <xf numFmtId="38" fontId="28" fillId="0" borderId="3" xfId="0" applyNumberFormat="1" applyFont="1" applyFill="1" applyBorder="1" applyAlignment="1" applyProtection="1">
      <alignment horizontal="right" vertical="center" shrinkToFit="1"/>
    </xf>
    <xf numFmtId="0" fontId="23" fillId="0" borderId="3" xfId="0" applyFont="1" applyFill="1" applyBorder="1" applyAlignment="1" applyProtection="1">
      <alignment horizontal="center" vertical="center" shrinkToFit="1"/>
    </xf>
    <xf numFmtId="0" fontId="5" fillId="0" borderId="3" xfId="0" applyFont="1" applyFill="1" applyBorder="1" applyAlignment="1" applyProtection="1">
      <alignment horizontal="right" vertical="center" shrinkToFit="1"/>
    </xf>
    <xf numFmtId="0" fontId="5" fillId="0" borderId="0" xfId="0" applyFont="1" applyFill="1" applyAlignment="1" applyProtection="1">
      <alignment horizontal="right" vertical="center" shrinkToFit="1"/>
    </xf>
    <xf numFmtId="38" fontId="7" fillId="0" borderId="3" xfId="0" applyNumberFormat="1" applyFont="1" applyFill="1" applyBorder="1" applyAlignment="1" applyProtection="1">
      <alignment horizontal="right" vertical="center" shrinkToFit="1"/>
    </xf>
    <xf numFmtId="0" fontId="5" fillId="0" borderId="39" xfId="0" applyFont="1" applyFill="1" applyBorder="1" applyAlignment="1" applyProtection="1">
      <alignment horizontal="center" vertical="center" shrinkToFit="1"/>
    </xf>
    <xf numFmtId="0" fontId="5" fillId="0" borderId="38" xfId="0" applyFont="1" applyFill="1" applyBorder="1" applyAlignment="1" applyProtection="1">
      <alignment horizontal="center" vertical="center" wrapText="1" shrinkToFit="1"/>
    </xf>
    <xf numFmtId="9" fontId="5" fillId="0" borderId="0" xfId="0" applyNumberFormat="1" applyFont="1" applyBorder="1" applyAlignment="1" applyProtection="1">
      <alignment horizontal="left" vertical="center" shrinkToFit="1"/>
    </xf>
    <xf numFmtId="0" fontId="5" fillId="0" borderId="3" xfId="0" applyNumberFormat="1" applyFont="1" applyBorder="1" applyAlignment="1" applyProtection="1">
      <alignment horizontal="right" vertical="center" shrinkToFit="1"/>
    </xf>
    <xf numFmtId="0" fontId="0" fillId="0" borderId="0" xfId="0" applyAlignment="1">
      <alignment horizontal="center" vertical="center"/>
    </xf>
    <xf numFmtId="0" fontId="1" fillId="0" borderId="0" xfId="0" applyFont="1" applyAlignment="1" applyProtection="1">
      <alignment vertical="center" shrinkToFit="1"/>
    </xf>
    <xf numFmtId="0" fontId="1" fillId="0" borderId="0" xfId="0" applyFont="1" applyAlignment="1" applyProtection="1">
      <alignment horizontal="center" vertical="center" shrinkToFit="1"/>
    </xf>
    <xf numFmtId="38" fontId="1" fillId="0" borderId="0" xfId="0" applyNumberFormat="1" applyFont="1" applyBorder="1" applyAlignment="1" applyProtection="1">
      <alignment vertical="center" shrinkToFit="1"/>
    </xf>
    <xf numFmtId="0" fontId="5" fillId="0" borderId="3" xfId="0" applyFont="1" applyBorder="1" applyAlignment="1" applyProtection="1">
      <alignment horizontal="center" vertical="center" shrinkToFit="1"/>
    </xf>
    <xf numFmtId="38" fontId="5" fillId="11" borderId="3" xfId="0" applyNumberFormat="1" applyFont="1" applyFill="1" applyBorder="1" applyAlignment="1" applyProtection="1">
      <alignment vertical="center" shrinkToFit="1"/>
    </xf>
    <xf numFmtId="38" fontId="5" fillId="0" borderId="3" xfId="0" applyNumberFormat="1" applyFont="1" applyBorder="1" applyAlignment="1" applyProtection="1">
      <alignment vertical="center" shrinkToFit="1"/>
    </xf>
    <xf numFmtId="38" fontId="5" fillId="0" borderId="0" xfId="0" applyNumberFormat="1" applyFont="1" applyAlignment="1" applyProtection="1">
      <alignment horizontal="right" vertical="center" shrinkToFit="1"/>
    </xf>
    <xf numFmtId="3" fontId="34" fillId="0" borderId="0" xfId="1" applyNumberFormat="1" applyFont="1" applyAlignment="1">
      <alignment horizontal="left" vertical="center"/>
    </xf>
    <xf numFmtId="0" fontId="35" fillId="0" borderId="0" xfId="1" applyFont="1">
      <alignment vertical="center"/>
    </xf>
    <xf numFmtId="0" fontId="34" fillId="0" borderId="0" xfId="1" applyFont="1">
      <alignment vertical="center"/>
    </xf>
    <xf numFmtId="0" fontId="36" fillId="9" borderId="0" xfId="1" applyFont="1" applyFill="1" applyAlignment="1">
      <alignment vertical="center" shrinkToFit="1"/>
    </xf>
    <xf numFmtId="0" fontId="38" fillId="9" borderId="0" xfId="1" applyFont="1" applyFill="1" applyAlignment="1">
      <alignment vertical="center" shrinkToFit="1"/>
    </xf>
    <xf numFmtId="183" fontId="31" fillId="0" borderId="0" xfId="1" applyNumberFormat="1" applyFont="1">
      <alignment vertical="center"/>
    </xf>
    <xf numFmtId="185" fontId="31" fillId="0" borderId="0" xfId="1" applyNumberFormat="1" applyFont="1">
      <alignment vertical="center"/>
    </xf>
    <xf numFmtId="3" fontId="35" fillId="0" borderId="0" xfId="1" applyNumberFormat="1" applyFont="1">
      <alignment vertical="center"/>
    </xf>
    <xf numFmtId="3" fontId="31" fillId="0" borderId="0" xfId="1" applyNumberFormat="1" applyFont="1" applyAlignment="1">
      <alignment vertical="center" shrinkToFit="1"/>
    </xf>
    <xf numFmtId="3" fontId="31" fillId="0" borderId="0" xfId="1" applyNumberFormat="1" applyFont="1">
      <alignment vertical="center"/>
    </xf>
    <xf numFmtId="182" fontId="31" fillId="0" borderId="0" xfId="1" applyNumberFormat="1" applyFont="1">
      <alignment vertical="center"/>
    </xf>
    <xf numFmtId="183" fontId="35" fillId="0" borderId="0" xfId="1" applyNumberFormat="1" applyFont="1">
      <alignment vertical="center"/>
    </xf>
    <xf numFmtId="182" fontId="31" fillId="0" borderId="0" xfId="1" applyNumberFormat="1" applyFont="1" applyAlignment="1">
      <alignment horizontal="center" vertical="center"/>
    </xf>
    <xf numFmtId="183" fontId="31" fillId="0" borderId="0" xfId="1" applyNumberFormat="1" applyFont="1" applyAlignment="1">
      <alignment horizontal="center" vertical="center"/>
    </xf>
    <xf numFmtId="0" fontId="30" fillId="0" borderId="140" xfId="0" applyFont="1" applyBorder="1" applyAlignment="1">
      <alignment horizontal="center" vertical="center" wrapText="1"/>
    </xf>
    <xf numFmtId="0" fontId="40" fillId="0" borderId="140" xfId="0" applyFont="1" applyBorder="1" applyAlignment="1">
      <alignment horizontal="center" vertical="center"/>
    </xf>
    <xf numFmtId="0" fontId="30" fillId="0" borderId="142" xfId="0" applyFont="1" applyBorder="1" applyAlignment="1">
      <alignment horizontal="center" vertical="top" wrapText="1"/>
    </xf>
    <xf numFmtId="0" fontId="30" fillId="0" borderId="142" xfId="0" applyFont="1" applyBorder="1" applyAlignment="1">
      <alignment horizontal="center" vertical="center" wrapText="1"/>
    </xf>
    <xf numFmtId="0" fontId="30" fillId="0" borderId="140" xfId="0" applyFont="1" applyFill="1" applyBorder="1" applyAlignment="1">
      <alignment horizontal="center" vertical="center" wrapText="1"/>
    </xf>
    <xf numFmtId="0" fontId="30" fillId="0" borderId="141" xfId="0" applyFont="1" applyFill="1" applyBorder="1" applyAlignment="1">
      <alignment horizontal="center" vertical="center" wrapText="1"/>
    </xf>
    <xf numFmtId="183" fontId="31" fillId="0" borderId="61" xfId="1" applyNumberFormat="1" applyFont="1" applyFill="1" applyBorder="1" applyAlignment="1">
      <alignment vertical="center" wrapText="1"/>
    </xf>
    <xf numFmtId="183" fontId="31" fillId="0" borderId="50" xfId="1" applyNumberFormat="1" applyFont="1" applyFill="1" applyBorder="1" applyAlignment="1">
      <alignment vertical="center" wrapText="1"/>
    </xf>
    <xf numFmtId="183" fontId="31" fillId="0" borderId="61" xfId="1" applyNumberFormat="1" applyFont="1" applyFill="1" applyBorder="1" applyAlignment="1">
      <alignment horizontal="center" vertical="center" wrapText="1"/>
    </xf>
    <xf numFmtId="183" fontId="31" fillId="0" borderId="61" xfId="1" applyNumberFormat="1" applyFont="1" applyFill="1" applyBorder="1">
      <alignment vertical="center"/>
    </xf>
    <xf numFmtId="183" fontId="31" fillId="0" borderId="120" xfId="1" applyNumberFormat="1" applyFont="1" applyFill="1" applyBorder="1" applyAlignment="1">
      <alignment horizontal="center" vertical="center" wrapText="1"/>
    </xf>
    <xf numFmtId="183" fontId="31" fillId="0" borderId="122" xfId="1" applyNumberFormat="1" applyFont="1" applyFill="1" applyBorder="1" applyAlignment="1">
      <alignment horizontal="center" vertical="center" wrapText="1"/>
    </xf>
    <xf numFmtId="183" fontId="31" fillId="0" borderId="121" xfId="1" applyNumberFormat="1" applyFont="1" applyFill="1" applyBorder="1" applyAlignment="1">
      <alignment horizontal="center" vertical="center" wrapText="1"/>
    </xf>
    <xf numFmtId="183" fontId="31" fillId="0" borderId="50" xfId="1" applyNumberFormat="1" applyFont="1" applyFill="1" applyBorder="1" applyAlignment="1">
      <alignment horizontal="center" vertical="center" wrapText="1"/>
    </xf>
    <xf numFmtId="183" fontId="31" fillId="0" borderId="3" xfId="1" applyNumberFormat="1" applyFont="1" applyFill="1" applyBorder="1" applyAlignment="1">
      <alignment horizontal="right" vertical="center" shrinkToFit="1"/>
    </xf>
    <xf numFmtId="183" fontId="35" fillId="0" borderId="3" xfId="1" applyNumberFormat="1" applyFont="1" applyFill="1" applyBorder="1" applyAlignment="1">
      <alignment vertical="center" shrinkToFit="1"/>
    </xf>
    <xf numFmtId="183" fontId="31" fillId="0" borderId="3" xfId="1" applyNumberFormat="1" applyFont="1" applyFill="1" applyBorder="1" applyAlignment="1">
      <alignment horizontal="center" vertical="center" shrinkToFit="1"/>
    </xf>
    <xf numFmtId="183" fontId="31" fillId="0" borderId="3" xfId="1" applyNumberFormat="1" applyFont="1" applyFill="1" applyBorder="1" applyAlignment="1">
      <alignment vertical="center" shrinkToFit="1"/>
    </xf>
    <xf numFmtId="3" fontId="31" fillId="0" borderId="3" xfId="1" applyNumberFormat="1" applyFont="1" applyFill="1" applyBorder="1" applyAlignment="1">
      <alignment horizontal="center" vertical="center"/>
    </xf>
    <xf numFmtId="3" fontId="31" fillId="0" borderId="11" xfId="1" applyNumberFormat="1" applyFont="1" applyFill="1" applyBorder="1" applyAlignment="1">
      <alignment horizontal="center" vertical="center" wrapText="1"/>
    </xf>
    <xf numFmtId="182" fontId="31" fillId="0" borderId="3" xfId="1" applyNumberFormat="1" applyFont="1" applyFill="1" applyBorder="1" applyAlignment="1">
      <alignment horizontal="center" vertical="center"/>
    </xf>
    <xf numFmtId="183" fontId="31" fillId="0" borderId="50" xfId="1" applyNumberFormat="1" applyFont="1" applyFill="1" applyBorder="1" applyAlignment="1">
      <alignment horizontal="center" vertical="center"/>
    </xf>
    <xf numFmtId="3" fontId="34" fillId="0" borderId="3" xfId="1" applyNumberFormat="1" applyFont="1" applyBorder="1">
      <alignment vertical="center"/>
    </xf>
    <xf numFmtId="3" fontId="34" fillId="0" borderId="143" xfId="1" applyNumberFormat="1" applyFont="1" applyBorder="1">
      <alignment vertical="center"/>
    </xf>
    <xf numFmtId="3" fontId="41" fillId="0" borderId="3" xfId="1" applyNumberFormat="1" applyFont="1" applyBorder="1" applyAlignment="1">
      <alignment horizontal="center" vertical="center"/>
    </xf>
    <xf numFmtId="183" fontId="42" fillId="0" borderId="61" xfId="1" applyNumberFormat="1" applyFont="1" applyFill="1" applyBorder="1" applyAlignment="1">
      <alignment horizontal="center" vertical="center" wrapText="1"/>
    </xf>
    <xf numFmtId="183" fontId="42" fillId="0" borderId="61" xfId="1" applyNumberFormat="1" applyFont="1" applyFill="1" applyBorder="1" applyAlignment="1">
      <alignment vertical="center" wrapText="1"/>
    </xf>
    <xf numFmtId="183" fontId="42" fillId="0" borderId="61" xfId="1" applyNumberFormat="1" applyFont="1" applyFill="1" applyBorder="1" applyAlignment="1">
      <alignment horizontal="center" vertical="center" wrapText="1"/>
    </xf>
    <xf numFmtId="183" fontId="42" fillId="0" borderId="50" xfId="1" applyNumberFormat="1" applyFont="1" applyFill="1" applyBorder="1" applyAlignment="1">
      <alignment horizontal="center" vertical="center" wrapText="1"/>
    </xf>
    <xf numFmtId="183" fontId="43" fillId="0" borderId="3" xfId="1" applyNumberFormat="1" applyFont="1" applyFill="1" applyBorder="1" applyAlignment="1">
      <alignment vertical="center" shrinkToFit="1"/>
    </xf>
    <xf numFmtId="183" fontId="42" fillId="0" borderId="3" xfId="1" applyNumberFormat="1" applyFont="1" applyFill="1" applyBorder="1" applyAlignment="1">
      <alignment vertical="center" shrinkToFit="1"/>
    </xf>
    <xf numFmtId="3" fontId="44" fillId="0" borderId="3" xfId="1" applyNumberFormat="1" applyFont="1" applyBorder="1">
      <alignment vertical="center"/>
    </xf>
    <xf numFmtId="186" fontId="45" fillId="0" borderId="3" xfId="1" applyNumberFormat="1" applyFont="1" applyBorder="1">
      <alignment vertical="center"/>
    </xf>
    <xf numFmtId="183" fontId="46" fillId="0" borderId="3" xfId="1" applyNumberFormat="1" applyFont="1" applyFill="1" applyBorder="1" applyAlignment="1">
      <alignment vertical="center" shrinkToFit="1"/>
    </xf>
    <xf numFmtId="183" fontId="46" fillId="0" borderId="3" xfId="1" applyNumberFormat="1" applyFont="1" applyFill="1" applyBorder="1" applyAlignment="1">
      <alignment horizontal="center" vertical="center" shrinkToFit="1"/>
    </xf>
    <xf numFmtId="183" fontId="47" fillId="15" borderId="3" xfId="1" applyNumberFormat="1" applyFont="1" applyFill="1" applyBorder="1" applyAlignment="1">
      <alignment vertical="center" shrinkToFit="1"/>
    </xf>
    <xf numFmtId="183" fontId="47" fillId="15" borderId="3" xfId="1" applyNumberFormat="1" applyFont="1" applyFill="1" applyBorder="1" applyAlignment="1">
      <alignment horizontal="center" vertical="center" shrinkToFit="1"/>
    </xf>
    <xf numFmtId="186" fontId="48" fillId="15" borderId="3" xfId="1" applyNumberFormat="1" applyFont="1" applyFill="1" applyBorder="1">
      <alignment vertical="center"/>
    </xf>
    <xf numFmtId="183" fontId="47" fillId="0" borderId="3" xfId="1" applyNumberFormat="1" applyFont="1" applyFill="1" applyBorder="1" applyAlignment="1">
      <alignment vertical="center" shrinkToFit="1"/>
    </xf>
    <xf numFmtId="183" fontId="47" fillId="0" borderId="3" xfId="1" applyNumberFormat="1" applyFont="1" applyFill="1" applyBorder="1" applyAlignment="1">
      <alignment horizontal="center" vertical="center" shrinkToFit="1"/>
    </xf>
    <xf numFmtId="186" fontId="48" fillId="0" borderId="3" xfId="1" applyNumberFormat="1" applyFont="1" applyBorder="1">
      <alignment vertical="center"/>
    </xf>
    <xf numFmtId="182" fontId="31" fillId="0" borderId="3" xfId="1" applyNumberFormat="1" applyFont="1" applyBorder="1" applyAlignment="1">
      <alignment horizontal="center" vertical="center"/>
    </xf>
    <xf numFmtId="0" fontId="30" fillId="0" borderId="144" xfId="0" applyFont="1" applyFill="1" applyBorder="1" applyAlignment="1">
      <alignment horizontal="center" vertical="center" wrapText="1"/>
    </xf>
    <xf numFmtId="0" fontId="5" fillId="0" borderId="144" xfId="0" applyFont="1" applyBorder="1" applyAlignment="1">
      <alignment horizontal="center" vertical="center"/>
    </xf>
    <xf numFmtId="0" fontId="30" fillId="0" borderId="144" xfId="0" applyFont="1" applyBorder="1" applyAlignment="1">
      <alignment horizontal="center" vertical="center" wrapText="1"/>
    </xf>
    <xf numFmtId="3" fontId="34" fillId="0" borderId="11" xfId="1" applyNumberFormat="1" applyFont="1" applyBorder="1" applyAlignment="1">
      <alignment horizontal="left" vertical="center"/>
    </xf>
    <xf numFmtId="3" fontId="34" fillId="0" borderId="38" xfId="1" applyNumberFormat="1" applyFont="1" applyBorder="1" applyAlignment="1">
      <alignment horizontal="left" vertical="center"/>
    </xf>
    <xf numFmtId="3" fontId="34" fillId="0" borderId="115" xfId="1" applyNumberFormat="1" applyFont="1" applyBorder="1" applyAlignment="1">
      <alignment horizontal="left" vertical="center"/>
    </xf>
    <xf numFmtId="3" fontId="31" fillId="0" borderId="3" xfId="1" applyNumberFormat="1" applyFont="1" applyFill="1" applyBorder="1" applyAlignment="1">
      <alignment horizontal="center" vertical="center" shrinkToFit="1"/>
    </xf>
    <xf numFmtId="0" fontId="28" fillId="0" borderId="0" xfId="0" applyFont="1">
      <alignment vertical="center"/>
    </xf>
    <xf numFmtId="0" fontId="5" fillId="0" borderId="0" xfId="0" applyFont="1">
      <alignment vertical="center"/>
    </xf>
    <xf numFmtId="187" fontId="5" fillId="0" borderId="0" xfId="0" applyNumberFormat="1" applyFont="1">
      <alignment vertical="center"/>
    </xf>
    <xf numFmtId="3" fontId="5" fillId="0" borderId="0" xfId="0" applyNumberFormat="1" applyFont="1">
      <alignment vertical="center"/>
    </xf>
    <xf numFmtId="0" fontId="30" fillId="0" borderId="141" xfId="0" applyFont="1" applyBorder="1" applyAlignment="1">
      <alignment horizontal="left" vertical="top" wrapText="1"/>
    </xf>
    <xf numFmtId="187" fontId="51" fillId="16" borderId="145" xfId="0" applyNumberFormat="1" applyFont="1" applyFill="1" applyBorder="1" applyAlignment="1">
      <alignment vertical="top" wrapText="1"/>
    </xf>
    <xf numFmtId="0" fontId="7" fillId="0" borderId="0" xfId="0" applyFont="1">
      <alignment vertical="center"/>
    </xf>
    <xf numFmtId="0" fontId="30" fillId="0" borderId="146" xfId="0" applyFont="1" applyBorder="1" applyAlignment="1">
      <alignment horizontal="left" vertical="top" wrapText="1"/>
    </xf>
    <xf numFmtId="187" fontId="51" fillId="16" borderId="140" xfId="0" applyNumberFormat="1" applyFont="1" applyFill="1" applyBorder="1" applyAlignment="1">
      <alignment vertical="top" wrapText="1"/>
    </xf>
    <xf numFmtId="0" fontId="30" fillId="0" borderId="147" xfId="0" applyFont="1" applyBorder="1" applyAlignment="1">
      <alignment horizontal="left" vertical="top" wrapText="1"/>
    </xf>
    <xf numFmtId="3" fontId="30" fillId="0" borderId="3" xfId="1" applyNumberFormat="1" applyFont="1" applyBorder="1" applyAlignment="1">
      <alignment horizontal="distributed" vertical="center"/>
    </xf>
    <xf numFmtId="183" fontId="30" fillId="16" borderId="3" xfId="1" applyNumberFormat="1" applyFont="1" applyFill="1" applyBorder="1">
      <alignment vertical="center"/>
    </xf>
    <xf numFmtId="177" fontId="30" fillId="16" borderId="3" xfId="1" applyNumberFormat="1" applyFont="1" applyFill="1" applyBorder="1">
      <alignment vertical="center"/>
    </xf>
    <xf numFmtId="3" fontId="5" fillId="16" borderId="3" xfId="0" applyNumberFormat="1" applyFont="1" applyFill="1" applyBorder="1">
      <alignment vertical="center"/>
    </xf>
    <xf numFmtId="0" fontId="30" fillId="0" borderId="0" xfId="1" applyFont="1">
      <alignment vertical="center"/>
    </xf>
    <xf numFmtId="3" fontId="30" fillId="0" borderId="0" xfId="1" applyNumberFormat="1" applyFont="1" applyAlignment="1">
      <alignment horizontal="distributed" vertical="center"/>
    </xf>
    <xf numFmtId="183" fontId="30" fillId="0" borderId="0" xfId="1" applyNumberFormat="1" applyFont="1">
      <alignment vertical="center"/>
    </xf>
    <xf numFmtId="177" fontId="30" fillId="0" borderId="0" xfId="1" applyNumberFormat="1" applyFont="1">
      <alignment vertical="center"/>
    </xf>
    <xf numFmtId="182" fontId="31" fillId="0" borderId="149" xfId="1" applyNumberFormat="1" applyFont="1" applyBorder="1" applyAlignment="1">
      <alignment horizontal="center" vertical="center" wrapText="1"/>
    </xf>
    <xf numFmtId="183" fontId="35" fillId="0" borderId="149" xfId="1" applyNumberFormat="1" applyFont="1" applyBorder="1">
      <alignment vertical="center"/>
    </xf>
    <xf numFmtId="182" fontId="31" fillId="0" borderId="150" xfId="1" applyNumberFormat="1" applyFont="1" applyBorder="1" applyAlignment="1">
      <alignment horizontal="center" vertical="center"/>
    </xf>
    <xf numFmtId="0" fontId="52" fillId="0" borderId="0" xfId="0" applyFont="1" applyAlignment="1">
      <alignment horizontal="center" vertical="center"/>
    </xf>
    <xf numFmtId="0" fontId="31" fillId="0" borderId="151" xfId="1" applyFont="1" applyBorder="1" applyAlignment="1">
      <alignment vertical="center" wrapText="1"/>
    </xf>
    <xf numFmtId="182" fontId="31" fillId="0" borderId="51" xfId="1" applyNumberFormat="1" applyFont="1" applyBorder="1" applyAlignment="1">
      <alignment horizontal="center" vertical="center"/>
    </xf>
    <xf numFmtId="183" fontId="53" fillId="16" borderId="51" xfId="1" applyNumberFormat="1" applyFont="1" applyFill="1" applyBorder="1">
      <alignment vertical="center"/>
    </xf>
    <xf numFmtId="3" fontId="53" fillId="0" borderId="52" xfId="1" applyNumberFormat="1" applyFont="1" applyBorder="1">
      <alignment vertical="center"/>
    </xf>
    <xf numFmtId="3" fontId="52" fillId="16" borderId="0" xfId="0" applyNumberFormat="1" applyFont="1" applyFill="1">
      <alignment vertical="center"/>
    </xf>
    <xf numFmtId="0" fontId="31" fillId="0" borderId="31" xfId="1" applyFont="1" applyBorder="1" applyAlignment="1">
      <alignment vertical="center" wrapText="1"/>
    </xf>
    <xf numFmtId="183" fontId="53" fillId="16" borderId="3" xfId="1" applyNumberFormat="1" applyFont="1" applyFill="1" applyBorder="1">
      <alignment vertical="center"/>
    </xf>
    <xf numFmtId="3" fontId="53" fillId="0" borderId="53" xfId="1" applyNumberFormat="1" applyFont="1" applyBorder="1">
      <alignment vertical="center"/>
    </xf>
    <xf numFmtId="0" fontId="31" fillId="0" borderId="152" xfId="1" applyFont="1" applyBorder="1" applyAlignment="1">
      <alignment vertical="center" wrapText="1"/>
    </xf>
    <xf numFmtId="182" fontId="31" fillId="0" borderId="6" xfId="1" applyNumberFormat="1" applyFont="1" applyBorder="1" applyAlignment="1">
      <alignment horizontal="center" vertical="center"/>
    </xf>
    <xf numFmtId="183" fontId="53" fillId="16" borderId="6" xfId="1" applyNumberFormat="1" applyFont="1" applyFill="1" applyBorder="1">
      <alignment vertical="center"/>
    </xf>
    <xf numFmtId="3" fontId="53" fillId="0" borderId="54" xfId="1" applyNumberFormat="1" applyFont="1" applyBorder="1">
      <alignment vertical="center"/>
    </xf>
    <xf numFmtId="0" fontId="31" fillId="0" borderId="151" xfId="1" applyFont="1" applyBorder="1">
      <alignment vertical="center"/>
    </xf>
    <xf numFmtId="0" fontId="31" fillId="0" borderId="31" xfId="1" applyFont="1" applyBorder="1">
      <alignment vertical="center"/>
    </xf>
    <xf numFmtId="0" fontId="31" fillId="0" borderId="152" xfId="1" applyFont="1" applyBorder="1">
      <alignment vertical="center"/>
    </xf>
    <xf numFmtId="0" fontId="31" fillId="0" borderId="4" xfId="1" applyFont="1" applyBorder="1">
      <alignment vertical="center"/>
    </xf>
    <xf numFmtId="183" fontId="53" fillId="16" borderId="7" xfId="1" applyNumberFormat="1" applyFont="1" applyFill="1" applyBorder="1">
      <alignment vertical="center"/>
    </xf>
    <xf numFmtId="3" fontId="53" fillId="0" borderId="55" xfId="1" applyNumberFormat="1" applyFont="1" applyBorder="1">
      <alignment vertical="center"/>
    </xf>
    <xf numFmtId="183" fontId="53" fillId="16" borderId="135" xfId="1" applyNumberFormat="1" applyFont="1" applyFill="1" applyBorder="1" applyAlignment="1">
      <alignment horizontal="right" vertical="center" wrapText="1"/>
    </xf>
    <xf numFmtId="0" fontId="31" fillId="0" borderId="148" xfId="1" applyFont="1" applyBorder="1" applyAlignment="1">
      <alignment vertical="center" wrapText="1"/>
    </xf>
    <xf numFmtId="3" fontId="30" fillId="0" borderId="151" xfId="1" applyNumberFormat="1" applyFont="1" applyBorder="1" applyAlignment="1">
      <alignment vertical="center" wrapText="1"/>
    </xf>
    <xf numFmtId="3" fontId="30" fillId="0" borderId="51" xfId="1" applyNumberFormat="1" applyFont="1" applyBorder="1" applyAlignment="1">
      <alignment vertical="center" wrapText="1"/>
    </xf>
    <xf numFmtId="183" fontId="30" fillId="0" borderId="51" xfId="1" applyNumberFormat="1" applyFont="1" applyBorder="1">
      <alignment vertical="center"/>
    </xf>
    <xf numFmtId="185" fontId="30" fillId="0" borderId="51" xfId="1" applyNumberFormat="1" applyFont="1" applyBorder="1">
      <alignment vertical="center"/>
    </xf>
    <xf numFmtId="3" fontId="5" fillId="0" borderId="51" xfId="0" applyNumberFormat="1" applyFont="1" applyBorder="1">
      <alignment vertical="center"/>
    </xf>
    <xf numFmtId="3" fontId="5" fillId="0" borderId="52" xfId="0" applyNumberFormat="1" applyFont="1" applyBorder="1">
      <alignment vertical="center"/>
    </xf>
    <xf numFmtId="3" fontId="30" fillId="0" borderId="31" xfId="1" applyNumberFormat="1" applyFont="1" applyBorder="1" applyAlignment="1">
      <alignment vertical="center" wrapText="1"/>
    </xf>
    <xf numFmtId="3" fontId="5" fillId="16" borderId="53" xfId="0" applyNumberFormat="1" applyFont="1" applyFill="1" applyBorder="1">
      <alignment vertical="center"/>
    </xf>
    <xf numFmtId="0" fontId="30" fillId="0" borderId="31" xfId="1" applyFont="1" applyBorder="1">
      <alignment vertical="center"/>
    </xf>
    <xf numFmtId="0" fontId="30" fillId="0" borderId="154" xfId="0" applyFont="1" applyBorder="1" applyAlignment="1">
      <alignment vertical="top" wrapText="1"/>
    </xf>
    <xf numFmtId="0" fontId="30" fillId="0" borderId="155" xfId="0" applyFont="1" applyBorder="1" applyAlignment="1">
      <alignment horizontal="left" vertical="top" wrapText="1"/>
    </xf>
    <xf numFmtId="187" fontId="7" fillId="0" borderId="156" xfId="0" applyNumberFormat="1" applyFont="1" applyBorder="1" applyAlignment="1">
      <alignment horizontal="center" vertical="center"/>
    </xf>
    <xf numFmtId="187" fontId="7" fillId="0" borderId="157" xfId="0" applyNumberFormat="1" applyFont="1" applyBorder="1" applyAlignment="1">
      <alignment horizontal="center" vertical="center"/>
    </xf>
    <xf numFmtId="0" fontId="30" fillId="0" borderId="158" xfId="0" applyFont="1" applyBorder="1" applyAlignment="1">
      <alignment wrapText="1"/>
    </xf>
    <xf numFmtId="187" fontId="51" fillId="16" borderId="159" xfId="0" applyNumberFormat="1" applyFont="1" applyFill="1" applyBorder="1" applyAlignment="1">
      <alignment vertical="top" wrapText="1"/>
    </xf>
    <xf numFmtId="187" fontId="51" fillId="16" borderId="160" xfId="0" applyNumberFormat="1" applyFont="1" applyFill="1" applyBorder="1" applyAlignment="1">
      <alignment vertical="top" wrapText="1"/>
    </xf>
    <xf numFmtId="0" fontId="30" fillId="0" borderId="161" xfId="0" applyFont="1" applyBorder="1" applyAlignment="1">
      <alignment wrapText="1"/>
    </xf>
    <xf numFmtId="0" fontId="30" fillId="0" borderId="158" xfId="0" applyFont="1" applyBorder="1" applyAlignment="1">
      <alignment vertical="top" wrapText="1"/>
    </xf>
    <xf numFmtId="0" fontId="30" fillId="0" borderId="161" xfId="0" applyFont="1" applyBorder="1" applyAlignment="1">
      <alignment vertical="top" wrapText="1"/>
    </xf>
    <xf numFmtId="0" fontId="30" fillId="0" borderId="162" xfId="0" applyFont="1" applyBorder="1" applyAlignment="1">
      <alignment vertical="top" wrapText="1"/>
    </xf>
    <xf numFmtId="0" fontId="30" fillId="0" borderId="163" xfId="0" applyFont="1" applyBorder="1" applyAlignment="1">
      <alignment horizontal="left" vertical="top" wrapText="1"/>
    </xf>
    <xf numFmtId="187" fontId="51" fillId="16" borderId="164" xfId="0" applyNumberFormat="1" applyFont="1" applyFill="1" applyBorder="1" applyAlignment="1">
      <alignment vertical="top" wrapText="1"/>
    </xf>
    <xf numFmtId="187" fontId="51" fillId="16" borderId="165" xfId="0" applyNumberFormat="1" applyFont="1" applyFill="1" applyBorder="1" applyAlignment="1">
      <alignment vertical="top" wrapText="1"/>
    </xf>
    <xf numFmtId="0" fontId="30" fillId="0" borderId="0" xfId="0" applyFont="1" applyBorder="1" applyAlignment="1">
      <alignment vertical="top" wrapText="1"/>
    </xf>
    <xf numFmtId="0" fontId="30" fillId="0" borderId="0" xfId="0" applyFont="1" applyBorder="1" applyAlignment="1">
      <alignment horizontal="left" vertical="top" wrapText="1"/>
    </xf>
    <xf numFmtId="187" fontId="51" fillId="16" borderId="0" xfId="0" applyNumberFormat="1" applyFont="1" applyFill="1" applyBorder="1" applyAlignment="1">
      <alignment vertical="top" wrapText="1"/>
    </xf>
    <xf numFmtId="0" fontId="5" fillId="0" borderId="0" xfId="0" applyFont="1" applyBorder="1">
      <alignment vertical="center"/>
    </xf>
    <xf numFmtId="187" fontId="5" fillId="0" borderId="0" xfId="0" applyNumberFormat="1" applyFont="1" applyBorder="1">
      <alignment vertical="center"/>
    </xf>
    <xf numFmtId="0" fontId="35" fillId="0" borderId="0" xfId="1" applyFont="1" applyBorder="1">
      <alignment vertical="center"/>
    </xf>
    <xf numFmtId="0" fontId="31" fillId="0" borderId="0" xfId="1" applyFont="1" applyBorder="1" applyAlignment="1">
      <alignment vertical="center" wrapText="1"/>
    </xf>
    <xf numFmtId="183" fontId="35" fillId="0" borderId="0" xfId="1" applyNumberFormat="1" applyFont="1" applyBorder="1" applyAlignment="1">
      <alignment horizontal="center" vertical="center" shrinkToFit="1"/>
    </xf>
    <xf numFmtId="187" fontId="35" fillId="0" borderId="0" xfId="1" applyNumberFormat="1" applyFont="1" applyBorder="1" applyAlignment="1">
      <alignment horizontal="center" vertical="center" shrinkToFit="1"/>
    </xf>
    <xf numFmtId="183" fontId="53" fillId="16" borderId="0" xfId="1" applyNumberFormat="1" applyFont="1" applyFill="1" applyBorder="1" applyAlignment="1">
      <alignment horizontal="right" vertical="center" wrapText="1"/>
    </xf>
    <xf numFmtId="187" fontId="53" fillId="0" borderId="0" xfId="1" applyNumberFormat="1" applyFont="1" applyBorder="1" applyAlignment="1">
      <alignment vertical="center" wrapText="1"/>
    </xf>
    <xf numFmtId="0" fontId="7" fillId="0" borderId="0" xfId="0" applyFont="1" applyBorder="1">
      <alignment vertical="center"/>
    </xf>
    <xf numFmtId="0" fontId="31" fillId="0" borderId="0" xfId="1" applyFont="1" applyBorder="1">
      <alignment vertical="center"/>
    </xf>
    <xf numFmtId="183" fontId="35" fillId="0" borderId="51" xfId="1" applyNumberFormat="1" applyFont="1" applyBorder="1" applyAlignment="1">
      <alignment horizontal="center" vertical="center" shrinkToFit="1"/>
    </xf>
    <xf numFmtId="187" fontId="35" fillId="0" borderId="52" xfId="1" applyNumberFormat="1" applyFont="1" applyBorder="1" applyAlignment="1">
      <alignment horizontal="center" vertical="center" shrinkToFit="1"/>
    </xf>
    <xf numFmtId="0" fontId="31" fillId="0" borderId="166" xfId="1" applyFont="1" applyBorder="1" applyAlignment="1">
      <alignment vertical="center" wrapText="1"/>
    </xf>
    <xf numFmtId="187" fontId="53" fillId="0" borderId="59" xfId="1" applyNumberFormat="1" applyFont="1" applyBorder="1" applyAlignment="1">
      <alignment vertical="center" wrapText="1"/>
    </xf>
    <xf numFmtId="0" fontId="31" fillId="0" borderId="166" xfId="1" applyFont="1" applyBorder="1">
      <alignment vertical="center"/>
    </xf>
    <xf numFmtId="183" fontId="53" fillId="16" borderId="167" xfId="1" applyNumberFormat="1" applyFont="1" applyFill="1" applyBorder="1" applyAlignment="1">
      <alignment horizontal="right" vertical="center" wrapText="1"/>
    </xf>
    <xf numFmtId="187" fontId="53" fillId="0" borderId="168" xfId="1" applyNumberFormat="1" applyFont="1" applyBorder="1" applyAlignment="1">
      <alignment vertical="center" wrapText="1"/>
    </xf>
    <xf numFmtId="3" fontId="31" fillId="0" borderId="61" xfId="1" applyNumberFormat="1" applyFont="1" applyFill="1" applyBorder="1" applyAlignment="1">
      <alignment horizontal="center" vertical="center" shrinkToFit="1"/>
    </xf>
    <xf numFmtId="183" fontId="31" fillId="0" borderId="5" xfId="1" applyNumberFormat="1" applyFont="1" applyFill="1" applyBorder="1" applyAlignment="1">
      <alignment horizontal="center" vertical="center" wrapText="1"/>
    </xf>
    <xf numFmtId="0" fontId="28" fillId="0" borderId="0" xfId="0" applyFont="1" applyAlignment="1">
      <alignment horizontal="right" vertical="center"/>
    </xf>
    <xf numFmtId="177" fontId="23" fillId="0" borderId="0" xfId="0" applyNumberFormat="1" applyFont="1">
      <alignment vertical="center"/>
    </xf>
    <xf numFmtId="0" fontId="52" fillId="0" borderId="3" xfId="0" applyFont="1" applyBorder="1" applyAlignment="1">
      <alignment horizontal="center" vertical="center"/>
    </xf>
    <xf numFmtId="0" fontId="53" fillId="17" borderId="140" xfId="0" applyFont="1" applyFill="1" applyBorder="1" applyAlignment="1">
      <alignment horizontal="center" vertical="center" wrapText="1"/>
    </xf>
    <xf numFmtId="38" fontId="52" fillId="17" borderId="8" xfId="0" applyNumberFormat="1" applyFont="1" applyFill="1" applyBorder="1" applyAlignment="1">
      <alignment horizontal="center" vertical="center" shrinkToFit="1"/>
    </xf>
    <xf numFmtId="38" fontId="52" fillId="17" borderId="1" xfId="0" applyNumberFormat="1" applyFont="1" applyFill="1" applyBorder="1" applyAlignment="1">
      <alignment horizontal="center" vertical="center" shrinkToFit="1"/>
    </xf>
    <xf numFmtId="0" fontId="52" fillId="17" borderId="140" xfId="0" applyFont="1" applyFill="1" applyBorder="1" applyAlignment="1">
      <alignment horizontal="center" vertical="center"/>
    </xf>
    <xf numFmtId="0" fontId="53" fillId="17" borderId="140" xfId="0" applyFont="1" applyFill="1" applyBorder="1" applyAlignment="1">
      <alignment horizontal="center" vertical="top" wrapText="1"/>
    </xf>
    <xf numFmtId="38" fontId="52" fillId="0" borderId="140" xfId="0" applyNumberFormat="1" applyFont="1" applyBorder="1" applyAlignment="1" applyProtection="1">
      <alignment vertical="center" shrinkToFit="1"/>
      <protection locked="0"/>
    </xf>
    <xf numFmtId="0" fontId="53" fillId="17" borderId="141" xfId="0" applyFont="1" applyFill="1" applyBorder="1" applyAlignment="1">
      <alignment horizontal="center" vertical="center" wrapText="1"/>
    </xf>
    <xf numFmtId="38" fontId="52" fillId="17" borderId="3" xfId="0" applyNumberFormat="1" applyFont="1" applyFill="1" applyBorder="1" applyAlignment="1">
      <alignment horizontal="center" vertical="center" shrinkToFit="1"/>
    </xf>
    <xf numFmtId="0" fontId="54" fillId="0" borderId="0" xfId="0" applyFont="1">
      <alignment vertical="center"/>
    </xf>
    <xf numFmtId="187" fontId="52" fillId="0" borderId="140" xfId="0" applyNumberFormat="1" applyFont="1" applyBorder="1" applyAlignment="1" applyProtection="1">
      <alignment vertical="center" shrinkToFit="1"/>
      <protection locked="0"/>
    </xf>
    <xf numFmtId="187" fontId="52" fillId="0" borderId="142" xfId="0" applyNumberFormat="1" applyFont="1" applyBorder="1" applyAlignment="1" applyProtection="1">
      <alignment vertical="center" shrinkToFit="1"/>
      <protection locked="0"/>
    </xf>
    <xf numFmtId="187" fontId="53" fillId="0" borderId="3" xfId="1" applyNumberFormat="1" applyFont="1" applyBorder="1">
      <alignment vertical="center"/>
    </xf>
    <xf numFmtId="3" fontId="1" fillId="11" borderId="3" xfId="0" applyNumberFormat="1" applyFont="1" applyFill="1" applyBorder="1" applyProtection="1">
      <alignment vertical="center"/>
    </xf>
    <xf numFmtId="0" fontId="0" fillId="0" borderId="3" xfId="0" applyBorder="1">
      <alignment vertical="center"/>
    </xf>
    <xf numFmtId="0" fontId="0" fillId="0" borderId="3" xfId="0" applyBorder="1" applyAlignment="1">
      <alignment horizontal="center" vertical="center"/>
    </xf>
    <xf numFmtId="0" fontId="39" fillId="0" borderId="3" xfId="0" applyFont="1" applyBorder="1">
      <alignment vertical="center"/>
    </xf>
    <xf numFmtId="0" fontId="0" fillId="16" borderId="3" xfId="0" applyFill="1" applyBorder="1" applyAlignment="1">
      <alignment horizontal="center" vertical="center"/>
    </xf>
    <xf numFmtId="188" fontId="5" fillId="0" borderId="3" xfId="0" applyNumberFormat="1" applyFont="1" applyFill="1" applyBorder="1" applyAlignment="1" applyProtection="1">
      <alignment horizontal="right" vertical="center" shrinkToFit="1"/>
    </xf>
    <xf numFmtId="189" fontId="5" fillId="0" borderId="3" xfId="0" applyNumberFormat="1" applyFont="1" applyFill="1" applyBorder="1" applyAlignment="1" applyProtection="1">
      <alignment horizontal="right" vertical="center" shrinkToFit="1"/>
    </xf>
    <xf numFmtId="0" fontId="0" fillId="0" borderId="0" xfId="0" applyAlignment="1">
      <alignment horizontal="right" vertical="center"/>
    </xf>
    <xf numFmtId="0" fontId="0" fillId="0" borderId="3" xfId="0" applyBorder="1" applyAlignment="1">
      <alignment horizontal="right" vertical="center"/>
    </xf>
    <xf numFmtId="0" fontId="5" fillId="0" borderId="0" xfId="0" applyFont="1" applyBorder="1" applyAlignment="1" applyProtection="1">
      <alignment horizontal="center" vertical="center" shrinkToFit="1"/>
    </xf>
    <xf numFmtId="38" fontId="5" fillId="0" borderId="0" xfId="0" applyNumberFormat="1" applyFont="1" applyBorder="1" applyAlignment="1" applyProtection="1">
      <alignment vertical="center" shrinkToFit="1"/>
    </xf>
    <xf numFmtId="0" fontId="25" fillId="0" borderId="0" xfId="0" applyFont="1" applyBorder="1" applyAlignment="1" applyProtection="1">
      <alignment horizontal="center" vertical="center" textRotation="255" shrinkToFit="1"/>
    </xf>
    <xf numFmtId="38" fontId="5" fillId="0" borderId="0" xfId="0" applyNumberFormat="1" applyFont="1" applyAlignment="1" applyProtection="1">
      <alignment vertical="center" shrinkToFit="1"/>
    </xf>
    <xf numFmtId="0" fontId="39" fillId="2" borderId="52" xfId="0" applyFont="1" applyFill="1" applyBorder="1" applyAlignment="1" applyProtection="1">
      <alignment horizontal="center" vertical="center"/>
      <protection locked="0"/>
    </xf>
    <xf numFmtId="0" fontId="39" fillId="2" borderId="53" xfId="0" applyFont="1" applyFill="1" applyBorder="1" applyAlignment="1" applyProtection="1">
      <alignment horizontal="center" vertical="center"/>
      <protection locked="0"/>
    </xf>
    <xf numFmtId="0" fontId="39" fillId="2" borderId="54" xfId="0" applyFont="1" applyFill="1" applyBorder="1" applyAlignment="1" applyProtection="1">
      <alignment horizontal="center" vertical="center"/>
      <protection locked="0"/>
    </xf>
    <xf numFmtId="0" fontId="39" fillId="18" borderId="151" xfId="0" applyFont="1" applyFill="1" applyBorder="1" applyAlignment="1" applyProtection="1">
      <alignment horizontal="center" vertical="center"/>
      <protection locked="0"/>
    </xf>
    <xf numFmtId="0" fontId="39" fillId="18" borderId="31" xfId="0" applyFont="1" applyFill="1" applyBorder="1" applyAlignment="1" applyProtection="1">
      <alignment horizontal="center" vertical="center"/>
      <protection locked="0"/>
    </xf>
    <xf numFmtId="0" fontId="39" fillId="18" borderId="152" xfId="0" applyFont="1" applyFill="1" applyBorder="1" applyAlignment="1" applyProtection="1">
      <alignment horizontal="center" vertical="center"/>
      <protection locked="0"/>
    </xf>
    <xf numFmtId="0" fontId="39" fillId="18" borderId="51" xfId="0" applyFont="1" applyFill="1" applyBorder="1" applyAlignment="1" applyProtection="1">
      <alignment horizontal="center" vertical="center"/>
      <protection locked="0"/>
    </xf>
    <xf numFmtId="0" fontId="39" fillId="18" borderId="3" xfId="0" applyFont="1" applyFill="1" applyBorder="1" applyAlignment="1" applyProtection="1">
      <alignment horizontal="center" vertical="center"/>
      <protection locked="0"/>
    </xf>
    <xf numFmtId="0" fontId="39" fillId="18" borderId="6" xfId="0" applyFont="1" applyFill="1" applyBorder="1" applyAlignment="1" applyProtection="1">
      <alignment horizontal="center" vertical="center"/>
      <protection locked="0"/>
    </xf>
    <xf numFmtId="0" fontId="39" fillId="18" borderId="166" xfId="0" applyFont="1" applyFill="1" applyBorder="1" applyAlignment="1" applyProtection="1">
      <alignment horizontal="center" vertical="center"/>
      <protection locked="0"/>
    </xf>
    <xf numFmtId="0" fontId="39" fillId="18" borderId="8" xfId="0" applyFont="1" applyFill="1" applyBorder="1" applyAlignment="1" applyProtection="1">
      <alignment horizontal="center" vertical="center"/>
      <protection locked="0"/>
    </xf>
    <xf numFmtId="0" fontId="39" fillId="2" borderId="177" xfId="0" applyFont="1" applyFill="1" applyBorder="1" applyAlignment="1" applyProtection="1">
      <alignment horizontal="center" vertical="center"/>
      <protection locked="0"/>
    </xf>
    <xf numFmtId="190" fontId="39" fillId="18" borderId="151" xfId="0" applyNumberFormat="1" applyFont="1" applyFill="1" applyBorder="1" applyAlignment="1" applyProtection="1">
      <alignment horizontal="center" vertical="center"/>
      <protection locked="0"/>
    </xf>
    <xf numFmtId="190" fontId="39" fillId="18" borderId="31" xfId="0" applyNumberFormat="1" applyFont="1" applyFill="1" applyBorder="1" applyAlignment="1" applyProtection="1">
      <alignment horizontal="center" vertical="center"/>
      <protection locked="0"/>
    </xf>
    <xf numFmtId="190" fontId="39" fillId="18" borderId="152" xfId="0" applyNumberFormat="1" applyFont="1" applyFill="1" applyBorder="1" applyAlignment="1" applyProtection="1">
      <alignment horizontal="center" vertical="center"/>
      <protection locked="0"/>
    </xf>
    <xf numFmtId="0" fontId="7" fillId="0" borderId="3" xfId="0" applyFont="1" applyBorder="1" applyAlignment="1" applyProtection="1">
      <alignment horizontal="center" vertical="center" shrinkToFit="1"/>
    </xf>
    <xf numFmtId="0" fontId="10" fillId="0" borderId="0" xfId="0" applyFont="1" applyAlignment="1" applyProtection="1">
      <alignment horizontal="center" vertical="center" shrinkToFit="1"/>
    </xf>
    <xf numFmtId="0" fontId="5" fillId="0" borderId="0" xfId="0" applyFont="1" applyBorder="1" applyAlignment="1" applyProtection="1">
      <alignment horizontal="right" vertical="center" shrinkToFit="1"/>
    </xf>
    <xf numFmtId="3" fontId="0" fillId="0" borderId="0" xfId="0" applyNumberFormat="1">
      <alignment vertical="center"/>
    </xf>
    <xf numFmtId="3" fontId="0" fillId="0" borderId="3" xfId="0" applyNumberFormat="1" applyBorder="1">
      <alignment vertical="center"/>
    </xf>
    <xf numFmtId="3" fontId="0" fillId="0" borderId="3" xfId="0" applyNumberFormat="1" applyBorder="1" applyAlignment="1">
      <alignment horizontal="center" vertical="center"/>
    </xf>
    <xf numFmtId="3" fontId="0" fillId="0" borderId="0" xfId="0" applyNumberFormat="1" applyAlignment="1">
      <alignment vertical="center" shrinkToFit="1"/>
    </xf>
    <xf numFmtId="3" fontId="0" fillId="0" borderId="3" xfId="0" applyNumberFormat="1" applyBorder="1" applyAlignment="1">
      <alignment vertical="center" shrinkToFit="1"/>
    </xf>
    <xf numFmtId="3" fontId="5" fillId="0" borderId="60" xfId="0" applyNumberFormat="1" applyFont="1" applyBorder="1" applyAlignment="1" applyProtection="1">
      <alignment vertical="center" shrinkToFit="1"/>
    </xf>
    <xf numFmtId="3" fontId="59" fillId="15" borderId="3" xfId="0" applyNumberFormat="1" applyFont="1" applyFill="1" applyBorder="1" applyAlignment="1">
      <alignment vertical="center" shrinkToFit="1"/>
    </xf>
    <xf numFmtId="3" fontId="60" fillId="15" borderId="3" xfId="0" applyNumberFormat="1" applyFont="1" applyFill="1" applyBorder="1" applyAlignment="1">
      <alignment vertical="center" shrinkToFit="1"/>
    </xf>
    <xf numFmtId="3" fontId="61" fillId="15" borderId="3" xfId="0" applyNumberFormat="1" applyFont="1" applyFill="1" applyBorder="1" applyAlignment="1">
      <alignment vertical="center" shrinkToFit="1"/>
    </xf>
    <xf numFmtId="3" fontId="62" fillId="0" borderId="3" xfId="0" applyNumberFormat="1" applyFont="1" applyBorder="1" applyAlignment="1">
      <alignment vertical="center" shrinkToFit="1"/>
    </xf>
    <xf numFmtId="3" fontId="62" fillId="0" borderId="8" xfId="0" applyNumberFormat="1" applyFont="1" applyBorder="1" applyAlignment="1">
      <alignment vertical="center" shrinkToFit="1"/>
    </xf>
    <xf numFmtId="3" fontId="0" fillId="0" borderId="8" xfId="0" applyNumberFormat="1" applyBorder="1">
      <alignment vertical="center"/>
    </xf>
    <xf numFmtId="3" fontId="0" fillId="0" borderId="170" xfId="0" applyNumberFormat="1" applyBorder="1" applyAlignment="1">
      <alignment horizontal="right" vertical="center" shrinkToFit="1"/>
    </xf>
    <xf numFmtId="3" fontId="0" fillId="0" borderId="170" xfId="0" applyNumberFormat="1" applyBorder="1">
      <alignment vertical="center"/>
    </xf>
    <xf numFmtId="3" fontId="0" fillId="0" borderId="170" xfId="0" applyNumberFormat="1" applyBorder="1" applyAlignment="1">
      <alignment vertical="center" shrinkToFit="1"/>
    </xf>
    <xf numFmtId="3" fontId="0" fillId="0" borderId="1" xfId="0" applyNumberFormat="1" applyBorder="1" applyAlignment="1">
      <alignment horizontal="center" vertical="center"/>
    </xf>
    <xf numFmtId="3" fontId="0" fillId="0" borderId="1" xfId="0" applyNumberFormat="1" applyBorder="1">
      <alignment vertical="center"/>
    </xf>
    <xf numFmtId="3" fontId="0" fillId="0" borderId="179" xfId="0" applyNumberFormat="1" applyBorder="1">
      <alignment vertical="center"/>
    </xf>
    <xf numFmtId="3" fontId="0" fillId="0" borderId="178" xfId="0" applyNumberFormat="1" applyBorder="1" applyAlignment="1">
      <alignment horizontal="center" vertical="center"/>
    </xf>
    <xf numFmtId="3" fontId="0" fillId="0" borderId="178" xfId="0" applyNumberFormat="1" applyBorder="1">
      <alignment vertical="center"/>
    </xf>
    <xf numFmtId="3" fontId="0" fillId="0" borderId="180" xfId="0" applyNumberFormat="1" applyBorder="1">
      <alignment vertical="center"/>
    </xf>
    <xf numFmtId="3" fontId="0" fillId="0" borderId="11" xfId="0" applyNumberFormat="1" applyBorder="1">
      <alignment vertical="center"/>
    </xf>
    <xf numFmtId="3" fontId="0" fillId="0" borderId="181" xfId="0" applyNumberFormat="1" applyBorder="1">
      <alignment vertical="center"/>
    </xf>
    <xf numFmtId="3" fontId="0" fillId="0" borderId="0" xfId="0" applyNumberFormat="1" applyAlignment="1">
      <alignment vertical="center"/>
    </xf>
    <xf numFmtId="0" fontId="5" fillId="0" borderId="0" xfId="0" applyFont="1" applyAlignment="1" applyProtection="1">
      <alignment vertical="center"/>
    </xf>
    <xf numFmtId="0" fontId="5" fillId="0" borderId="0" xfId="0" applyFont="1" applyAlignment="1" applyProtection="1">
      <alignment horizontal="center" vertical="center"/>
    </xf>
    <xf numFmtId="0" fontId="5" fillId="0" borderId="0" xfId="0" applyFont="1" applyFill="1" applyAlignment="1" applyProtection="1">
      <alignment horizontal="center" vertical="center"/>
    </xf>
    <xf numFmtId="0" fontId="28" fillId="0" borderId="42" xfId="0" applyFont="1" applyBorder="1" applyAlignment="1" applyProtection="1">
      <alignment vertical="center"/>
    </xf>
    <xf numFmtId="0" fontId="5" fillId="0" borderId="43" xfId="0" applyFont="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3" xfId="0" applyFont="1" applyBorder="1" applyAlignment="1" applyProtection="1">
      <alignment vertical="center" shrinkToFit="1"/>
    </xf>
    <xf numFmtId="0" fontId="5" fillId="0" borderId="49" xfId="0" applyFont="1" applyBorder="1" applyAlignment="1" applyProtection="1">
      <alignment vertical="center" shrinkToFit="1"/>
    </xf>
    <xf numFmtId="187" fontId="5" fillId="0" borderId="0" xfId="0" applyNumberFormat="1" applyFont="1" applyFill="1" applyAlignment="1" applyProtection="1">
      <alignment horizontal="center" vertical="center"/>
    </xf>
    <xf numFmtId="187" fontId="5" fillId="0" borderId="0" xfId="0" applyNumberFormat="1" applyFont="1" applyAlignment="1" applyProtection="1">
      <alignment vertical="center" shrinkToFit="1"/>
    </xf>
    <xf numFmtId="187" fontId="5" fillId="0" borderId="0" xfId="0" applyNumberFormat="1" applyFont="1" applyAlignment="1" applyProtection="1">
      <alignment horizontal="center" vertical="center"/>
    </xf>
    <xf numFmtId="187" fontId="5" fillId="0" borderId="0" xfId="0" applyNumberFormat="1" applyFont="1" applyAlignment="1" applyProtection="1">
      <alignment horizontal="center" vertical="center" shrinkToFit="1"/>
    </xf>
    <xf numFmtId="187" fontId="5" fillId="0" borderId="0" xfId="0" applyNumberFormat="1" applyFont="1" applyFill="1" applyAlignment="1" applyProtection="1">
      <alignment horizontal="center" vertical="center" shrinkToFit="1"/>
    </xf>
    <xf numFmtId="187" fontId="5" fillId="0" borderId="3" xfId="0" applyNumberFormat="1" applyFont="1" applyFill="1" applyBorder="1" applyAlignment="1" applyProtection="1">
      <alignment horizontal="center" vertical="center"/>
    </xf>
    <xf numFmtId="38" fontId="5" fillId="0" borderId="149" xfId="0" applyNumberFormat="1" applyFont="1" applyBorder="1" applyAlignment="1" applyProtection="1">
      <alignment vertical="center" shrinkToFit="1"/>
    </xf>
    <xf numFmtId="38" fontId="5" fillId="0" borderId="150" xfId="0" applyNumberFormat="1" applyFont="1" applyBorder="1" applyAlignment="1" applyProtection="1">
      <alignment vertical="center" shrinkToFit="1"/>
    </xf>
    <xf numFmtId="38" fontId="0" fillId="0" borderId="3" xfId="0" applyNumberFormat="1" applyBorder="1">
      <alignment vertical="center"/>
    </xf>
    <xf numFmtId="3" fontId="64" fillId="15" borderId="3" xfId="0" applyNumberFormat="1" applyFont="1" applyFill="1" applyBorder="1" applyAlignment="1">
      <alignment vertical="center" shrinkToFit="1"/>
    </xf>
    <xf numFmtId="3" fontId="0" fillId="0" borderId="151" xfId="0" applyNumberFormat="1" applyBorder="1" applyAlignment="1">
      <alignment horizontal="center" vertical="center"/>
    </xf>
    <xf numFmtId="3" fontId="0" fillId="0" borderId="51" xfId="0" applyNumberFormat="1" applyBorder="1" applyAlignment="1">
      <alignment horizontal="center" vertical="center"/>
    </xf>
    <xf numFmtId="3" fontId="0" fillId="0" borderId="183" xfId="0" applyNumberFormat="1" applyBorder="1" applyAlignment="1">
      <alignment horizontal="center" vertical="center"/>
    </xf>
    <xf numFmtId="3" fontId="0" fillId="0" borderId="184" xfId="0" applyNumberFormat="1" applyBorder="1" applyAlignment="1">
      <alignment horizontal="center" vertical="center"/>
    </xf>
    <xf numFmtId="3" fontId="0" fillId="0" borderId="152" xfId="0" applyNumberFormat="1" applyBorder="1">
      <alignment vertical="center"/>
    </xf>
    <xf numFmtId="3" fontId="0" fillId="0" borderId="6" xfId="0" applyNumberFormat="1" applyBorder="1">
      <alignment vertical="center"/>
    </xf>
    <xf numFmtId="3" fontId="0" fillId="0" borderId="182" xfId="0" applyNumberFormat="1" applyBorder="1">
      <alignment vertical="center"/>
    </xf>
    <xf numFmtId="3" fontId="0" fillId="0" borderId="185" xfId="0" applyNumberFormat="1" applyBorder="1">
      <alignment vertical="center"/>
    </xf>
    <xf numFmtId="3" fontId="0" fillId="0" borderId="0" xfId="0" applyNumberFormat="1" applyBorder="1" applyAlignment="1">
      <alignment horizontal="right" vertical="center" shrinkToFit="1"/>
    </xf>
    <xf numFmtId="3" fontId="0" fillId="0" borderId="0" xfId="0" applyNumberFormat="1" applyBorder="1">
      <alignment vertical="center"/>
    </xf>
    <xf numFmtId="3" fontId="67" fillId="15" borderId="3" xfId="0" applyNumberFormat="1" applyFont="1" applyFill="1" applyBorder="1" applyAlignment="1">
      <alignment vertical="center" shrinkToFit="1"/>
    </xf>
    <xf numFmtId="38" fontId="0" fillId="0" borderId="1" xfId="0" applyNumberFormat="1" applyBorder="1">
      <alignment vertical="center"/>
    </xf>
    <xf numFmtId="38" fontId="0" fillId="0" borderId="178" xfId="0" applyNumberFormat="1" applyBorder="1">
      <alignment vertical="center"/>
    </xf>
    <xf numFmtId="38" fontId="0" fillId="0" borderId="170" xfId="0" applyNumberFormat="1" applyBorder="1">
      <alignment vertical="center"/>
    </xf>
    <xf numFmtId="38" fontId="0" fillId="0" borderId="179" xfId="0" applyNumberFormat="1" applyBorder="1">
      <alignment vertical="center"/>
    </xf>
    <xf numFmtId="38" fontId="0" fillId="0" borderId="180" xfId="0" applyNumberFormat="1" applyBorder="1">
      <alignment vertical="center"/>
    </xf>
    <xf numFmtId="38" fontId="0" fillId="0" borderId="6" xfId="0" applyNumberFormat="1" applyBorder="1">
      <alignment vertical="center"/>
    </xf>
    <xf numFmtId="38" fontId="0" fillId="0" borderId="185" xfId="0" applyNumberFormat="1" applyBorder="1">
      <alignment vertical="center"/>
    </xf>
    <xf numFmtId="3" fontId="0" fillId="0" borderId="186" xfId="0" applyNumberFormat="1" applyBorder="1" applyAlignment="1">
      <alignment horizontal="center" vertical="center"/>
    </xf>
    <xf numFmtId="3" fontId="0" fillId="0" borderId="22" xfId="0" applyNumberFormat="1" applyBorder="1" applyAlignment="1">
      <alignment horizontal="center" vertical="center"/>
    </xf>
    <xf numFmtId="3" fontId="0" fillId="0" borderId="27" xfId="0" applyNumberFormat="1" applyBorder="1" applyAlignment="1">
      <alignment horizontal="center" vertical="center"/>
    </xf>
    <xf numFmtId="3" fontId="0" fillId="0" borderId="187" xfId="0" applyNumberFormat="1" applyBorder="1" applyAlignment="1">
      <alignment horizontal="center" vertical="center"/>
    </xf>
    <xf numFmtId="3" fontId="0" fillId="0" borderId="188" xfId="0" applyNumberFormat="1" applyBorder="1">
      <alignment vertical="center"/>
    </xf>
    <xf numFmtId="3" fontId="0" fillId="0" borderId="36" xfId="0" applyNumberFormat="1" applyBorder="1">
      <alignment vertical="center"/>
    </xf>
    <xf numFmtId="3" fontId="0" fillId="0" borderId="189" xfId="0" applyNumberFormat="1" applyBorder="1">
      <alignment vertical="center"/>
    </xf>
    <xf numFmtId="3" fontId="0" fillId="0" borderId="190" xfId="0" applyNumberFormat="1" applyBorder="1">
      <alignment vertical="center"/>
    </xf>
    <xf numFmtId="0" fontId="28" fillId="0" borderId="191" xfId="0" applyFont="1" applyBorder="1" applyAlignment="1" applyProtection="1">
      <alignment vertical="center"/>
    </xf>
    <xf numFmtId="0" fontId="5" fillId="0" borderId="192" xfId="0" applyFont="1" applyBorder="1" applyAlignment="1" applyProtection="1">
      <alignment horizontal="center" vertical="center"/>
    </xf>
    <xf numFmtId="0" fontId="5" fillId="0" borderId="192" xfId="0" applyFont="1" applyFill="1" applyBorder="1" applyAlignment="1" applyProtection="1">
      <alignment horizontal="center" vertical="center"/>
    </xf>
    <xf numFmtId="0" fontId="5" fillId="0" borderId="192" xfId="0" applyFont="1" applyBorder="1" applyAlignment="1" applyProtection="1">
      <alignment vertical="center" shrinkToFit="1"/>
    </xf>
    <xf numFmtId="0" fontId="5" fillId="0" borderId="193" xfId="0" applyFont="1" applyBorder="1" applyAlignment="1" applyProtection="1">
      <alignment vertical="center" shrinkToFit="1"/>
    </xf>
    <xf numFmtId="0" fontId="5" fillId="0" borderId="13" xfId="0" applyFont="1" applyBorder="1" applyAlignment="1" applyProtection="1">
      <alignment vertical="center"/>
    </xf>
    <xf numFmtId="0" fontId="5" fillId="0" borderId="0" xfId="0" applyFont="1" applyBorder="1" applyAlignment="1" applyProtection="1">
      <alignment horizontal="center" vertical="center"/>
    </xf>
    <xf numFmtId="0" fontId="5" fillId="0" borderId="0" xfId="0" applyFont="1" applyFill="1" applyBorder="1" applyAlignment="1" applyProtection="1">
      <alignment horizontal="center" vertical="center"/>
    </xf>
    <xf numFmtId="0" fontId="5" fillId="2" borderId="195" xfId="0" applyFont="1" applyFill="1" applyBorder="1" applyAlignment="1" applyProtection="1">
      <alignment horizontal="center" vertical="center" shrinkToFit="1"/>
    </xf>
    <xf numFmtId="38" fontId="5" fillId="0" borderId="34" xfId="0" applyNumberFormat="1" applyFont="1" applyBorder="1" applyAlignment="1" applyProtection="1">
      <alignment vertical="center" shrinkToFit="1"/>
    </xf>
    <xf numFmtId="187" fontId="5" fillId="0" borderId="0" xfId="0" applyNumberFormat="1" applyFont="1" applyBorder="1" applyAlignment="1" applyProtection="1">
      <alignment horizontal="center" vertical="center"/>
    </xf>
    <xf numFmtId="187" fontId="5" fillId="0" borderId="0" xfId="0" applyNumberFormat="1" applyFont="1" applyFill="1" applyBorder="1" applyAlignment="1" applyProtection="1">
      <alignment horizontal="center" vertical="center"/>
    </xf>
    <xf numFmtId="187" fontId="5" fillId="0" borderId="0" xfId="0" applyNumberFormat="1" applyFont="1" applyBorder="1" applyAlignment="1" applyProtection="1">
      <alignment vertical="center" shrinkToFit="1"/>
    </xf>
    <xf numFmtId="187" fontId="5" fillId="0" borderId="196" xfId="0" applyNumberFormat="1" applyFont="1" applyBorder="1" applyAlignment="1" applyProtection="1">
      <alignment vertical="center" shrinkToFit="1"/>
    </xf>
    <xf numFmtId="38" fontId="5" fillId="0" borderId="197" xfId="0" applyNumberFormat="1" applyFont="1" applyBorder="1" applyAlignment="1" applyProtection="1">
      <alignment vertical="center" shrinkToFit="1"/>
    </xf>
    <xf numFmtId="0" fontId="5" fillId="2" borderId="3" xfId="0" applyFont="1" applyFill="1" applyBorder="1" applyAlignment="1" applyProtection="1">
      <alignment horizontal="distributed" vertical="center" shrinkToFit="1"/>
    </xf>
    <xf numFmtId="0" fontId="5" fillId="4" borderId="3" xfId="0" applyFont="1" applyFill="1" applyBorder="1" applyAlignment="1" applyProtection="1">
      <alignment horizontal="distributed" vertical="center" shrinkToFit="1"/>
    </xf>
    <xf numFmtId="0" fontId="5" fillId="4" borderId="3" xfId="0" applyFont="1" applyFill="1" applyBorder="1" applyAlignment="1" applyProtection="1">
      <alignment horizontal="center" vertical="center" shrinkToFit="1"/>
    </xf>
    <xf numFmtId="0" fontId="5" fillId="2" borderId="8" xfId="0" applyFont="1" applyFill="1" applyBorder="1" applyAlignment="1" applyProtection="1">
      <alignment horizontal="center" vertical="center" shrinkToFit="1"/>
    </xf>
    <xf numFmtId="0" fontId="5" fillId="2" borderId="3" xfId="0" applyFont="1" applyFill="1" applyBorder="1" applyAlignment="1" applyProtection="1">
      <alignment horizontal="center" vertical="center" shrinkToFit="1"/>
    </xf>
    <xf numFmtId="0" fontId="7" fillId="2" borderId="3" xfId="0" applyFont="1" applyFill="1" applyBorder="1" applyAlignment="1" applyProtection="1">
      <alignment horizontal="distributed" vertical="center" shrinkToFit="1"/>
    </xf>
    <xf numFmtId="0" fontId="5" fillId="2" borderId="2" xfId="0" applyFont="1" applyFill="1" applyBorder="1" applyAlignment="1" applyProtection="1">
      <alignment horizontal="distributed" vertical="center" shrinkToFit="1"/>
    </xf>
    <xf numFmtId="0" fontId="1" fillId="0" borderId="3" xfId="0" applyFont="1" applyBorder="1" applyAlignment="1" applyProtection="1">
      <alignment horizontal="distributed" vertical="center" shrinkToFit="1"/>
    </xf>
    <xf numFmtId="0" fontId="1" fillId="0" borderId="3" xfId="0" applyFont="1" applyBorder="1" applyAlignment="1" applyProtection="1">
      <alignment horizontal="center" vertical="center" shrinkToFit="1"/>
    </xf>
    <xf numFmtId="0" fontId="1" fillId="0" borderId="0" xfId="0" applyFont="1" applyBorder="1" applyAlignment="1" applyProtection="1">
      <alignment horizontal="center" vertical="center"/>
    </xf>
    <xf numFmtId="38" fontId="1" fillId="0" borderId="0" xfId="0" applyNumberFormat="1" applyFont="1" applyBorder="1" applyProtection="1">
      <alignment vertical="center"/>
    </xf>
    <xf numFmtId="0" fontId="1" fillId="0" borderId="7" xfId="0" applyFont="1" applyBorder="1" applyAlignment="1" applyProtection="1">
      <alignment horizontal="center" vertical="center"/>
    </xf>
    <xf numFmtId="0" fontId="1" fillId="0" borderId="42" xfId="0" applyFont="1" applyBorder="1" applyProtection="1">
      <alignment vertical="center"/>
    </xf>
    <xf numFmtId="0" fontId="1" fillId="0" borderId="43" xfId="0" applyFont="1" applyBorder="1" applyProtection="1">
      <alignment vertical="center"/>
    </xf>
    <xf numFmtId="0" fontId="1" fillId="0" borderId="49" xfId="0" applyFont="1" applyBorder="1" applyProtection="1">
      <alignment vertical="center"/>
    </xf>
    <xf numFmtId="38" fontId="1" fillId="11" borderId="3" xfId="0" applyNumberFormat="1" applyFont="1" applyFill="1" applyBorder="1" applyProtection="1">
      <alignment vertical="center"/>
    </xf>
    <xf numFmtId="38" fontId="9" fillId="0" borderId="0" xfId="2" applyFont="1" applyFill="1" applyBorder="1" applyProtection="1">
      <alignment vertical="center"/>
    </xf>
    <xf numFmtId="0" fontId="30" fillId="2" borderId="8" xfId="0" applyFont="1" applyFill="1" applyBorder="1" applyAlignment="1" applyProtection="1">
      <alignment horizontal="distributed" vertical="center" shrinkToFit="1"/>
    </xf>
    <xf numFmtId="191" fontId="1" fillId="2" borderId="8" xfId="0" applyNumberFormat="1" applyFont="1" applyFill="1" applyBorder="1" applyProtection="1">
      <alignment vertical="center"/>
      <protection locked="0"/>
    </xf>
    <xf numFmtId="0" fontId="28" fillId="0" borderId="0" xfId="0" applyFont="1" applyAlignment="1" applyProtection="1">
      <alignment horizontal="left" vertical="center"/>
    </xf>
    <xf numFmtId="3" fontId="70" fillId="0" borderId="8" xfId="1" applyNumberFormat="1" applyFont="1" applyBorder="1" applyAlignment="1">
      <alignment horizontal="center" vertical="center"/>
    </xf>
    <xf numFmtId="3" fontId="69" fillId="0" borderId="0" xfId="1" applyNumberFormat="1" applyFont="1" applyAlignment="1">
      <alignment horizontal="center" vertical="center"/>
    </xf>
    <xf numFmtId="183" fontId="69" fillId="0" borderId="61" xfId="1" applyNumberFormat="1" applyFont="1" applyBorder="1" applyAlignment="1">
      <alignment vertical="center" wrapText="1"/>
    </xf>
    <xf numFmtId="182" fontId="69" fillId="0" borderId="0" xfId="1" applyNumberFormat="1" applyFont="1" applyAlignment="1">
      <alignment vertical="center" wrapText="1"/>
    </xf>
    <xf numFmtId="182" fontId="69" fillId="0" borderId="0" xfId="1" applyNumberFormat="1" applyFont="1" applyAlignment="1">
      <alignment horizontal="center" vertical="center" wrapText="1"/>
    </xf>
    <xf numFmtId="182" fontId="69" fillId="0" borderId="46" xfId="1" applyNumberFormat="1" applyFont="1" applyBorder="1" applyAlignment="1">
      <alignment horizontal="center" vertical="center" wrapText="1"/>
    </xf>
    <xf numFmtId="183" fontId="69" fillId="0" borderId="50" xfId="1" applyNumberFormat="1" applyFont="1" applyBorder="1" applyAlignment="1">
      <alignment vertical="center" wrapText="1"/>
    </xf>
    <xf numFmtId="183" fontId="69" fillId="0" borderId="61" xfId="1" applyNumberFormat="1" applyFont="1" applyBorder="1" applyAlignment="1">
      <alignment horizontal="center" vertical="center" wrapText="1"/>
    </xf>
    <xf numFmtId="3" fontId="69" fillId="0" borderId="0" xfId="1" applyNumberFormat="1" applyFont="1" applyAlignment="1">
      <alignment horizontal="center" vertical="center" wrapText="1"/>
    </xf>
    <xf numFmtId="182" fontId="69" fillId="0" borderId="122" xfId="1" applyNumberFormat="1" applyFont="1" applyBorder="1" applyAlignment="1">
      <alignment horizontal="center" vertical="center"/>
    </xf>
    <xf numFmtId="182" fontId="69" fillId="0" borderId="121" xfId="1" applyNumberFormat="1" applyFont="1" applyBorder="1" applyAlignment="1">
      <alignment horizontal="center" vertical="center" wrapText="1"/>
    </xf>
    <xf numFmtId="183" fontId="69" fillId="0" borderId="61" xfId="1" applyNumberFormat="1" applyFont="1" applyBorder="1">
      <alignment vertical="center"/>
    </xf>
    <xf numFmtId="183" fontId="69" fillId="0" borderId="120" xfId="1" applyNumberFormat="1" applyFont="1" applyBorder="1" applyAlignment="1">
      <alignment horizontal="center" vertical="center" wrapText="1"/>
    </xf>
    <xf numFmtId="183" fontId="69" fillId="0" borderId="122" xfId="1" applyNumberFormat="1" applyFont="1" applyBorder="1" applyAlignment="1">
      <alignment horizontal="center" vertical="center" wrapText="1"/>
    </xf>
    <xf numFmtId="183" fontId="69" fillId="0" borderId="121" xfId="1" applyNumberFormat="1" applyFont="1" applyBorder="1" applyAlignment="1">
      <alignment horizontal="center" vertical="center" wrapText="1"/>
    </xf>
    <xf numFmtId="3" fontId="69" fillId="0" borderId="7" xfId="1" applyNumberFormat="1" applyFont="1" applyBorder="1" applyAlignment="1">
      <alignment horizontal="center" vertical="center" shrinkToFit="1"/>
    </xf>
    <xf numFmtId="3" fontId="69" fillId="0" borderId="7" xfId="1" applyNumberFormat="1" applyFont="1" applyBorder="1" applyAlignment="1">
      <alignment horizontal="center" vertical="center" wrapText="1"/>
    </xf>
    <xf numFmtId="183" fontId="69" fillId="0" borderId="7" xfId="1" applyNumberFormat="1" applyFont="1" applyBorder="1" applyAlignment="1">
      <alignment horizontal="center" vertical="center" wrapText="1"/>
    </xf>
    <xf numFmtId="3" fontId="72" fillId="9" borderId="39" xfId="1" applyNumberFormat="1" applyFont="1" applyFill="1" applyBorder="1" applyAlignment="1">
      <alignment vertical="center" shrinkToFit="1"/>
    </xf>
    <xf numFmtId="183" fontId="72" fillId="9" borderId="39" xfId="1" applyNumberFormat="1" applyFont="1" applyFill="1" applyBorder="1" applyAlignment="1">
      <alignment horizontal="right" vertical="center" shrinkToFit="1"/>
    </xf>
    <xf numFmtId="182" fontId="72" fillId="9" borderId="39" xfId="1" applyNumberFormat="1" applyFont="1" applyFill="1" applyBorder="1" applyAlignment="1">
      <alignment horizontal="right" vertical="center" shrinkToFit="1"/>
    </xf>
    <xf numFmtId="183" fontId="73" fillId="9" borderId="39" xfId="1" applyNumberFormat="1" applyFont="1" applyFill="1" applyBorder="1" applyAlignment="1">
      <alignment vertical="center" shrinkToFit="1"/>
    </xf>
    <xf numFmtId="182" fontId="72" fillId="9" borderId="39" xfId="1" applyNumberFormat="1" applyFont="1" applyFill="1" applyBorder="1" applyAlignment="1">
      <alignment horizontal="center" vertical="center" shrinkToFit="1"/>
    </xf>
    <xf numFmtId="183" fontId="73" fillId="9" borderId="5" xfId="1" applyNumberFormat="1" applyFont="1" applyFill="1" applyBorder="1" applyAlignment="1">
      <alignment vertical="center" shrinkToFit="1"/>
    </xf>
    <xf numFmtId="183" fontId="72" fillId="9" borderId="38" xfId="1" applyNumberFormat="1" applyFont="1" applyFill="1" applyBorder="1" applyAlignment="1">
      <alignment horizontal="right" vertical="center" shrinkToFit="1"/>
    </xf>
    <xf numFmtId="183" fontId="72" fillId="9" borderId="38" xfId="1" applyNumberFormat="1" applyFont="1" applyFill="1" applyBorder="1" applyAlignment="1">
      <alignment horizontal="center" vertical="center" shrinkToFit="1"/>
    </xf>
    <xf numFmtId="183" fontId="72" fillId="9" borderId="5" xfId="1" applyNumberFormat="1" applyFont="1" applyFill="1" applyBorder="1" applyAlignment="1">
      <alignment vertical="center" shrinkToFit="1"/>
    </xf>
    <xf numFmtId="183" fontId="72" fillId="9" borderId="0" xfId="1" applyNumberFormat="1" applyFont="1" applyFill="1" applyAlignment="1">
      <alignment vertical="center" shrinkToFit="1"/>
    </xf>
    <xf numFmtId="183" fontId="72" fillId="9" borderId="39" xfId="1" applyNumberFormat="1" applyFont="1" applyFill="1" applyBorder="1" applyAlignment="1">
      <alignment vertical="center" shrinkToFit="1"/>
    </xf>
    <xf numFmtId="183" fontId="72" fillId="9" borderId="39" xfId="1" applyNumberFormat="1" applyFont="1" applyFill="1" applyBorder="1" applyAlignment="1">
      <alignment horizontal="center" vertical="center" shrinkToFit="1"/>
    </xf>
    <xf numFmtId="3" fontId="69" fillId="0" borderId="8" xfId="1" applyNumberFormat="1" applyFont="1" applyBorder="1" applyAlignment="1">
      <alignment vertical="center" shrinkToFit="1"/>
    </xf>
    <xf numFmtId="3" fontId="69" fillId="0" borderId="128" xfId="1" applyNumberFormat="1" applyFont="1" applyBorder="1" applyAlignment="1">
      <alignment horizontal="distributed" vertical="center"/>
    </xf>
    <xf numFmtId="183" fontId="69" fillId="0" borderId="117" xfId="1" applyNumberFormat="1" applyFont="1" applyBorder="1" applyAlignment="1">
      <alignment horizontal="right" vertical="center"/>
    </xf>
    <xf numFmtId="182" fontId="69" fillId="0" borderId="129" xfId="1" applyNumberFormat="1" applyFont="1" applyBorder="1" applyAlignment="1">
      <alignment horizontal="right" vertical="center"/>
    </xf>
    <xf numFmtId="183" fontId="69" fillId="0" borderId="117" xfId="1" applyNumberFormat="1" applyFont="1" applyBorder="1" applyAlignment="1">
      <alignment horizontal="right" vertical="center" wrapText="1"/>
    </xf>
    <xf numFmtId="182" fontId="69" fillId="0" borderId="130" xfId="1" applyNumberFormat="1" applyFont="1" applyBorder="1" applyAlignment="1">
      <alignment horizontal="right" vertical="center" wrapText="1"/>
    </xf>
    <xf numFmtId="182" fontId="69" fillId="0" borderId="119" xfId="1" applyNumberFormat="1" applyFont="1" applyBorder="1" applyAlignment="1">
      <alignment horizontal="center" vertical="center" wrapText="1"/>
    </xf>
    <xf numFmtId="182" fontId="69" fillId="0" borderId="117" xfId="1" applyNumberFormat="1" applyFont="1" applyBorder="1" applyAlignment="1">
      <alignment horizontal="right" vertical="center" wrapText="1"/>
    </xf>
    <xf numFmtId="184" fontId="69" fillId="0" borderId="128" xfId="1" applyNumberFormat="1" applyFont="1" applyBorder="1" applyAlignment="1">
      <alignment vertical="center" wrapText="1"/>
    </xf>
    <xf numFmtId="183" fontId="69" fillId="0" borderId="8" xfId="1" applyNumberFormat="1" applyFont="1" applyBorder="1">
      <alignment vertical="center"/>
    </xf>
    <xf numFmtId="183" fontId="69" fillId="0" borderId="11" xfId="1" applyNumberFormat="1" applyFont="1" applyBorder="1" applyAlignment="1">
      <alignment horizontal="center" vertical="center" wrapText="1"/>
    </xf>
    <xf numFmtId="183" fontId="69" fillId="0" borderId="132" xfId="1" applyNumberFormat="1" applyFont="1" applyBorder="1" applyAlignment="1">
      <alignment horizontal="right" vertical="center" wrapText="1"/>
    </xf>
    <xf numFmtId="183" fontId="69" fillId="0" borderId="131" xfId="1" applyNumberFormat="1" applyFont="1" applyBorder="1" applyAlignment="1">
      <alignment horizontal="right" vertical="center" wrapText="1"/>
    </xf>
    <xf numFmtId="185" fontId="69" fillId="0" borderId="8" xfId="1" applyNumberFormat="1" applyFont="1" applyBorder="1">
      <alignment vertical="center"/>
    </xf>
    <xf numFmtId="183" fontId="69" fillId="0" borderId="8" xfId="1" applyNumberFormat="1" applyFont="1" applyBorder="1" applyAlignment="1">
      <alignment wrapText="1"/>
    </xf>
    <xf numFmtId="3" fontId="69" fillId="0" borderId="50" xfId="1" applyNumberFormat="1" applyFont="1" applyBorder="1" applyAlignment="1">
      <alignment vertical="center" shrinkToFit="1"/>
    </xf>
    <xf numFmtId="0" fontId="69" fillId="0" borderId="50" xfId="1" applyFont="1" applyBorder="1" applyAlignment="1">
      <alignment vertical="center" shrinkToFit="1"/>
    </xf>
    <xf numFmtId="3" fontId="69" fillId="0" borderId="133" xfId="1" applyNumberFormat="1" applyFont="1" applyBorder="1" applyAlignment="1">
      <alignment horizontal="distributed" vertical="center"/>
    </xf>
    <xf numFmtId="183" fontId="69" fillId="0" borderId="87" xfId="1" applyNumberFormat="1" applyFont="1" applyBorder="1" applyAlignment="1">
      <alignment horizontal="right" vertical="center"/>
    </xf>
    <xf numFmtId="182" fontId="69" fillId="0" borderId="124" xfId="1" applyNumberFormat="1" applyFont="1" applyBorder="1" applyAlignment="1">
      <alignment horizontal="right" vertical="center"/>
    </xf>
    <xf numFmtId="183" fontId="69" fillId="0" borderId="87" xfId="1" applyNumberFormat="1" applyFont="1" applyBorder="1" applyAlignment="1">
      <alignment horizontal="right" vertical="center" wrapText="1"/>
    </xf>
    <xf numFmtId="182" fontId="69" fillId="0" borderId="62" xfId="1" applyNumberFormat="1" applyFont="1" applyBorder="1" applyAlignment="1">
      <alignment horizontal="right" vertical="center" wrapText="1"/>
    </xf>
    <xf numFmtId="182" fontId="69" fillId="0" borderId="134" xfId="1" applyNumberFormat="1" applyFont="1" applyBorder="1" applyAlignment="1">
      <alignment horizontal="center" vertical="center" wrapText="1"/>
    </xf>
    <xf numFmtId="183" fontId="69" fillId="0" borderId="135" xfId="1" applyNumberFormat="1" applyFont="1" applyBorder="1" applyAlignment="1">
      <alignment horizontal="right" vertical="center" wrapText="1"/>
    </xf>
    <xf numFmtId="185" fontId="69" fillId="0" borderId="136" xfId="1" applyNumberFormat="1" applyFont="1" applyBorder="1" applyAlignment="1">
      <alignment vertical="center" wrapText="1"/>
    </xf>
    <xf numFmtId="183" fontId="69" fillId="0" borderId="50" xfId="1" applyNumberFormat="1" applyFont="1" applyBorder="1">
      <alignment vertical="center"/>
    </xf>
    <xf numFmtId="183" fontId="69" fillId="0" borderId="126" xfId="1" applyNumberFormat="1" applyFont="1" applyBorder="1" applyAlignment="1">
      <alignment horizontal="right" vertical="center" wrapText="1"/>
    </xf>
    <xf numFmtId="183" fontId="69" fillId="0" borderId="127" xfId="1" applyNumberFormat="1" applyFont="1" applyBorder="1" applyAlignment="1">
      <alignment horizontal="right" vertical="center" wrapText="1"/>
    </xf>
    <xf numFmtId="185" fontId="69" fillId="0" borderId="50" xfId="1" applyNumberFormat="1" applyFont="1" applyBorder="1">
      <alignment vertical="center"/>
    </xf>
    <xf numFmtId="183" fontId="69" fillId="0" borderId="50" xfId="1" applyNumberFormat="1" applyFont="1" applyBorder="1" applyAlignment="1">
      <alignment wrapText="1"/>
    </xf>
    <xf numFmtId="183" fontId="69" fillId="0" borderId="0" xfId="1" applyNumberFormat="1" applyFont="1">
      <alignment vertical="center"/>
    </xf>
    <xf numFmtId="185" fontId="69" fillId="0" borderId="38" xfId="1" applyNumberFormat="1" applyFont="1" applyBorder="1">
      <alignment vertical="center"/>
    </xf>
    <xf numFmtId="183" fontId="69" fillId="0" borderId="0" xfId="1" applyNumberFormat="1" applyFont="1" applyAlignment="1">
      <alignment vertical="center" wrapText="1"/>
    </xf>
    <xf numFmtId="0" fontId="69" fillId="0" borderId="7" xfId="1" applyFont="1" applyBorder="1" applyAlignment="1">
      <alignment vertical="center" shrinkToFit="1"/>
    </xf>
    <xf numFmtId="3" fontId="69" fillId="0" borderId="136" xfId="1" applyNumberFormat="1" applyFont="1" applyBorder="1" applyAlignment="1">
      <alignment horizontal="distributed" vertical="center"/>
    </xf>
    <xf numFmtId="183" fontId="69" fillId="0" borderId="135" xfId="1" applyNumberFormat="1" applyFont="1" applyBorder="1" applyAlignment="1">
      <alignment horizontal="right" vertical="center"/>
    </xf>
    <xf numFmtId="182" fontId="69" fillId="0" borderId="137" xfId="1" applyNumberFormat="1" applyFont="1" applyBorder="1" applyAlignment="1">
      <alignment horizontal="right" vertical="center"/>
    </xf>
    <xf numFmtId="182" fontId="69" fillId="0" borderId="70" xfId="1" applyNumberFormat="1" applyFont="1" applyBorder="1" applyAlignment="1">
      <alignment horizontal="right" vertical="center" wrapText="1"/>
    </xf>
    <xf numFmtId="182" fontId="69" fillId="0" borderId="137" xfId="1" applyNumberFormat="1" applyFont="1" applyBorder="1" applyAlignment="1">
      <alignment horizontal="center" vertical="center" wrapText="1"/>
    </xf>
    <xf numFmtId="185" fontId="69" fillId="0" borderId="5" xfId="1" applyNumberFormat="1" applyFont="1" applyBorder="1">
      <alignment vertical="center"/>
    </xf>
    <xf numFmtId="183" fontId="69" fillId="0" borderId="67" xfId="1" applyNumberFormat="1" applyFont="1" applyBorder="1" applyAlignment="1">
      <alignment horizontal="center" vertical="center" wrapText="1"/>
    </xf>
    <xf numFmtId="183" fontId="69" fillId="0" borderId="139" xfId="1" applyNumberFormat="1" applyFont="1" applyBorder="1" applyAlignment="1">
      <alignment horizontal="right" vertical="center" wrapText="1"/>
    </xf>
    <xf numFmtId="183" fontId="69" fillId="0" borderId="138" xfId="1" applyNumberFormat="1" applyFont="1" applyBorder="1" applyAlignment="1">
      <alignment horizontal="right" vertical="center" wrapText="1"/>
    </xf>
    <xf numFmtId="183" fontId="69" fillId="0" borderId="7" xfId="1" applyNumberFormat="1" applyFont="1" applyBorder="1">
      <alignment vertical="center"/>
    </xf>
    <xf numFmtId="185" fontId="69" fillId="0" borderId="7" xfId="1" applyNumberFormat="1" applyFont="1" applyBorder="1">
      <alignment vertical="center"/>
    </xf>
    <xf numFmtId="0" fontId="74" fillId="0" borderId="50" xfId="1" applyFont="1" applyBorder="1">
      <alignment vertical="center"/>
    </xf>
    <xf numFmtId="3" fontId="75" fillId="0" borderId="50" xfId="1" applyNumberFormat="1" applyFont="1" applyBorder="1">
      <alignment vertical="center"/>
    </xf>
    <xf numFmtId="3" fontId="69" fillId="0" borderId="7" xfId="1" applyNumberFormat="1" applyFont="1" applyBorder="1" applyAlignment="1">
      <alignment vertical="center" shrinkToFit="1"/>
    </xf>
    <xf numFmtId="183" fontId="69" fillId="0" borderId="50" xfId="1" applyNumberFormat="1" applyFont="1" applyBorder="1" applyAlignment="1">
      <alignment horizontal="center" vertical="center" wrapText="1"/>
    </xf>
    <xf numFmtId="185" fontId="69" fillId="0" borderId="0" xfId="1" applyNumberFormat="1" applyFont="1">
      <alignment vertical="center"/>
    </xf>
    <xf numFmtId="176" fontId="1" fillId="0" borderId="195" xfId="0" applyNumberFormat="1" applyFont="1" applyBorder="1" applyAlignment="1" applyProtection="1">
      <alignment horizontal="right" vertical="center" shrinkToFit="1"/>
    </xf>
    <xf numFmtId="176" fontId="1" fillId="0" borderId="37" xfId="0" applyNumberFormat="1" applyFont="1" applyBorder="1" applyAlignment="1" applyProtection="1">
      <alignment horizontal="right" vertical="center" shrinkToFit="1"/>
    </xf>
    <xf numFmtId="0" fontId="39" fillId="0" borderId="0" xfId="0" applyFont="1" applyProtection="1">
      <alignment vertical="center"/>
    </xf>
    <xf numFmtId="9" fontId="1" fillId="0" borderId="17" xfId="0" applyNumberFormat="1" applyFont="1" applyFill="1" applyBorder="1" applyAlignment="1" applyProtection="1">
      <alignment vertical="center"/>
    </xf>
    <xf numFmtId="0" fontId="1" fillId="0" borderId="0" xfId="0" applyFont="1" applyAlignment="1" applyProtection="1">
      <alignment horizontal="distributed" vertical="center"/>
    </xf>
    <xf numFmtId="0" fontId="1" fillId="2" borderId="3" xfId="0" applyFont="1" applyFill="1" applyBorder="1" applyAlignment="1" applyProtection="1">
      <alignment vertical="center" shrinkToFit="1"/>
    </xf>
    <xf numFmtId="0" fontId="0" fillId="0" borderId="0" xfId="0" applyAlignment="1" applyProtection="1">
      <alignment vertical="center"/>
    </xf>
    <xf numFmtId="0" fontId="15" fillId="0" borderId="0" xfId="0" applyFont="1" applyBorder="1" applyAlignment="1" applyProtection="1">
      <alignment horizontal="center" vertical="center"/>
    </xf>
    <xf numFmtId="0" fontId="15" fillId="0" borderId="5"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5"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5" xfId="0" applyFont="1" applyBorder="1" applyAlignment="1" applyProtection="1">
      <alignment horizontal="center" vertical="center"/>
    </xf>
    <xf numFmtId="0" fontId="0" fillId="0" borderId="0" xfId="0" applyBorder="1" applyAlignment="1" applyProtection="1">
      <alignment vertical="center"/>
    </xf>
    <xf numFmtId="0" fontId="0" fillId="0" borderId="0" xfId="0" applyProtection="1">
      <alignment vertical="center"/>
    </xf>
    <xf numFmtId="0" fontId="1" fillId="0" borderId="8" xfId="0" applyFont="1" applyBorder="1" applyAlignment="1" applyProtection="1">
      <alignment horizontal="center" vertical="center" shrinkToFit="1"/>
    </xf>
    <xf numFmtId="0" fontId="1" fillId="0" borderId="50" xfId="0" applyFont="1" applyBorder="1" applyAlignment="1" applyProtection="1">
      <alignment horizontal="center" vertical="center" shrinkToFit="1"/>
    </xf>
    <xf numFmtId="177" fontId="1" fillId="0" borderId="3" xfId="0" applyNumberFormat="1" applyFont="1" applyBorder="1" applyAlignment="1" applyProtection="1">
      <alignment horizontal="center" vertical="center" shrinkToFit="1"/>
    </xf>
    <xf numFmtId="177" fontId="10" fillId="0" borderId="3" xfId="0" applyNumberFormat="1" applyFont="1" applyBorder="1" applyAlignment="1" applyProtection="1">
      <alignment horizontal="center" vertical="center" shrinkToFit="1"/>
    </xf>
    <xf numFmtId="177" fontId="1" fillId="0" borderId="3" xfId="0" applyNumberFormat="1" applyFont="1" applyFill="1" applyBorder="1" applyAlignment="1" applyProtection="1">
      <alignment horizontal="center" vertical="center" shrinkToFit="1"/>
    </xf>
    <xf numFmtId="0" fontId="14" fillId="0" borderId="0" xfId="0" applyFont="1" applyBorder="1" applyAlignment="1" applyProtection="1">
      <alignment horizontal="center" vertical="center"/>
    </xf>
    <xf numFmtId="177" fontId="1" fillId="0" borderId="0" xfId="0" applyNumberFormat="1" applyFont="1" applyBorder="1" applyAlignment="1" applyProtection="1">
      <alignment horizontal="center" vertical="center"/>
    </xf>
    <xf numFmtId="177" fontId="10" fillId="0" borderId="0" xfId="0" applyNumberFormat="1" applyFont="1" applyBorder="1" applyAlignment="1" applyProtection="1">
      <alignment horizontal="center" vertical="center"/>
    </xf>
    <xf numFmtId="0" fontId="0" fillId="0" borderId="0" xfId="0" applyBorder="1" applyProtection="1">
      <alignment vertical="center"/>
    </xf>
    <xf numFmtId="177" fontId="11" fillId="0" borderId="3" xfId="0" applyNumberFormat="1" applyFont="1" applyBorder="1" applyAlignment="1" applyProtection="1">
      <alignment horizontal="center" vertical="center" shrinkToFit="1"/>
    </xf>
    <xf numFmtId="0" fontId="1" fillId="0" borderId="0" xfId="0" applyFont="1" applyFill="1" applyAlignment="1" applyProtection="1">
      <alignment horizontal="center" vertical="center"/>
    </xf>
    <xf numFmtId="0" fontId="0" fillId="0" borderId="0" xfId="0" applyFill="1" applyProtection="1">
      <alignment vertical="center"/>
    </xf>
    <xf numFmtId="0" fontId="1" fillId="5" borderId="2" xfId="0" applyFont="1" applyFill="1" applyBorder="1" applyAlignment="1" applyProtection="1">
      <alignment horizontal="center" vertical="center" shrinkToFit="1"/>
    </xf>
    <xf numFmtId="0" fontId="1" fillId="0" borderId="61" xfId="0" applyFont="1" applyBorder="1" applyAlignment="1" applyProtection="1">
      <alignment horizontal="center" vertical="center" shrinkToFit="1"/>
    </xf>
    <xf numFmtId="0" fontId="1" fillId="0" borderId="0" xfId="0" applyFont="1" applyBorder="1" applyAlignment="1" applyProtection="1">
      <alignment horizontal="center" vertical="center" shrinkToFit="1"/>
    </xf>
    <xf numFmtId="0" fontId="1" fillId="4" borderId="3" xfId="0" applyFont="1" applyFill="1" applyBorder="1" applyAlignment="1" applyProtection="1">
      <alignment horizontal="center" vertical="center" shrinkToFit="1"/>
      <protection locked="0"/>
    </xf>
    <xf numFmtId="0" fontId="1" fillId="4" borderId="2" xfId="0" applyFont="1" applyFill="1" applyBorder="1" applyAlignment="1" applyProtection="1">
      <alignment horizontal="center" vertical="center" shrinkToFit="1"/>
      <protection locked="0"/>
    </xf>
    <xf numFmtId="0" fontId="1" fillId="4" borderId="169" xfId="0" applyFont="1" applyFill="1" applyBorder="1" applyAlignment="1" applyProtection="1">
      <alignment horizontal="center" vertical="center" shrinkToFit="1"/>
      <protection locked="0"/>
    </xf>
    <xf numFmtId="38" fontId="1" fillId="19" borderId="3" xfId="0" applyNumberFormat="1" applyFont="1" applyFill="1" applyBorder="1" applyProtection="1">
      <alignment vertical="center"/>
      <protection locked="0"/>
    </xf>
    <xf numFmtId="0" fontId="39" fillId="0" borderId="0" xfId="0" applyFont="1" applyAlignment="1" applyProtection="1">
      <alignment horizontal="center" vertical="center"/>
    </xf>
    <xf numFmtId="0" fontId="57" fillId="0" borderId="0" xfId="0" applyFont="1" applyProtection="1">
      <alignment vertical="center"/>
    </xf>
    <xf numFmtId="0" fontId="14" fillId="0" borderId="0" xfId="0" applyFont="1" applyAlignment="1" applyProtection="1">
      <alignment horizontal="center" vertical="center"/>
    </xf>
    <xf numFmtId="0" fontId="39" fillId="0" borderId="174" xfId="0" applyFont="1" applyBorder="1" applyAlignment="1" applyProtection="1">
      <alignment horizontal="center" vertical="center"/>
    </xf>
    <xf numFmtId="0" fontId="39" fillId="0" borderId="175" xfId="0" applyFont="1" applyBorder="1" applyAlignment="1" applyProtection="1">
      <alignment horizontal="center" vertical="center"/>
    </xf>
    <xf numFmtId="0" fontId="39" fillId="0" borderId="176" xfId="0" applyFont="1" applyBorder="1" applyAlignment="1" applyProtection="1">
      <alignment horizontal="center" vertical="center"/>
    </xf>
    <xf numFmtId="178" fontId="1" fillId="0" borderId="0" xfId="0" applyNumberFormat="1" applyFont="1" applyProtection="1">
      <alignment vertical="center"/>
    </xf>
    <xf numFmtId="0" fontId="1" fillId="0" borderId="0" xfId="0" applyFont="1" applyAlignment="1" applyProtection="1">
      <alignment vertical="center"/>
    </xf>
    <xf numFmtId="0" fontId="1" fillId="0" borderId="0" xfId="0" applyFont="1" applyBorder="1" applyAlignment="1" applyProtection="1">
      <alignment vertical="center"/>
    </xf>
    <xf numFmtId="0" fontId="18" fillId="0" borderId="0" xfId="0" applyFont="1" applyProtection="1">
      <alignment vertical="center"/>
    </xf>
    <xf numFmtId="0" fontId="1" fillId="0" borderId="1" xfId="0" applyFont="1" applyBorder="1" applyProtection="1">
      <alignment vertical="center"/>
    </xf>
    <xf numFmtId="0" fontId="1" fillId="0" borderId="39" xfId="0" applyFont="1" applyBorder="1" applyProtection="1">
      <alignment vertical="center"/>
    </xf>
    <xf numFmtId="0" fontId="1" fillId="0" borderId="53" xfId="0" applyFont="1" applyBorder="1" applyAlignment="1" applyProtection="1">
      <alignment horizontal="center" vertical="center"/>
    </xf>
    <xf numFmtId="0" fontId="1" fillId="0" borderId="58" xfId="0" applyFont="1" applyBorder="1" applyAlignment="1" applyProtection="1">
      <alignment horizontal="center" vertical="center"/>
    </xf>
    <xf numFmtId="0" fontId="1" fillId="0" borderId="59" xfId="0" applyFont="1" applyFill="1" applyBorder="1" applyAlignment="1" applyProtection="1">
      <alignment horizontal="center" vertical="center"/>
    </xf>
    <xf numFmtId="0" fontId="1" fillId="0" borderId="58" xfId="0" applyFont="1" applyBorder="1" applyAlignment="1" applyProtection="1">
      <alignment horizontal="center" vertical="center" wrapText="1"/>
    </xf>
    <xf numFmtId="38" fontId="1" fillId="0" borderId="60" xfId="0" applyNumberFormat="1" applyFont="1" applyFill="1" applyBorder="1" applyAlignment="1" applyProtection="1">
      <alignment horizontal="right" vertical="center"/>
    </xf>
    <xf numFmtId="0" fontId="1" fillId="0" borderId="60" xfId="0" applyNumberFormat="1" applyFont="1" applyFill="1" applyBorder="1" applyAlignment="1" applyProtection="1">
      <alignment horizontal="right" vertical="center"/>
    </xf>
    <xf numFmtId="0" fontId="1" fillId="14" borderId="9" xfId="0" applyFont="1" applyFill="1" applyBorder="1" applyAlignment="1" applyProtection="1">
      <alignment horizontal="right" vertical="center"/>
    </xf>
    <xf numFmtId="0" fontId="1" fillId="0" borderId="61" xfId="0" applyFont="1" applyBorder="1" applyAlignment="1" applyProtection="1">
      <alignment horizontal="left" vertical="center"/>
    </xf>
    <xf numFmtId="0" fontId="1" fillId="0" borderId="64" xfId="0" applyFont="1" applyBorder="1" applyProtection="1">
      <alignment vertical="center"/>
    </xf>
    <xf numFmtId="0" fontId="1" fillId="0" borderId="67" xfId="0" applyFont="1" applyBorder="1" applyProtection="1">
      <alignment vertical="center"/>
    </xf>
    <xf numFmtId="0" fontId="1" fillId="0" borderId="70" xfId="0" applyFont="1" applyBorder="1" applyProtection="1">
      <alignment vertical="center"/>
    </xf>
    <xf numFmtId="0" fontId="1" fillId="0" borderId="75" xfId="0" applyFont="1" applyBorder="1" applyAlignment="1" applyProtection="1">
      <alignment horizontal="center" vertical="center" wrapText="1"/>
    </xf>
    <xf numFmtId="0" fontId="1" fillId="0" borderId="52" xfId="0" applyFont="1" applyBorder="1" applyAlignment="1" applyProtection="1">
      <alignment horizontal="center" vertical="center"/>
    </xf>
    <xf numFmtId="0" fontId="1" fillId="0" borderId="5" xfId="0" applyFont="1" applyBorder="1" applyAlignment="1" applyProtection="1">
      <alignment horizontal="center" vertical="center" wrapText="1"/>
    </xf>
    <xf numFmtId="0" fontId="1" fillId="0" borderId="55" xfId="0" applyFont="1" applyBorder="1" applyProtection="1">
      <alignment vertical="center"/>
    </xf>
    <xf numFmtId="0" fontId="1" fillId="0" borderId="11" xfId="0" applyFont="1" applyBorder="1" applyAlignment="1" applyProtection="1">
      <alignment horizontal="right" vertical="center"/>
    </xf>
    <xf numFmtId="0" fontId="1" fillId="0" borderId="39" xfId="0" applyFont="1" applyBorder="1" applyAlignment="1" applyProtection="1">
      <alignment horizontal="right" vertical="center"/>
    </xf>
    <xf numFmtId="0" fontId="1" fillId="0" borderId="78" xfId="0" applyFont="1" applyBorder="1" applyProtection="1">
      <alignment vertical="center"/>
    </xf>
    <xf numFmtId="178" fontId="1" fillId="0" borderId="53" xfId="0" applyNumberFormat="1" applyFont="1" applyBorder="1" applyProtection="1">
      <alignment vertical="center"/>
    </xf>
    <xf numFmtId="178" fontId="1" fillId="0" borderId="78" xfId="0" applyNumberFormat="1" applyFont="1" applyBorder="1" applyProtection="1">
      <alignment vertical="center"/>
    </xf>
    <xf numFmtId="179" fontId="19" fillId="0" borderId="79" xfId="0" applyNumberFormat="1" applyFont="1" applyBorder="1" applyProtection="1">
      <alignment vertical="center"/>
    </xf>
    <xf numFmtId="0" fontId="1" fillId="0" borderId="80" xfId="0" applyFont="1" applyBorder="1" applyProtection="1">
      <alignment vertical="center"/>
    </xf>
    <xf numFmtId="0" fontId="1" fillId="0" borderId="57" xfId="0" applyFont="1" applyBorder="1" applyProtection="1">
      <alignment vertical="center"/>
    </xf>
    <xf numFmtId="0" fontId="1" fillId="0" borderId="81" xfId="0" applyFont="1" applyBorder="1" applyProtection="1">
      <alignment vertical="center"/>
    </xf>
    <xf numFmtId="0" fontId="1" fillId="0" borderId="50" xfId="0" applyFont="1" applyBorder="1" applyAlignment="1" applyProtection="1">
      <alignment horizontal="right" vertical="center"/>
    </xf>
    <xf numFmtId="0" fontId="1" fillId="0" borderId="82" xfId="0" applyFont="1" applyBorder="1" applyProtection="1">
      <alignment vertical="center"/>
    </xf>
    <xf numFmtId="0" fontId="1" fillId="0" borderId="83" xfId="0" applyFont="1" applyBorder="1" applyAlignment="1" applyProtection="1">
      <alignment horizontal="right" vertical="center"/>
    </xf>
    <xf numFmtId="0" fontId="1" fillId="0" borderId="84" xfId="0" applyFont="1" applyBorder="1" applyProtection="1">
      <alignment vertical="center"/>
    </xf>
    <xf numFmtId="178" fontId="20" fillId="14" borderId="85" xfId="0" applyNumberFormat="1" applyFont="1" applyFill="1" applyBorder="1" applyAlignment="1" applyProtection="1">
      <alignment horizontal="right" vertical="center"/>
    </xf>
    <xf numFmtId="180" fontId="21" fillId="14" borderId="84" xfId="0" applyNumberFormat="1" applyFont="1" applyFill="1" applyBorder="1" applyProtection="1">
      <alignment vertical="center"/>
    </xf>
    <xf numFmtId="179" fontId="11" fillId="0" borderId="86" xfId="0" applyNumberFormat="1" applyFont="1" applyFill="1" applyBorder="1" applyProtection="1">
      <alignment vertical="center"/>
    </xf>
    <xf numFmtId="0" fontId="1" fillId="0" borderId="87" xfId="0" applyFont="1" applyBorder="1" applyProtection="1">
      <alignment vertical="center"/>
    </xf>
    <xf numFmtId="0" fontId="1" fillId="0" borderId="64" xfId="0" applyFont="1" applyBorder="1" applyAlignment="1" applyProtection="1">
      <alignment horizontal="right" vertical="center"/>
    </xf>
    <xf numFmtId="178" fontId="20" fillId="14" borderId="88" xfId="0" applyNumberFormat="1" applyFont="1" applyFill="1" applyBorder="1" applyAlignment="1" applyProtection="1">
      <alignment horizontal="right" vertical="center"/>
    </xf>
    <xf numFmtId="180" fontId="21" fillId="14" borderId="89" xfId="0" applyNumberFormat="1" applyFont="1" applyFill="1" applyBorder="1" applyProtection="1">
      <alignment vertical="center"/>
    </xf>
    <xf numFmtId="179" fontId="11" fillId="0" borderId="90" xfId="0" applyNumberFormat="1" applyFont="1" applyFill="1" applyBorder="1" applyProtection="1">
      <alignment vertical="center"/>
    </xf>
    <xf numFmtId="178" fontId="20" fillId="0" borderId="88" xfId="0" applyNumberFormat="1" applyFont="1" applyBorder="1" applyAlignment="1" applyProtection="1">
      <alignment horizontal="right" vertical="center"/>
    </xf>
    <xf numFmtId="180" fontId="21" fillId="0" borderId="89" xfId="0" applyNumberFormat="1" applyFont="1" applyBorder="1" applyProtection="1">
      <alignment vertical="center"/>
    </xf>
    <xf numFmtId="0" fontId="1" fillId="14" borderId="87" xfId="0" applyFont="1" applyFill="1" applyBorder="1" applyAlignment="1" applyProtection="1">
      <alignment horizontal="center" vertical="center"/>
    </xf>
    <xf numFmtId="0" fontId="1" fillId="0" borderId="89" xfId="0" applyFont="1" applyBorder="1" applyProtection="1">
      <alignment vertical="center"/>
    </xf>
    <xf numFmtId="0" fontId="1" fillId="0" borderId="91" xfId="0" applyFont="1" applyBorder="1" applyProtection="1">
      <alignment vertical="center"/>
    </xf>
    <xf numFmtId="0" fontId="1" fillId="0" borderId="92" xfId="0" applyFont="1" applyBorder="1" applyAlignment="1" applyProtection="1">
      <alignment horizontal="right" vertical="center"/>
    </xf>
    <xf numFmtId="0" fontId="1" fillId="0" borderId="93" xfId="0" applyFont="1" applyBorder="1" applyProtection="1">
      <alignment vertical="center"/>
    </xf>
    <xf numFmtId="178" fontId="20" fillId="14" borderId="94" xfId="0" applyNumberFormat="1" applyFont="1" applyFill="1" applyBorder="1" applyAlignment="1" applyProtection="1">
      <alignment horizontal="right" vertical="center"/>
    </xf>
    <xf numFmtId="180" fontId="21" fillId="14" borderId="93" xfId="0" applyNumberFormat="1" applyFont="1" applyFill="1" applyBorder="1" applyProtection="1">
      <alignment vertical="center"/>
    </xf>
    <xf numFmtId="179" fontId="11" fillId="0" borderId="95" xfId="0" applyNumberFormat="1" applyFont="1" applyFill="1" applyBorder="1" applyProtection="1">
      <alignment vertical="center"/>
    </xf>
    <xf numFmtId="0" fontId="1" fillId="0" borderId="61" xfId="0" applyFont="1" applyBorder="1" applyAlignment="1" applyProtection="1">
      <alignment horizontal="right" vertical="center"/>
    </xf>
    <xf numFmtId="0" fontId="1" fillId="0" borderId="4" xfId="0" applyFont="1" applyBorder="1" applyProtection="1">
      <alignment vertical="center"/>
    </xf>
    <xf numFmtId="181" fontId="21" fillId="0" borderId="44" xfId="0" applyNumberFormat="1" applyFont="1" applyBorder="1" applyProtection="1">
      <alignment vertical="center"/>
    </xf>
    <xf numFmtId="179" fontId="11" fillId="0" borderId="77" xfId="0" applyNumberFormat="1" applyFont="1" applyFill="1" applyBorder="1" applyProtection="1">
      <alignment vertical="center"/>
    </xf>
    <xf numFmtId="0" fontId="1" fillId="0" borderId="80" xfId="0" applyFont="1" applyBorder="1" applyAlignment="1" applyProtection="1">
      <alignment horizontal="left" vertical="center"/>
    </xf>
    <xf numFmtId="0" fontId="1" fillId="0" borderId="1" xfId="0" applyFont="1" applyBorder="1" applyAlignment="1" applyProtection="1">
      <alignment horizontal="right" vertical="center"/>
    </xf>
    <xf numFmtId="0" fontId="1" fillId="0" borderId="39" xfId="0" applyFont="1" applyBorder="1" applyAlignment="1" applyProtection="1">
      <alignment horizontal="left" vertical="center"/>
    </xf>
    <xf numFmtId="178" fontId="21" fillId="0" borderId="78" xfId="0" applyNumberFormat="1" applyFont="1" applyBorder="1" applyProtection="1">
      <alignment vertical="center"/>
    </xf>
    <xf numFmtId="179" fontId="1" fillId="0" borderId="79" xfId="0" applyNumberFormat="1" applyFont="1" applyFill="1" applyBorder="1" applyProtection="1">
      <alignment vertical="center"/>
    </xf>
    <xf numFmtId="0" fontId="1" fillId="0" borderId="79" xfId="0" applyFont="1" applyFill="1" applyBorder="1" applyProtection="1">
      <alignment vertical="center"/>
    </xf>
    <xf numFmtId="0" fontId="10" fillId="0" borderId="1" xfId="0" applyFont="1" applyBorder="1" applyAlignment="1" applyProtection="1">
      <alignment horizontal="right" vertical="center"/>
    </xf>
    <xf numFmtId="0" fontId="10" fillId="0" borderId="39" xfId="0" applyFont="1" applyBorder="1" applyAlignment="1" applyProtection="1">
      <alignment horizontal="left" vertical="center"/>
    </xf>
    <xf numFmtId="0" fontId="10" fillId="0" borderId="39" xfId="0" applyFont="1" applyBorder="1" applyAlignment="1" applyProtection="1">
      <alignment horizontal="right" vertical="center"/>
    </xf>
    <xf numFmtId="178" fontId="10" fillId="0" borderId="53" xfId="0" applyNumberFormat="1" applyFont="1" applyBorder="1" applyProtection="1">
      <alignment vertical="center"/>
    </xf>
    <xf numFmtId="178" fontId="10" fillId="0" borderId="78" xfId="0" applyNumberFormat="1" applyFont="1" applyBorder="1" applyProtection="1">
      <alignment vertical="center"/>
    </xf>
    <xf numFmtId="179" fontId="10" fillId="0" borderId="79" xfId="0" applyNumberFormat="1" applyFont="1" applyFill="1" applyBorder="1" applyProtection="1">
      <alignment vertical="center"/>
    </xf>
    <xf numFmtId="0" fontId="1" fillId="0" borderId="96" xfId="0" applyFont="1" applyBorder="1" applyAlignment="1" applyProtection="1">
      <alignment horizontal="left" vertical="center"/>
    </xf>
    <xf numFmtId="0" fontId="1" fillId="0" borderId="97" xfId="0" applyFont="1" applyBorder="1" applyAlignment="1" applyProtection="1">
      <alignment horizontal="left" vertical="center"/>
    </xf>
    <xf numFmtId="0" fontId="1" fillId="0" borderId="98" xfId="0" applyFont="1" applyBorder="1" applyProtection="1">
      <alignment vertical="center"/>
    </xf>
    <xf numFmtId="0" fontId="1" fillId="0" borderId="99" xfId="0" applyFont="1" applyBorder="1" applyProtection="1">
      <alignment vertical="center"/>
    </xf>
    <xf numFmtId="178" fontId="21" fillId="0" borderId="98" xfId="0" applyNumberFormat="1" applyFont="1" applyBorder="1" applyProtection="1">
      <alignment vertical="center"/>
    </xf>
    <xf numFmtId="179" fontId="1" fillId="0" borderId="99" xfId="0" applyNumberFormat="1" applyFont="1" applyFill="1" applyBorder="1" applyProtection="1">
      <alignment vertical="center"/>
    </xf>
    <xf numFmtId="178" fontId="1" fillId="0" borderId="100" xfId="0" applyNumberFormat="1" applyFont="1" applyBorder="1" applyAlignment="1" applyProtection="1">
      <alignment horizontal="center" vertical="center"/>
    </xf>
    <xf numFmtId="0" fontId="1" fillId="0" borderId="101" xfId="0" applyFont="1" applyBorder="1" applyProtection="1">
      <alignment vertical="center"/>
    </xf>
    <xf numFmtId="0" fontId="1" fillId="0" borderId="102" xfId="0" applyFont="1" applyBorder="1" applyProtection="1">
      <alignment vertical="center"/>
    </xf>
    <xf numFmtId="179" fontId="1" fillId="0" borderId="101" xfId="0" applyNumberFormat="1" applyFont="1" applyFill="1" applyBorder="1" applyProtection="1">
      <alignment vertical="center"/>
    </xf>
    <xf numFmtId="0" fontId="11" fillId="0" borderId="61" xfId="0" applyFont="1" applyBorder="1" applyProtection="1">
      <alignment vertical="center"/>
    </xf>
    <xf numFmtId="0" fontId="11" fillId="0" borderId="0" xfId="0" applyFont="1" applyProtection="1">
      <alignment vertical="center"/>
    </xf>
    <xf numFmtId="178" fontId="21" fillId="0" borderId="57" xfId="0" applyNumberFormat="1" applyFont="1" applyBorder="1" applyProtection="1">
      <alignment vertical="center"/>
    </xf>
    <xf numFmtId="179" fontId="11" fillId="0" borderId="81" xfId="0" applyNumberFormat="1" applyFont="1" applyFill="1" applyBorder="1" applyProtection="1">
      <alignment vertical="center"/>
    </xf>
    <xf numFmtId="0" fontId="14" fillId="0" borderId="42" xfId="0" applyFont="1" applyBorder="1" applyProtection="1">
      <alignment vertical="center"/>
    </xf>
    <xf numFmtId="0" fontId="14" fillId="0" borderId="43" xfId="0" applyFont="1" applyBorder="1" applyProtection="1">
      <alignment vertical="center"/>
    </xf>
    <xf numFmtId="178" fontId="21" fillId="0" borderId="42" xfId="0" applyNumberFormat="1" applyFont="1" applyBorder="1" applyProtection="1">
      <alignment vertical="center"/>
    </xf>
    <xf numFmtId="178" fontId="18" fillId="0" borderId="49" xfId="0" applyNumberFormat="1" applyFont="1" applyFill="1" applyBorder="1" applyProtection="1">
      <alignment vertical="center"/>
    </xf>
    <xf numFmtId="178" fontId="1" fillId="0" borderId="42" xfId="0" applyNumberFormat="1" applyFont="1" applyBorder="1" applyProtection="1">
      <alignment vertical="center"/>
    </xf>
    <xf numFmtId="178" fontId="21" fillId="0" borderId="0" xfId="0" applyNumberFormat="1" applyFont="1" applyProtection="1">
      <alignment vertical="center"/>
    </xf>
    <xf numFmtId="179" fontId="1" fillId="0" borderId="0" xfId="0" applyNumberFormat="1" applyFont="1" applyProtection="1">
      <alignment vertical="center"/>
    </xf>
    <xf numFmtId="180" fontId="21" fillId="14" borderId="51" xfId="0" applyNumberFormat="1" applyFont="1" applyFill="1" applyBorder="1" applyProtection="1">
      <alignment vertical="center"/>
    </xf>
    <xf numFmtId="180" fontId="21" fillId="14" borderId="6" xfId="0" applyNumberFormat="1" applyFont="1" applyFill="1" applyBorder="1" applyProtection="1">
      <alignment vertical="center"/>
    </xf>
    <xf numFmtId="178" fontId="1" fillId="0" borderId="0" xfId="0" applyNumberFormat="1" applyFont="1" applyFill="1" applyProtection="1">
      <alignment vertical="center"/>
    </xf>
    <xf numFmtId="0" fontId="18" fillId="0" borderId="42" xfId="0" applyFont="1" applyBorder="1" applyProtection="1">
      <alignment vertical="center"/>
    </xf>
    <xf numFmtId="0" fontId="18" fillId="0" borderId="43" xfId="0" applyFont="1" applyBorder="1" applyProtection="1">
      <alignment vertical="center"/>
    </xf>
    <xf numFmtId="178" fontId="1" fillId="0" borderId="43" xfId="0" applyNumberFormat="1" applyFont="1" applyBorder="1" applyProtection="1">
      <alignment vertical="center"/>
    </xf>
    <xf numFmtId="0" fontId="18" fillId="0" borderId="105" xfId="0" applyFont="1" applyBorder="1" applyProtection="1">
      <alignment vertical="center"/>
    </xf>
    <xf numFmtId="0" fontId="18" fillId="0" borderId="106" xfId="0" applyFont="1" applyBorder="1" applyProtection="1">
      <alignment vertical="center"/>
    </xf>
    <xf numFmtId="0" fontId="1" fillId="0" borderId="106" xfId="0" applyFont="1" applyBorder="1" applyProtection="1">
      <alignment vertical="center"/>
    </xf>
    <xf numFmtId="178" fontId="1" fillId="0" borderId="106" xfId="0" applyNumberFormat="1" applyFont="1" applyBorder="1" applyProtection="1">
      <alignment vertical="center"/>
    </xf>
    <xf numFmtId="0" fontId="18" fillId="0" borderId="103" xfId="0" applyFont="1" applyBorder="1" applyProtection="1">
      <alignment vertical="center"/>
    </xf>
    <xf numFmtId="0" fontId="18" fillId="0" borderId="104" xfId="0" applyFont="1" applyBorder="1" applyAlignment="1" applyProtection="1">
      <alignment horizontal="center" vertical="center"/>
    </xf>
    <xf numFmtId="0" fontId="18" fillId="0" borderId="104" xfId="0" applyFont="1" applyBorder="1" applyProtection="1">
      <alignment vertical="center"/>
    </xf>
    <xf numFmtId="178" fontId="18" fillId="0" borderId="104" xfId="0" applyNumberFormat="1" applyFont="1" applyBorder="1" applyProtection="1">
      <alignment vertical="center"/>
    </xf>
    <xf numFmtId="0" fontId="18" fillId="0" borderId="0" xfId="0" applyFont="1" applyBorder="1" applyProtection="1">
      <alignment vertical="center"/>
    </xf>
    <xf numFmtId="0" fontId="18" fillId="0" borderId="0" xfId="0" applyFont="1" applyBorder="1" applyAlignment="1" applyProtection="1">
      <alignment horizontal="center" vertical="center"/>
    </xf>
    <xf numFmtId="178" fontId="18" fillId="0" borderId="0" xfId="0" applyNumberFormat="1" applyFont="1" applyBorder="1" applyProtection="1">
      <alignment vertical="center"/>
    </xf>
    <xf numFmtId="0" fontId="8" fillId="8" borderId="3" xfId="0" applyFont="1" applyFill="1" applyBorder="1" applyAlignment="1" applyProtection="1">
      <alignment horizontal="center" vertical="center"/>
    </xf>
    <xf numFmtId="0" fontId="8" fillId="8" borderId="3" xfId="0" applyFont="1" applyFill="1" applyBorder="1" applyAlignment="1" applyProtection="1">
      <alignment horizontal="distributed" vertical="center"/>
    </xf>
    <xf numFmtId="0" fontId="1" fillId="0" borderId="151" xfId="0" applyFont="1" applyBorder="1" applyAlignment="1" applyProtection="1">
      <alignment vertical="center" shrinkToFit="1"/>
    </xf>
    <xf numFmtId="176" fontId="1" fillId="0" borderId="51" xfId="0" applyNumberFormat="1" applyFont="1" applyBorder="1" applyProtection="1">
      <alignment vertical="center"/>
    </xf>
    <xf numFmtId="38" fontId="1" fillId="0" borderId="52" xfId="0" applyNumberFormat="1" applyFont="1" applyBorder="1" applyProtection="1">
      <alignment vertical="center"/>
    </xf>
    <xf numFmtId="0" fontId="1" fillId="0" borderId="31" xfId="0" applyFont="1" applyBorder="1" applyAlignment="1" applyProtection="1">
      <alignment horizontal="right" vertical="center" shrinkToFit="1"/>
    </xf>
    <xf numFmtId="176" fontId="1" fillId="0" borderId="3" xfId="0" applyNumberFormat="1" applyFont="1" applyBorder="1" applyProtection="1">
      <alignment vertical="center"/>
    </xf>
    <xf numFmtId="38" fontId="1" fillId="0" borderId="53" xfId="0" applyNumberFormat="1" applyFont="1" applyBorder="1" applyProtection="1">
      <alignment vertical="center"/>
    </xf>
    <xf numFmtId="38" fontId="1" fillId="0" borderId="0" xfId="0" applyNumberFormat="1" applyFont="1" applyProtection="1">
      <alignment vertical="center"/>
    </xf>
    <xf numFmtId="0" fontId="1" fillId="0" borderId="166" xfId="0" applyFont="1" applyBorder="1" applyAlignment="1" applyProtection="1">
      <alignment horizontal="distributed" vertical="center"/>
    </xf>
    <xf numFmtId="38" fontId="1" fillId="0" borderId="177" xfId="0" applyNumberFormat="1" applyFont="1" applyFill="1" applyBorder="1" applyProtection="1">
      <alignment vertical="center"/>
    </xf>
    <xf numFmtId="38" fontId="1" fillId="0" borderId="56" xfId="0" applyNumberFormat="1" applyFont="1" applyBorder="1" applyProtection="1">
      <alignment vertical="center"/>
    </xf>
    <xf numFmtId="0" fontId="1" fillId="0" borderId="0" xfId="0" applyFont="1" applyBorder="1" applyAlignment="1" applyProtection="1">
      <alignment horizontal="distributed" vertical="center" shrinkToFit="1"/>
    </xf>
    <xf numFmtId="0" fontId="8" fillId="8" borderId="8" xfId="0" applyFont="1" applyFill="1" applyBorder="1" applyAlignment="1" applyProtection="1">
      <alignment horizontal="center" vertical="center"/>
    </xf>
    <xf numFmtId="0" fontId="8" fillId="8" borderId="8" xfId="0" applyFont="1" applyFill="1" applyBorder="1" applyAlignment="1" applyProtection="1">
      <alignment horizontal="distributed" vertical="center"/>
    </xf>
    <xf numFmtId="38" fontId="1" fillId="0" borderId="8" xfId="0" applyNumberFormat="1" applyFont="1" applyBorder="1" applyProtection="1">
      <alignment vertical="center"/>
    </xf>
    <xf numFmtId="38" fontId="1" fillId="0" borderId="170" xfId="0" applyNumberFormat="1" applyFont="1" applyBorder="1" applyProtection="1">
      <alignment vertical="center"/>
    </xf>
    <xf numFmtId="0" fontId="30" fillId="0" borderId="114" xfId="0" applyFont="1" applyFill="1" applyBorder="1" applyAlignment="1" applyProtection="1">
      <alignment horizontal="distributed" vertical="center" shrinkToFit="1"/>
    </xf>
    <xf numFmtId="0" fontId="12" fillId="7" borderId="3" xfId="0" applyFont="1" applyFill="1" applyBorder="1" applyAlignment="1" applyProtection="1">
      <alignment horizontal="distributed" vertical="center"/>
    </xf>
    <xf numFmtId="0" fontId="12" fillId="9" borderId="3" xfId="0" applyFont="1" applyFill="1" applyBorder="1" applyAlignment="1" applyProtection="1">
      <alignment horizontal="distributed" vertical="center"/>
    </xf>
    <xf numFmtId="0" fontId="12" fillId="10" borderId="3" xfId="0" applyFont="1" applyFill="1" applyBorder="1" applyAlignment="1" applyProtection="1">
      <alignment horizontal="distributed" vertical="center"/>
    </xf>
    <xf numFmtId="0" fontId="12" fillId="11" borderId="3" xfId="0" applyFont="1" applyFill="1" applyBorder="1" applyAlignment="1" applyProtection="1">
      <alignment horizontal="distributed" vertical="center"/>
    </xf>
    <xf numFmtId="0" fontId="12" fillId="12" borderId="3" xfId="0" applyFont="1" applyFill="1" applyBorder="1" applyAlignment="1" applyProtection="1">
      <alignment horizontal="distributed" vertical="center"/>
    </xf>
    <xf numFmtId="0" fontId="22" fillId="0" borderId="3" xfId="0" applyFont="1" applyFill="1" applyBorder="1" applyAlignment="1" applyProtection="1">
      <alignment horizontal="distributed" vertical="center"/>
    </xf>
    <xf numFmtId="0" fontId="22" fillId="0" borderId="39" xfId="0" applyFont="1" applyFill="1" applyBorder="1" applyAlignment="1" applyProtection="1">
      <alignment horizontal="distributed" vertical="center"/>
    </xf>
    <xf numFmtId="0" fontId="22" fillId="0" borderId="0" xfId="0" applyFont="1" applyFill="1" applyBorder="1" applyAlignment="1" applyProtection="1">
      <alignment horizontal="distributed" vertical="center"/>
    </xf>
    <xf numFmtId="0" fontId="5" fillId="0" borderId="13" xfId="0" applyFont="1" applyBorder="1" applyAlignment="1" applyProtection="1">
      <alignment vertical="center" shrinkToFit="1"/>
    </xf>
    <xf numFmtId="0" fontId="5" fillId="0" borderId="47" xfId="0" applyFont="1" applyBorder="1" applyAlignment="1" applyProtection="1">
      <alignment vertical="center" shrinkToFit="1"/>
    </xf>
    <xf numFmtId="38" fontId="1" fillId="0" borderId="11" xfId="0" applyNumberFormat="1" applyFont="1" applyFill="1" applyBorder="1" applyAlignment="1" applyProtection="1">
      <alignment horizontal="distributed" vertical="center" shrinkToFit="1"/>
    </xf>
    <xf numFmtId="38" fontId="1" fillId="0" borderId="24" xfId="0" applyNumberFormat="1" applyFont="1" applyFill="1" applyBorder="1" applyAlignment="1" applyProtection="1">
      <alignment horizontal="distributed" vertical="center" shrinkToFit="1"/>
    </xf>
    <xf numFmtId="3" fontId="7" fillId="4" borderId="31" xfId="1" applyNumberFormat="1" applyFont="1" applyFill="1" applyBorder="1" applyAlignment="1">
      <alignment vertical="center" wrapText="1"/>
    </xf>
    <xf numFmtId="3" fontId="7" fillId="4" borderId="3" xfId="1" applyNumberFormat="1" applyFont="1" applyFill="1" applyBorder="1" applyAlignment="1">
      <alignment horizontal="distributed" vertical="center"/>
    </xf>
    <xf numFmtId="183" fontId="7" fillId="4" borderId="3" xfId="1" applyNumberFormat="1" applyFont="1" applyFill="1" applyBorder="1">
      <alignment vertical="center"/>
    </xf>
    <xf numFmtId="177" fontId="7" fillId="4" borderId="3" xfId="1" applyNumberFormat="1" applyFont="1" applyFill="1" applyBorder="1">
      <alignment vertical="center"/>
    </xf>
    <xf numFmtId="3" fontId="7" fillId="4" borderId="3" xfId="0" applyNumberFormat="1" applyFont="1" applyFill="1" applyBorder="1">
      <alignment vertical="center"/>
    </xf>
    <xf numFmtId="3" fontId="7" fillId="4" borderId="53" xfId="0" applyNumberFormat="1" applyFont="1" applyFill="1" applyBorder="1">
      <alignment vertical="center"/>
    </xf>
    <xf numFmtId="3" fontId="7" fillId="4" borderId="152" xfId="1" applyNumberFormat="1" applyFont="1" applyFill="1" applyBorder="1" applyAlignment="1">
      <alignment vertical="center" wrapText="1"/>
    </xf>
    <xf numFmtId="3" fontId="7" fillId="4" borderId="6" xfId="1" applyNumberFormat="1" applyFont="1" applyFill="1" applyBorder="1" applyAlignment="1">
      <alignment horizontal="distributed" vertical="center"/>
    </xf>
    <xf numFmtId="183" fontId="7" fillId="4" borderId="6" xfId="1" applyNumberFormat="1" applyFont="1" applyFill="1" applyBorder="1">
      <alignment vertical="center"/>
    </xf>
    <xf numFmtId="177" fontId="7" fillId="4" borderId="6" xfId="1" applyNumberFormat="1" applyFont="1" applyFill="1" applyBorder="1">
      <alignment vertical="center"/>
    </xf>
    <xf numFmtId="3" fontId="7" fillId="4" borderId="6" xfId="0" applyNumberFormat="1" applyFont="1" applyFill="1" applyBorder="1">
      <alignment vertical="center"/>
    </xf>
    <xf numFmtId="3" fontId="7" fillId="4" borderId="54" xfId="0" applyNumberFormat="1" applyFont="1" applyFill="1" applyBorder="1">
      <alignment vertical="center"/>
    </xf>
    <xf numFmtId="178" fontId="14" fillId="20" borderId="52" xfId="0" applyNumberFormat="1" applyFont="1" applyFill="1" applyBorder="1" applyProtection="1">
      <alignment vertical="center"/>
      <protection locked="0"/>
    </xf>
    <xf numFmtId="178" fontId="14" fillId="20" borderId="54" xfId="0" applyNumberFormat="1" applyFont="1" applyFill="1" applyBorder="1" applyProtection="1">
      <alignment vertical="center"/>
      <protection locked="0"/>
    </xf>
    <xf numFmtId="3" fontId="77" fillId="0" borderId="0" xfId="0" applyNumberFormat="1" applyFont="1" applyAlignment="1">
      <alignment vertical="center"/>
    </xf>
    <xf numFmtId="3" fontId="0" fillId="0" borderId="3" xfId="0" applyNumberFormat="1" applyFill="1" applyBorder="1">
      <alignment vertical="center"/>
    </xf>
    <xf numFmtId="0" fontId="9" fillId="0" borderId="0" xfId="0" applyFont="1" applyBorder="1" applyAlignment="1" applyProtection="1">
      <alignment horizontal="left" vertical="center"/>
    </xf>
    <xf numFmtId="0" fontId="80" fillId="0" borderId="0" xfId="0" applyFont="1" applyAlignment="1">
      <alignment vertical="center" shrinkToFit="1"/>
    </xf>
    <xf numFmtId="0" fontId="80" fillId="4" borderId="3" xfId="0" applyFont="1" applyFill="1" applyBorder="1" applyAlignment="1">
      <alignment horizontal="distributed" vertical="center" shrinkToFit="1"/>
    </xf>
    <xf numFmtId="38" fontId="80" fillId="0" borderId="3" xfId="0" applyNumberFormat="1" applyFont="1" applyBorder="1" applyAlignment="1">
      <alignment vertical="center" shrinkToFit="1"/>
    </xf>
    <xf numFmtId="3" fontId="81" fillId="2" borderId="3" xfId="1" applyNumberFormat="1" applyFont="1" applyFill="1" applyBorder="1" applyAlignment="1">
      <alignment horizontal="distributed" vertical="center" shrinkToFit="1"/>
    </xf>
    <xf numFmtId="38" fontId="80" fillId="0" borderId="3" xfId="0" applyNumberFormat="1" applyFont="1" applyBorder="1" applyAlignment="1">
      <alignment horizontal="right" vertical="center" shrinkToFit="1"/>
    </xf>
    <xf numFmtId="0" fontId="80" fillId="0" borderId="0" xfId="0" applyFont="1">
      <alignment vertical="center"/>
    </xf>
    <xf numFmtId="0" fontId="80" fillId="0" borderId="3" xfId="0" applyFont="1" applyBorder="1" applyAlignment="1">
      <alignment horizontal="center" vertical="center" shrinkToFit="1"/>
    </xf>
    <xf numFmtId="0" fontId="80" fillId="0" borderId="0" xfId="0" applyFont="1" applyAlignment="1">
      <alignment horizontal="center" vertical="center" shrinkToFit="1"/>
    </xf>
    <xf numFmtId="0" fontId="80" fillId="0" borderId="3" xfId="0" applyFont="1" applyBorder="1" applyAlignment="1">
      <alignment horizontal="distributed" vertical="center" wrapText="1"/>
    </xf>
    <xf numFmtId="3" fontId="80" fillId="0" borderId="3" xfId="0" applyNumberFormat="1" applyFont="1" applyBorder="1">
      <alignment vertical="center"/>
    </xf>
    <xf numFmtId="3" fontId="80" fillId="2" borderId="3" xfId="0" applyNumberFormat="1" applyFont="1" applyFill="1" applyBorder="1">
      <alignment vertical="center"/>
    </xf>
    <xf numFmtId="38" fontId="80" fillId="0" borderId="3" xfId="0" applyNumberFormat="1" applyFont="1" applyBorder="1" applyAlignment="1">
      <alignment horizontal="right" vertical="center"/>
    </xf>
    <xf numFmtId="0" fontId="80" fillId="0" borderId="0" xfId="0" applyFont="1" applyAlignment="1">
      <alignment horizontal="center" vertical="center"/>
    </xf>
    <xf numFmtId="38" fontId="80" fillId="0" borderId="3" xfId="0" applyNumberFormat="1" applyFont="1" applyBorder="1">
      <alignment vertical="center"/>
    </xf>
    <xf numFmtId="0" fontId="80" fillId="0" borderId="3" xfId="0" applyFont="1" applyBorder="1">
      <alignment vertical="center"/>
    </xf>
    <xf numFmtId="3" fontId="80" fillId="0" borderId="0" xfId="0" applyNumberFormat="1" applyFont="1">
      <alignment vertical="center"/>
    </xf>
    <xf numFmtId="0" fontId="83" fillId="7" borderId="3" xfId="0" applyFont="1" applyFill="1" applyBorder="1" applyAlignment="1">
      <alignment horizontal="center" vertical="center" shrinkToFit="1"/>
    </xf>
    <xf numFmtId="0" fontId="83" fillId="9" borderId="3" xfId="0" applyFont="1" applyFill="1" applyBorder="1" applyAlignment="1">
      <alignment horizontal="center" vertical="center"/>
    </xf>
    <xf numFmtId="0" fontId="84" fillId="0" borderId="3" xfId="0" applyFont="1" applyBorder="1" applyAlignment="1">
      <alignment horizontal="center" vertical="center"/>
    </xf>
    <xf numFmtId="0" fontId="80" fillId="0" borderId="0" xfId="0" applyFont="1" applyAlignment="1">
      <alignment horizontal="center" vertical="center" textRotation="255" shrinkToFit="1"/>
    </xf>
    <xf numFmtId="0" fontId="80" fillId="0" borderId="0" xfId="0" applyFont="1" applyAlignment="1">
      <alignment horizontal="center" vertical="center" textRotation="255"/>
    </xf>
    <xf numFmtId="0" fontId="80" fillId="0" borderId="0" xfId="0" applyFont="1" applyAlignment="1">
      <alignment horizontal="distributed" vertical="center" wrapText="1"/>
    </xf>
    <xf numFmtId="0" fontId="80" fillId="0" borderId="0" xfId="0" applyFont="1" applyAlignment="1">
      <alignment horizontal="center" vertical="center" shrinkToFit="1"/>
    </xf>
    <xf numFmtId="0" fontId="80" fillId="0" borderId="31" xfId="0" applyFont="1" applyBorder="1" applyAlignment="1">
      <alignment horizontal="center" vertical="center"/>
    </xf>
    <xf numFmtId="0" fontId="80" fillId="0" borderId="152" xfId="0" applyFont="1" applyBorder="1" applyAlignment="1">
      <alignment horizontal="center" vertical="center"/>
    </xf>
    <xf numFmtId="0" fontId="80" fillId="0" borderId="6" xfId="0" applyFont="1" applyBorder="1">
      <alignment vertical="center"/>
    </xf>
    <xf numFmtId="0" fontId="80" fillId="0" borderId="4" xfId="0" applyFont="1" applyBorder="1" applyAlignment="1">
      <alignment horizontal="center" vertical="center"/>
    </xf>
    <xf numFmtId="3" fontId="81" fillId="2" borderId="51" xfId="1" applyNumberFormat="1" applyFont="1" applyFill="1" applyBorder="1" applyAlignment="1">
      <alignment horizontal="center" vertical="center" shrinkToFit="1"/>
    </xf>
    <xf numFmtId="0" fontId="81" fillId="2" borderId="51" xfId="1" applyFont="1" applyFill="1" applyBorder="1" applyAlignment="1">
      <alignment horizontal="center" vertical="center" shrinkToFit="1"/>
    </xf>
    <xf numFmtId="3" fontId="81" fillId="2" borderId="52" xfId="1" applyNumberFormat="1" applyFont="1" applyFill="1" applyBorder="1" applyAlignment="1">
      <alignment horizontal="center" vertical="center" shrinkToFit="1"/>
    </xf>
    <xf numFmtId="0" fontId="80" fillId="2" borderId="31" xfId="0" applyFont="1" applyFill="1" applyBorder="1" applyAlignment="1">
      <alignment horizontal="center" vertical="center" shrinkToFit="1"/>
    </xf>
    <xf numFmtId="38" fontId="80" fillId="0" borderId="53" xfId="0" applyNumberFormat="1" applyFont="1" applyBorder="1" applyAlignment="1">
      <alignment horizontal="right" vertical="center" shrinkToFit="1"/>
    </xf>
    <xf numFmtId="0" fontId="80" fillId="2" borderId="152" xfId="0" applyFont="1" applyFill="1" applyBorder="1" applyAlignment="1">
      <alignment horizontal="center" vertical="center" shrinkToFit="1"/>
    </xf>
    <xf numFmtId="3" fontId="81" fillId="2" borderId="6" xfId="1" applyNumberFormat="1" applyFont="1" applyFill="1" applyBorder="1" applyAlignment="1">
      <alignment horizontal="distributed" vertical="center" shrinkToFit="1"/>
    </xf>
    <xf numFmtId="38" fontId="80" fillId="0" borderId="6" xfId="0" applyNumberFormat="1" applyFont="1" applyBorder="1" applyAlignment="1">
      <alignment horizontal="right" vertical="center" shrinkToFit="1"/>
    </xf>
    <xf numFmtId="38" fontId="80" fillId="0" borderId="54" xfId="0" applyNumberFormat="1" applyFont="1" applyBorder="1" applyAlignment="1">
      <alignment horizontal="right" vertical="center" shrinkToFit="1"/>
    </xf>
    <xf numFmtId="3" fontId="81" fillId="2" borderId="151" xfId="1" applyNumberFormat="1" applyFont="1" applyFill="1" applyBorder="1" applyAlignment="1">
      <alignment horizontal="center" vertical="center" shrinkToFit="1"/>
    </xf>
    <xf numFmtId="0" fontId="80" fillId="0" borderId="0" xfId="0" applyFont="1" applyAlignment="1">
      <alignment horizontal="left" vertical="center"/>
    </xf>
    <xf numFmtId="0" fontId="80" fillId="0" borderId="51" xfId="0" applyFont="1" applyBorder="1" applyAlignment="1">
      <alignment horizontal="center" vertical="center" shrinkToFit="1"/>
    </xf>
    <xf numFmtId="0" fontId="5" fillId="2" borderId="3" xfId="0" applyFont="1" applyFill="1" applyBorder="1" applyAlignment="1" applyProtection="1">
      <alignment horizontal="distributed" vertical="center" shrinkToFit="1"/>
    </xf>
    <xf numFmtId="0" fontId="7" fillId="2" borderId="3" xfId="0" applyFont="1" applyFill="1" applyBorder="1" applyAlignment="1" applyProtection="1">
      <alignment horizontal="distributed" vertical="center" shrinkToFit="1"/>
    </xf>
    <xf numFmtId="0" fontId="80" fillId="0" borderId="0" xfId="0" applyFont="1" applyBorder="1" applyAlignment="1">
      <alignment horizontal="distributed" vertical="center" shrinkToFit="1"/>
    </xf>
    <xf numFmtId="0" fontId="80" fillId="0" borderId="0" xfId="0" applyFont="1" applyBorder="1">
      <alignment vertical="center"/>
    </xf>
    <xf numFmtId="0" fontId="83" fillId="10" borderId="3" xfId="0" applyFont="1" applyFill="1" applyBorder="1" applyAlignment="1">
      <alignment horizontal="center" vertical="center"/>
    </xf>
    <xf numFmtId="0" fontId="83" fillId="7" borderId="51" xfId="0" applyFont="1" applyFill="1" applyBorder="1" applyAlignment="1">
      <alignment horizontal="center" vertical="center" shrinkToFit="1"/>
    </xf>
    <xf numFmtId="0" fontId="83" fillId="10" borderId="51" xfId="0" applyFont="1" applyFill="1" applyBorder="1" applyAlignment="1">
      <alignment horizontal="center" vertical="center"/>
    </xf>
    <xf numFmtId="0" fontId="83" fillId="9" borderId="52" xfId="0" applyFont="1" applyFill="1" applyBorder="1" applyAlignment="1">
      <alignment horizontal="center" vertical="center"/>
    </xf>
    <xf numFmtId="3" fontId="80" fillId="0" borderId="53" xfId="0" applyNumberFormat="1" applyFont="1" applyBorder="1">
      <alignment vertical="center"/>
    </xf>
    <xf numFmtId="38" fontId="80" fillId="0" borderId="0" xfId="0" applyNumberFormat="1" applyFont="1" applyBorder="1">
      <alignment vertical="center"/>
    </xf>
    <xf numFmtId="0" fontId="80" fillId="0" borderId="8" xfId="0" applyFont="1" applyBorder="1" applyAlignment="1">
      <alignment horizontal="distributed" vertical="center" wrapText="1"/>
    </xf>
    <xf numFmtId="3" fontId="80" fillId="0" borderId="8" xfId="0" applyNumberFormat="1" applyFont="1" applyBorder="1">
      <alignment vertical="center"/>
    </xf>
    <xf numFmtId="3" fontId="80" fillId="0" borderId="177" xfId="0" applyNumberFormat="1" applyFont="1" applyBorder="1">
      <alignment vertical="center"/>
    </xf>
    <xf numFmtId="0" fontId="80" fillId="0" borderId="211" xfId="0" applyFont="1" applyBorder="1" applyAlignment="1">
      <alignment horizontal="distributed" vertical="center" wrapText="1"/>
    </xf>
    <xf numFmtId="3" fontId="80" fillId="0" borderId="211" xfId="0" applyNumberFormat="1" applyFont="1" applyBorder="1">
      <alignment vertical="center"/>
    </xf>
    <xf numFmtId="3" fontId="80" fillId="0" borderId="210" xfId="0" applyNumberFormat="1" applyFont="1" applyBorder="1">
      <alignment vertical="center"/>
    </xf>
    <xf numFmtId="3" fontId="80" fillId="0" borderId="212" xfId="0" applyNumberFormat="1" applyFont="1" applyFill="1" applyBorder="1">
      <alignment vertical="center"/>
    </xf>
    <xf numFmtId="0" fontId="85" fillId="7" borderId="3" xfId="0" applyFont="1" applyFill="1" applyBorder="1" applyAlignment="1">
      <alignment horizontal="center" vertical="center" shrinkToFit="1"/>
    </xf>
    <xf numFmtId="0" fontId="84" fillId="0" borderId="0" xfId="0" applyFont="1">
      <alignment vertical="center"/>
    </xf>
    <xf numFmtId="0" fontId="7" fillId="2" borderId="3" xfId="0" applyFont="1" applyFill="1" applyBorder="1" applyAlignment="1" applyProtection="1">
      <alignment horizontal="distributed" vertical="center" shrinkToFit="1"/>
    </xf>
    <xf numFmtId="0" fontId="5" fillId="2" borderId="1" xfId="0" applyFont="1" applyFill="1" applyBorder="1" applyAlignment="1" applyProtection="1">
      <alignment horizontal="distributed" vertical="center" shrinkToFit="1"/>
    </xf>
    <xf numFmtId="0" fontId="5" fillId="2" borderId="2" xfId="0" applyFont="1" applyFill="1" applyBorder="1" applyAlignment="1" applyProtection="1">
      <alignment horizontal="distributed" vertical="center" shrinkToFit="1"/>
    </xf>
    <xf numFmtId="0" fontId="5" fillId="2" borderId="3" xfId="0" applyFont="1" applyFill="1" applyBorder="1" applyAlignment="1" applyProtection="1">
      <alignment horizontal="distributed" vertical="center" shrinkToFit="1"/>
    </xf>
    <xf numFmtId="38" fontId="80" fillId="0" borderId="0" xfId="0" applyNumberFormat="1" applyFont="1">
      <alignment vertical="center"/>
    </xf>
    <xf numFmtId="38" fontId="80" fillId="0" borderId="3" xfId="0" applyNumberFormat="1" applyFont="1" applyBorder="1" applyAlignment="1">
      <alignment vertical="center"/>
    </xf>
    <xf numFmtId="0" fontId="80" fillId="0" borderId="3" xfId="0" applyFont="1" applyBorder="1" applyAlignment="1">
      <alignment horizontal="center" vertical="center" shrinkToFit="1"/>
    </xf>
    <xf numFmtId="0" fontId="80" fillId="0" borderId="3" xfId="0" applyFont="1" applyBorder="1" applyAlignment="1">
      <alignment horizontal="center" vertical="center"/>
    </xf>
    <xf numFmtId="0" fontId="80" fillId="0" borderId="205" xfId="0" applyFont="1" applyBorder="1" applyAlignment="1">
      <alignment horizontal="center" vertical="center"/>
    </xf>
    <xf numFmtId="0" fontId="80" fillId="0" borderId="206" xfId="0" applyFont="1" applyBorder="1" applyAlignment="1">
      <alignment horizontal="center" vertical="center"/>
    </xf>
    <xf numFmtId="0" fontId="80" fillId="0" borderId="3" xfId="0" applyFont="1" applyBorder="1" applyAlignment="1">
      <alignment horizontal="distributed" vertical="center"/>
    </xf>
    <xf numFmtId="0" fontId="80" fillId="0" borderId="52" xfId="0" applyFont="1" applyBorder="1">
      <alignment vertical="center"/>
    </xf>
    <xf numFmtId="0" fontId="80" fillId="0" borderId="53" xfId="0" applyFont="1" applyBorder="1">
      <alignment vertical="center"/>
    </xf>
    <xf numFmtId="0" fontId="80" fillId="0" borderId="54" xfId="0" applyFont="1" applyBorder="1">
      <alignment vertical="center"/>
    </xf>
    <xf numFmtId="0" fontId="86" fillId="9" borderId="3" xfId="0" applyFont="1" applyFill="1" applyBorder="1" applyAlignment="1">
      <alignment horizontal="center" vertical="center"/>
    </xf>
    <xf numFmtId="0" fontId="82" fillId="7" borderId="3" xfId="0" applyFont="1" applyFill="1" applyBorder="1" applyAlignment="1">
      <alignment horizontal="center" vertical="center"/>
    </xf>
    <xf numFmtId="0" fontId="85" fillId="16" borderId="3" xfId="0" applyFont="1" applyFill="1" applyBorder="1" applyAlignment="1">
      <alignment horizontal="center" vertical="center"/>
    </xf>
    <xf numFmtId="0" fontId="5" fillId="0" borderId="1" xfId="0" applyFont="1" applyFill="1" applyBorder="1" applyAlignment="1" applyProtection="1">
      <alignment horizontal="distributed" vertical="center" shrinkToFit="1"/>
    </xf>
    <xf numFmtId="0" fontId="82" fillId="7" borderId="1" xfId="0" applyFont="1" applyFill="1" applyBorder="1" applyAlignment="1">
      <alignment horizontal="center" vertical="center"/>
    </xf>
    <xf numFmtId="0" fontId="30" fillId="0" borderId="213" xfId="0" applyFont="1" applyFill="1" applyBorder="1" applyAlignment="1" applyProtection="1">
      <alignment horizontal="distributed" vertical="center" shrinkToFit="1"/>
    </xf>
    <xf numFmtId="0" fontId="86" fillId="9" borderId="1" xfId="0" applyFont="1" applyFill="1" applyBorder="1" applyAlignment="1">
      <alignment horizontal="center" vertical="center"/>
    </xf>
    <xf numFmtId="0" fontId="7" fillId="0" borderId="213" xfId="0" applyFont="1" applyFill="1" applyBorder="1" applyAlignment="1" applyProtection="1">
      <alignment horizontal="distributed" vertical="center" shrinkToFit="1"/>
    </xf>
    <xf numFmtId="0" fontId="85" fillId="16" borderId="1" xfId="0" applyFont="1" applyFill="1" applyBorder="1" applyAlignment="1">
      <alignment horizontal="center" vertical="center"/>
    </xf>
    <xf numFmtId="0" fontId="83" fillId="7" borderId="1" xfId="0" applyFont="1" applyFill="1" applyBorder="1" applyAlignment="1">
      <alignment horizontal="center" vertical="center"/>
    </xf>
    <xf numFmtId="0" fontId="83" fillId="9" borderId="1" xfId="0" applyFont="1" applyFill="1" applyBorder="1" applyAlignment="1">
      <alignment horizontal="center" vertical="center"/>
    </xf>
    <xf numFmtId="38" fontId="80" fillId="0" borderId="114" xfId="0" applyNumberFormat="1" applyFont="1" applyBorder="1">
      <alignment vertical="center"/>
    </xf>
    <xf numFmtId="38" fontId="80" fillId="0" borderId="0" xfId="0" applyNumberFormat="1" applyFont="1" applyFill="1" applyBorder="1">
      <alignment vertical="center"/>
    </xf>
    <xf numFmtId="0" fontId="5" fillId="0" borderId="0" xfId="0" applyFont="1" applyFill="1" applyBorder="1" applyAlignment="1" applyProtection="1">
      <alignment horizontal="center" vertical="center" shrinkToFit="1"/>
    </xf>
    <xf numFmtId="0" fontId="80" fillId="0" borderId="0" xfId="0" applyFont="1" applyAlignment="1">
      <alignment vertical="center" textRotation="255"/>
    </xf>
    <xf numFmtId="38" fontId="80" fillId="0" borderId="30" xfId="0" applyNumberFormat="1" applyFont="1" applyBorder="1">
      <alignment vertical="center"/>
    </xf>
    <xf numFmtId="38" fontId="80" fillId="0" borderId="9" xfId="0" applyNumberFormat="1" applyFont="1" applyBorder="1">
      <alignment vertical="center"/>
    </xf>
    <xf numFmtId="38" fontId="80" fillId="0" borderId="215" xfId="0" applyNumberFormat="1" applyFont="1" applyBorder="1">
      <alignment vertical="center"/>
    </xf>
    <xf numFmtId="38" fontId="80" fillId="0" borderId="214" xfId="0" applyNumberFormat="1" applyFont="1" applyBorder="1">
      <alignment vertical="center"/>
    </xf>
    <xf numFmtId="0" fontId="5" fillId="0" borderId="183" xfId="0" applyFont="1" applyFill="1" applyBorder="1" applyAlignment="1" applyProtection="1">
      <alignment horizontal="distributed" vertical="center" shrinkToFit="1"/>
    </xf>
    <xf numFmtId="38" fontId="80" fillId="0" borderId="51" xfId="0" applyNumberFormat="1" applyFont="1" applyBorder="1">
      <alignment vertical="center"/>
    </xf>
    <xf numFmtId="0" fontId="7" fillId="2" borderId="6" xfId="0" applyFont="1" applyFill="1" applyBorder="1" applyAlignment="1" applyProtection="1">
      <alignment horizontal="distributed" vertical="center" shrinkToFit="1"/>
    </xf>
    <xf numFmtId="0" fontId="7" fillId="0" borderId="216" xfId="0" applyFont="1" applyFill="1" applyBorder="1" applyAlignment="1" applyProtection="1">
      <alignment horizontal="distributed" vertical="center" shrinkToFit="1"/>
    </xf>
    <xf numFmtId="38" fontId="80" fillId="0" borderId="6" xfId="0" applyNumberFormat="1" applyFont="1" applyBorder="1">
      <alignment vertical="center"/>
    </xf>
    <xf numFmtId="38" fontId="80" fillId="0" borderId="183" xfId="0" applyNumberFormat="1" applyFont="1" applyBorder="1">
      <alignment vertical="center"/>
    </xf>
    <xf numFmtId="38" fontId="80" fillId="0" borderId="1" xfId="0" applyNumberFormat="1" applyFont="1" applyBorder="1">
      <alignment vertical="center"/>
    </xf>
    <xf numFmtId="38" fontId="80" fillId="0" borderId="182" xfId="0" applyNumberFormat="1" applyFont="1" applyBorder="1">
      <alignment vertical="center"/>
    </xf>
    <xf numFmtId="38" fontId="80" fillId="0" borderId="184" xfId="0" applyNumberFormat="1" applyFont="1" applyBorder="1">
      <alignment vertical="center"/>
    </xf>
    <xf numFmtId="38" fontId="80" fillId="0" borderId="207" xfId="0" applyNumberFormat="1" applyFont="1" applyBorder="1">
      <alignment vertical="center"/>
    </xf>
    <xf numFmtId="38" fontId="80" fillId="0" borderId="185" xfId="0" applyNumberFormat="1" applyFont="1" applyBorder="1">
      <alignment vertical="center"/>
    </xf>
    <xf numFmtId="0" fontId="7" fillId="2" borderId="8" xfId="0" applyFont="1" applyFill="1" applyBorder="1" applyAlignment="1" applyProtection="1">
      <alignment horizontal="distributed" vertical="center" shrinkToFit="1"/>
    </xf>
    <xf numFmtId="0" fontId="7" fillId="0" borderId="217" xfId="0" applyFont="1" applyFill="1" applyBorder="1" applyAlignment="1" applyProtection="1">
      <alignment horizontal="distributed" vertical="center" shrinkToFit="1"/>
    </xf>
    <xf numFmtId="38" fontId="80" fillId="0" borderId="8" xfId="0" applyNumberFormat="1" applyFont="1" applyBorder="1">
      <alignment vertical="center"/>
    </xf>
    <xf numFmtId="38" fontId="80" fillId="0" borderId="11" xfId="0" applyNumberFormat="1" applyFont="1" applyBorder="1">
      <alignment vertical="center"/>
    </xf>
    <xf numFmtId="38" fontId="80" fillId="0" borderId="218" xfId="0" applyNumberFormat="1" applyFont="1" applyBorder="1">
      <alignment vertical="center"/>
    </xf>
    <xf numFmtId="0" fontId="7" fillId="2" borderId="51" xfId="0" applyFont="1" applyFill="1" applyBorder="1" applyAlignment="1" applyProtection="1">
      <alignment horizontal="distributed" vertical="center" shrinkToFit="1"/>
    </xf>
    <xf numFmtId="0" fontId="7" fillId="0" borderId="219" xfId="0" applyFont="1" applyFill="1" applyBorder="1" applyAlignment="1" applyProtection="1">
      <alignment horizontal="distributed" vertical="center" shrinkToFit="1"/>
    </xf>
    <xf numFmtId="0" fontId="83" fillId="10" borderId="182" xfId="0" applyFont="1" applyFill="1" applyBorder="1" applyAlignment="1">
      <alignment horizontal="center" vertical="center"/>
    </xf>
    <xf numFmtId="0" fontId="80" fillId="0" borderId="0" xfId="0" applyFont="1" applyFill="1" applyBorder="1" applyAlignment="1">
      <alignment vertical="center" textRotation="255"/>
    </xf>
    <xf numFmtId="0" fontId="83" fillId="0" borderId="0" xfId="0" applyFont="1" applyFill="1" applyBorder="1" applyAlignment="1">
      <alignment horizontal="center" vertical="center"/>
    </xf>
    <xf numFmtId="38" fontId="80" fillId="16" borderId="3" xfId="0" applyNumberFormat="1" applyFont="1" applyFill="1" applyBorder="1">
      <alignment vertical="center"/>
    </xf>
    <xf numFmtId="193" fontId="80" fillId="0" borderId="176" xfId="0" applyNumberFormat="1" applyFont="1" applyBorder="1" applyAlignment="1">
      <alignment vertical="center" shrinkToFit="1"/>
    </xf>
    <xf numFmtId="193" fontId="80" fillId="0" borderId="176" xfId="0" applyNumberFormat="1" applyFont="1" applyBorder="1">
      <alignment vertical="center"/>
    </xf>
    <xf numFmtId="38" fontId="80" fillId="0" borderId="3" xfId="0" applyNumberFormat="1" applyFont="1" applyBorder="1" applyAlignment="1">
      <alignment horizontal="center" vertical="center"/>
    </xf>
    <xf numFmtId="193" fontId="80" fillId="0" borderId="0" xfId="0" applyNumberFormat="1" applyFont="1" applyBorder="1">
      <alignment vertical="center"/>
    </xf>
    <xf numFmtId="38" fontId="80" fillId="23" borderId="3" xfId="0" applyNumberFormat="1" applyFont="1" applyFill="1" applyBorder="1">
      <alignment vertical="center"/>
    </xf>
    <xf numFmtId="38" fontId="80" fillId="23" borderId="3" xfId="0" applyNumberFormat="1" applyFont="1" applyFill="1" applyBorder="1" applyAlignment="1">
      <alignment horizontal="center" vertical="center" shrinkToFit="1"/>
    </xf>
    <xf numFmtId="38" fontId="80" fillId="16" borderId="3" xfId="0" applyNumberFormat="1" applyFont="1" applyFill="1" applyBorder="1" applyAlignment="1">
      <alignment horizontal="right" vertical="center" shrinkToFit="1"/>
    </xf>
    <xf numFmtId="0" fontId="80" fillId="0" borderId="51" xfId="0" applyFont="1" applyBorder="1">
      <alignment vertical="center"/>
    </xf>
    <xf numFmtId="0" fontId="5" fillId="0" borderId="46" xfId="0" applyFont="1" applyBorder="1" applyAlignment="1" applyProtection="1">
      <alignment vertical="center" shrinkToFit="1"/>
    </xf>
    <xf numFmtId="0" fontId="80" fillId="0" borderId="50" xfId="0" applyFont="1" applyBorder="1" applyAlignment="1">
      <alignment vertical="center" shrinkToFit="1"/>
    </xf>
    <xf numFmtId="0" fontId="80" fillId="0" borderId="61" xfId="0" applyFont="1" applyBorder="1" applyAlignment="1">
      <alignment vertical="center" shrinkToFit="1"/>
    </xf>
    <xf numFmtId="193" fontId="80" fillId="0" borderId="0" xfId="0" applyNumberFormat="1" applyFont="1" applyBorder="1" applyAlignment="1">
      <alignment vertical="center" shrinkToFit="1"/>
    </xf>
    <xf numFmtId="0" fontId="80" fillId="0" borderId="0" xfId="0" applyFont="1" applyBorder="1" applyAlignment="1">
      <alignment horizontal="center" vertical="center" shrinkToFit="1"/>
    </xf>
    <xf numFmtId="0" fontId="1" fillId="0" borderId="110" xfId="0" applyFont="1" applyBorder="1" applyAlignment="1" applyProtection="1">
      <alignment horizontal="center" vertical="center" shrinkToFit="1"/>
    </xf>
    <xf numFmtId="0" fontId="1" fillId="0" borderId="115" xfId="0" applyFont="1" applyBorder="1" applyAlignment="1" applyProtection="1">
      <alignment horizontal="center" vertical="center" shrinkToFit="1"/>
    </xf>
    <xf numFmtId="0" fontId="80" fillId="0" borderId="8" xfId="0" applyFont="1" applyBorder="1">
      <alignment vertical="center"/>
    </xf>
    <xf numFmtId="0" fontId="1" fillId="0" borderId="211" xfId="0" applyFont="1" applyBorder="1" applyAlignment="1" applyProtection="1">
      <alignment horizontal="right" vertical="center" shrinkToFit="1"/>
    </xf>
    <xf numFmtId="0" fontId="80" fillId="0" borderId="211" xfId="0" applyFont="1" applyBorder="1" applyAlignment="1">
      <alignment vertical="center" shrinkToFit="1"/>
    </xf>
    <xf numFmtId="0" fontId="80" fillId="0" borderId="183" xfId="0" applyFont="1" applyBorder="1">
      <alignment vertical="center"/>
    </xf>
    <xf numFmtId="0" fontId="80" fillId="0" borderId="11" xfId="0" applyFont="1" applyBorder="1">
      <alignment vertical="center"/>
    </xf>
    <xf numFmtId="0" fontId="80" fillId="0" borderId="225" xfId="0" applyFont="1" applyBorder="1" applyAlignment="1">
      <alignment vertical="center" shrinkToFit="1"/>
    </xf>
    <xf numFmtId="0" fontId="80" fillId="0" borderId="184" xfId="0" applyFont="1" applyBorder="1" applyAlignment="1">
      <alignment vertical="center" shrinkToFit="1"/>
    </xf>
    <xf numFmtId="0" fontId="80" fillId="0" borderId="218" xfId="0" applyFont="1" applyBorder="1" applyAlignment="1">
      <alignment vertical="center" shrinkToFit="1"/>
    </xf>
    <xf numFmtId="0" fontId="80" fillId="0" borderId="226" xfId="0" applyFont="1" applyBorder="1" applyAlignment="1">
      <alignment vertical="center" shrinkToFit="1"/>
    </xf>
    <xf numFmtId="3" fontId="87" fillId="0" borderId="3" xfId="0" applyNumberFormat="1" applyFont="1" applyBorder="1" applyAlignment="1">
      <alignment vertical="center" shrinkToFit="1"/>
    </xf>
    <xf numFmtId="0" fontId="5" fillId="0" borderId="0" xfId="0" applyFont="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38" fontId="5" fillId="0" borderId="3" xfId="0" applyNumberFormat="1" applyFont="1" applyBorder="1" applyAlignment="1">
      <alignment horizontal="left" vertical="center"/>
    </xf>
    <xf numFmtId="38" fontId="5" fillId="0" borderId="0" xfId="0" applyNumberFormat="1" applyFont="1" applyAlignment="1">
      <alignment horizontal="center" vertical="center"/>
    </xf>
    <xf numFmtId="38" fontId="5" fillId="0" borderId="3" xfId="0" applyNumberFormat="1" applyFont="1" applyBorder="1" applyAlignment="1">
      <alignment horizontal="right" vertical="center"/>
    </xf>
    <xf numFmtId="0" fontId="5" fillId="0" borderId="0" xfId="0" applyFont="1" applyAlignment="1">
      <alignment horizontal="center" vertical="center" shrinkToFit="1"/>
    </xf>
    <xf numFmtId="38" fontId="5" fillId="0" borderId="3" xfId="0" applyNumberFormat="1" applyFont="1" applyBorder="1" applyAlignment="1">
      <alignment horizontal="center" vertical="center"/>
    </xf>
    <xf numFmtId="38" fontId="5" fillId="16" borderId="3" xfId="0" applyNumberFormat="1" applyFont="1" applyFill="1" applyBorder="1" applyAlignment="1">
      <alignment horizontal="left" vertical="center"/>
    </xf>
    <xf numFmtId="38" fontId="5" fillId="16" borderId="3" xfId="0" applyNumberFormat="1" applyFont="1" applyFill="1" applyBorder="1" applyAlignment="1">
      <alignment horizontal="right" vertical="center"/>
    </xf>
    <xf numFmtId="38" fontId="7" fillId="16" borderId="3" xfId="0" applyNumberFormat="1" applyFont="1" applyFill="1" applyBorder="1" applyAlignment="1">
      <alignment horizontal="right" vertical="center"/>
    </xf>
    <xf numFmtId="0" fontId="5" fillId="0" borderId="0" xfId="0" applyFont="1" applyAlignment="1">
      <alignment horizontal="right" vertical="center" shrinkToFit="1"/>
    </xf>
    <xf numFmtId="38" fontId="7" fillId="0" borderId="0" xfId="0" applyNumberFormat="1" applyFont="1" applyAlignment="1">
      <alignment horizontal="center" vertical="center"/>
    </xf>
    <xf numFmtId="38" fontId="5" fillId="0" borderId="0" xfId="0" applyNumberFormat="1" applyFont="1">
      <alignment vertical="center"/>
    </xf>
    <xf numFmtId="0" fontId="7" fillId="0" borderId="228" xfId="0" applyFont="1" applyBorder="1" applyAlignment="1">
      <alignment horizontal="center" vertical="center"/>
    </xf>
    <xf numFmtId="0" fontId="23" fillId="0" borderId="0" xfId="0" applyFont="1" applyAlignment="1">
      <alignment horizontal="center" vertical="center"/>
    </xf>
    <xf numFmtId="38" fontId="7" fillId="0" borderId="228" xfId="0" applyNumberFormat="1" applyFont="1" applyBorder="1" applyAlignment="1">
      <alignment horizontal="center" vertical="center"/>
    </xf>
    <xf numFmtId="38" fontId="23" fillId="0" borderId="0" xfId="0" applyNumberFormat="1" applyFont="1" applyAlignment="1">
      <alignment horizontal="center" vertical="center"/>
    </xf>
    <xf numFmtId="0" fontId="7" fillId="0" borderId="0" xfId="0" applyFont="1" applyAlignment="1">
      <alignment horizontal="center" vertical="center" shrinkToFit="1"/>
    </xf>
    <xf numFmtId="38" fontId="5" fillId="0" borderId="3" xfId="0" applyNumberFormat="1" applyFont="1" applyBorder="1" applyAlignment="1">
      <alignment horizontal="center" vertical="center" shrinkToFit="1"/>
    </xf>
    <xf numFmtId="0" fontId="5" fillId="0" borderId="38" xfId="0" applyFont="1" applyBorder="1" applyAlignment="1">
      <alignment horizontal="center" vertical="center" shrinkToFit="1"/>
    </xf>
    <xf numFmtId="38" fontId="5" fillId="0" borderId="0" xfId="0" applyNumberFormat="1" applyFont="1" applyAlignment="1">
      <alignment horizontal="center" vertical="center" shrinkToFit="1"/>
    </xf>
    <xf numFmtId="194" fontId="28" fillId="0" borderId="3" xfId="0" applyNumberFormat="1" applyFont="1" applyBorder="1" applyAlignment="1">
      <alignment horizontal="center" vertical="center"/>
    </xf>
    <xf numFmtId="0" fontId="1" fillId="0" borderId="148" xfId="0" applyFont="1" applyBorder="1" applyAlignment="1" applyProtection="1">
      <alignment vertical="center" shrinkToFit="1"/>
    </xf>
    <xf numFmtId="0" fontId="1" fillId="0" borderId="220" xfId="0" applyFont="1" applyBorder="1" applyAlignment="1" applyProtection="1">
      <alignment vertical="center" shrinkToFit="1"/>
    </xf>
    <xf numFmtId="0" fontId="1" fillId="0" borderId="172" xfId="0" applyFont="1" applyBorder="1" applyAlignment="1" applyProtection="1">
      <alignment vertical="center" shrinkToFit="1"/>
    </xf>
    <xf numFmtId="0" fontId="80" fillId="0" borderId="204" xfId="0" applyFont="1" applyBorder="1" applyAlignment="1">
      <alignment horizontal="center" vertical="center" shrinkToFit="1"/>
    </xf>
    <xf numFmtId="0" fontId="80" fillId="0" borderId="205" xfId="0" applyFont="1" applyBorder="1" applyAlignment="1">
      <alignment horizontal="center" vertical="center"/>
    </xf>
    <xf numFmtId="0" fontId="5" fillId="0" borderId="1" xfId="0" applyFont="1" applyBorder="1" applyAlignment="1">
      <alignment horizontal="center" vertical="center"/>
    </xf>
    <xf numFmtId="38" fontId="5" fillId="0" borderId="1" xfId="0" applyNumberFormat="1" applyFont="1" applyBorder="1" applyAlignment="1">
      <alignment horizontal="center" vertical="center"/>
    </xf>
    <xf numFmtId="38" fontId="5" fillId="0" borderId="1" xfId="0" applyNumberFormat="1" applyFont="1" applyBorder="1" applyAlignment="1">
      <alignment horizontal="center" vertical="center" shrinkToFit="1"/>
    </xf>
    <xf numFmtId="0" fontId="5" fillId="0" borderId="178" xfId="0" applyFont="1" applyBorder="1" applyAlignment="1">
      <alignment horizontal="center" vertical="center"/>
    </xf>
    <xf numFmtId="38" fontId="5" fillId="0" borderId="178" xfId="0" applyNumberFormat="1" applyFont="1" applyBorder="1" applyAlignment="1">
      <alignment horizontal="center" vertical="center" shrinkToFit="1"/>
    </xf>
    <xf numFmtId="0" fontId="80" fillId="24" borderId="3" xfId="0" applyFont="1" applyFill="1" applyBorder="1">
      <alignment vertical="center"/>
    </xf>
    <xf numFmtId="0" fontId="83" fillId="9" borderId="3" xfId="0" applyFont="1" applyFill="1" applyBorder="1" applyAlignment="1">
      <alignment horizontal="center" vertical="center" shrinkToFit="1"/>
    </xf>
    <xf numFmtId="0" fontId="81" fillId="0" borderId="3" xfId="0" applyFont="1" applyFill="1" applyBorder="1" applyAlignment="1">
      <alignment horizontal="center" vertical="center" shrinkToFit="1"/>
    </xf>
    <xf numFmtId="38" fontId="80" fillId="0" borderId="3" xfId="0" applyNumberFormat="1" applyFont="1" applyFill="1" applyBorder="1">
      <alignment vertical="center"/>
    </xf>
    <xf numFmtId="10" fontId="80" fillId="0" borderId="0" xfId="0" applyNumberFormat="1" applyFont="1">
      <alignment vertical="center"/>
    </xf>
    <xf numFmtId="0" fontId="81" fillId="0" borderId="0" xfId="0" applyFont="1" applyFill="1" applyBorder="1" applyAlignment="1">
      <alignment horizontal="right" vertical="center"/>
    </xf>
    <xf numFmtId="0" fontId="80" fillId="0" borderId="205" xfId="0" applyFont="1" applyBorder="1" applyAlignment="1">
      <alignment horizontal="center" vertical="center" shrinkToFit="1"/>
    </xf>
    <xf numFmtId="0" fontId="80" fillId="0" borderId="206" xfId="0" applyFont="1" applyBorder="1" applyAlignment="1">
      <alignment horizontal="center" vertical="center" wrapText="1"/>
    </xf>
    <xf numFmtId="0" fontId="80" fillId="0" borderId="230" xfId="0" applyFont="1" applyBorder="1" applyAlignment="1">
      <alignment horizontal="center" vertical="center"/>
    </xf>
    <xf numFmtId="38" fontId="80" fillId="0" borderId="53" xfId="0" applyNumberFormat="1" applyFont="1" applyBorder="1">
      <alignment vertical="center"/>
    </xf>
    <xf numFmtId="38" fontId="80" fillId="0" borderId="53" xfId="0" applyNumberFormat="1" applyFont="1" applyBorder="1" applyAlignment="1">
      <alignment vertical="center"/>
    </xf>
    <xf numFmtId="3" fontId="80" fillId="0" borderId="31" xfId="0" applyNumberFormat="1" applyFont="1" applyBorder="1">
      <alignment vertical="center"/>
    </xf>
    <xf numFmtId="38" fontId="80" fillId="0" borderId="31" xfId="0" applyNumberFormat="1" applyFont="1" applyBorder="1">
      <alignment vertical="center"/>
    </xf>
    <xf numFmtId="38" fontId="80" fillId="0" borderId="31" xfId="0" applyNumberFormat="1" applyFont="1" applyBorder="1" applyAlignment="1">
      <alignment vertical="center"/>
    </xf>
    <xf numFmtId="38" fontId="80" fillId="0" borderId="2" xfId="0" applyNumberFormat="1" applyFont="1" applyBorder="1">
      <alignment vertical="center"/>
    </xf>
    <xf numFmtId="38" fontId="80" fillId="23" borderId="31" xfId="0" applyNumberFormat="1" applyFont="1" applyFill="1" applyBorder="1">
      <alignment vertical="center"/>
    </xf>
    <xf numFmtId="38" fontId="80" fillId="23" borderId="2" xfId="0" applyNumberFormat="1" applyFont="1" applyFill="1" applyBorder="1">
      <alignment vertical="center"/>
    </xf>
    <xf numFmtId="38" fontId="80" fillId="23" borderId="53" xfId="0" applyNumberFormat="1" applyFont="1" applyFill="1" applyBorder="1">
      <alignment vertical="center"/>
    </xf>
    <xf numFmtId="0" fontId="80" fillId="0" borderId="220" xfId="0" applyFont="1" applyBorder="1" applyAlignment="1">
      <alignment horizontal="center" vertical="center"/>
    </xf>
    <xf numFmtId="0" fontId="80" fillId="0" borderId="8" xfId="0" applyFont="1" applyBorder="1" applyAlignment="1">
      <alignment horizontal="center" vertical="center"/>
    </xf>
    <xf numFmtId="0" fontId="80" fillId="0" borderId="177" xfId="0" applyFont="1" applyBorder="1" applyAlignment="1">
      <alignment horizontal="center" vertical="center"/>
    </xf>
    <xf numFmtId="0" fontId="80" fillId="0" borderId="8" xfId="0" applyFont="1" applyBorder="1" applyAlignment="1">
      <alignment horizontal="center" vertical="center" shrinkToFit="1"/>
    </xf>
    <xf numFmtId="3" fontId="89" fillId="0" borderId="72" xfId="1" applyNumberFormat="1" applyFont="1" applyBorder="1">
      <alignment vertical="center"/>
    </xf>
    <xf numFmtId="0" fontId="90" fillId="0" borderId="73" xfId="0" applyFont="1" applyBorder="1" applyProtection="1">
      <alignment vertical="center"/>
    </xf>
    <xf numFmtId="3" fontId="80" fillId="0" borderId="151" xfId="0" applyNumberFormat="1" applyFont="1" applyBorder="1">
      <alignment vertical="center"/>
    </xf>
    <xf numFmtId="3" fontId="80" fillId="0" borderId="51" xfId="0" applyNumberFormat="1" applyFont="1" applyBorder="1">
      <alignment vertical="center"/>
    </xf>
    <xf numFmtId="38" fontId="80" fillId="0" borderId="52" xfId="0" applyNumberFormat="1" applyFont="1" applyBorder="1" applyAlignment="1">
      <alignment vertical="center"/>
    </xf>
    <xf numFmtId="38" fontId="80" fillId="0" borderId="151" xfId="0" applyNumberFormat="1" applyFont="1" applyBorder="1" applyAlignment="1">
      <alignment vertical="center"/>
    </xf>
    <xf numFmtId="38" fontId="80" fillId="0" borderId="52" xfId="0" applyNumberFormat="1" applyFont="1" applyBorder="1">
      <alignment vertical="center"/>
    </xf>
    <xf numFmtId="38" fontId="80" fillId="23" borderId="151" xfId="0" applyNumberFormat="1" applyFont="1" applyFill="1" applyBorder="1">
      <alignment vertical="center"/>
    </xf>
    <xf numFmtId="38" fontId="80" fillId="23" borderId="110" xfId="0" applyNumberFormat="1" applyFont="1" applyFill="1" applyBorder="1">
      <alignment vertical="center"/>
    </xf>
    <xf numFmtId="38" fontId="80" fillId="23" borderId="51" xfId="0" applyNumberFormat="1" applyFont="1" applyFill="1" applyBorder="1">
      <alignment vertical="center"/>
    </xf>
    <xf numFmtId="38" fontId="80" fillId="23" borderId="52" xfId="0" applyNumberFormat="1" applyFont="1" applyFill="1" applyBorder="1">
      <alignment vertical="center"/>
    </xf>
    <xf numFmtId="38" fontId="80" fillId="0" borderId="151" xfId="0" applyNumberFormat="1" applyFont="1" applyBorder="1">
      <alignment vertical="center"/>
    </xf>
    <xf numFmtId="3" fontId="89" fillId="0" borderId="57" xfId="1" applyNumberFormat="1" applyFont="1" applyBorder="1">
      <alignment vertical="center"/>
    </xf>
    <xf numFmtId="0" fontId="90" fillId="0" borderId="0" xfId="0" applyFont="1" applyBorder="1" applyProtection="1">
      <alignment vertical="center"/>
    </xf>
    <xf numFmtId="3" fontId="89" fillId="0" borderId="103" xfId="1" applyNumberFormat="1" applyFont="1" applyBorder="1">
      <alignment vertical="center"/>
    </xf>
    <xf numFmtId="0" fontId="90" fillId="0" borderId="104" xfId="0" applyFont="1" applyBorder="1" applyProtection="1">
      <alignment vertical="center"/>
    </xf>
    <xf numFmtId="3" fontId="80" fillId="0" borderId="6" xfId="0" applyNumberFormat="1" applyFont="1" applyBorder="1">
      <alignment vertical="center"/>
    </xf>
    <xf numFmtId="38" fontId="80" fillId="0" borderId="54" xfId="0" applyNumberFormat="1" applyFont="1" applyBorder="1" applyAlignment="1">
      <alignment vertical="center"/>
    </xf>
    <xf numFmtId="38" fontId="80" fillId="0" borderId="152" xfId="0" applyNumberFormat="1" applyFont="1" applyBorder="1" applyAlignment="1">
      <alignment vertical="center"/>
    </xf>
    <xf numFmtId="38" fontId="80" fillId="0" borderId="54" xfId="0" applyNumberFormat="1" applyFont="1" applyBorder="1">
      <alignment vertical="center"/>
    </xf>
    <xf numFmtId="38" fontId="80" fillId="23" borderId="152" xfId="0" applyNumberFormat="1" applyFont="1" applyFill="1" applyBorder="1">
      <alignment vertical="center"/>
    </xf>
    <xf numFmtId="38" fontId="80" fillId="23" borderId="113" xfId="0" applyNumberFormat="1" applyFont="1" applyFill="1" applyBorder="1">
      <alignment vertical="center"/>
    </xf>
    <xf numFmtId="38" fontId="80" fillId="23" borderId="6" xfId="0" applyNumberFormat="1" applyFont="1" applyFill="1" applyBorder="1">
      <alignment vertical="center"/>
    </xf>
    <xf numFmtId="38" fontId="80" fillId="23" borderId="54" xfId="0" applyNumberFormat="1" applyFont="1" applyFill="1" applyBorder="1">
      <alignment vertical="center"/>
    </xf>
    <xf numFmtId="38" fontId="80" fillId="0" borderId="152" xfId="0" applyNumberFormat="1" applyFont="1" applyBorder="1">
      <alignment vertical="center"/>
    </xf>
    <xf numFmtId="3" fontId="80" fillId="0" borderId="152" xfId="0" applyNumberFormat="1" applyFont="1" applyBorder="1">
      <alignment vertical="center"/>
    </xf>
    <xf numFmtId="3" fontId="81" fillId="0" borderId="72" xfId="1" applyNumberFormat="1" applyFont="1" applyBorder="1">
      <alignment vertical="center"/>
    </xf>
    <xf numFmtId="3" fontId="80" fillId="0" borderId="51" xfId="0" applyNumberFormat="1" applyFont="1" applyBorder="1" applyAlignment="1">
      <alignment vertical="center" shrinkToFit="1"/>
    </xf>
    <xf numFmtId="38" fontId="80" fillId="0" borderId="52" xfId="0" applyNumberFormat="1" applyFont="1" applyBorder="1" applyAlignment="1">
      <alignment vertical="center" shrinkToFit="1"/>
    </xf>
    <xf numFmtId="38" fontId="80" fillId="0" borderId="151" xfId="0" applyNumberFormat="1" applyFont="1" applyBorder="1" applyAlignment="1">
      <alignment vertical="center" shrinkToFit="1"/>
    </xf>
    <xf numFmtId="38" fontId="80" fillId="23" borderId="151" xfId="0" applyNumberFormat="1" applyFont="1" applyFill="1" applyBorder="1" applyAlignment="1">
      <alignment horizontal="center" vertical="center" shrinkToFit="1"/>
    </xf>
    <xf numFmtId="38" fontId="80" fillId="23" borderId="110" xfId="0" applyNumberFormat="1" applyFont="1" applyFill="1" applyBorder="1" applyAlignment="1">
      <alignment horizontal="center" vertical="center" shrinkToFit="1"/>
    </xf>
    <xf numFmtId="38" fontId="80" fillId="23" borderId="51" xfId="0" applyNumberFormat="1" applyFont="1" applyFill="1" applyBorder="1" applyAlignment="1">
      <alignment horizontal="center" vertical="center" shrinkToFit="1"/>
    </xf>
    <xf numFmtId="38" fontId="80" fillId="23" borderId="52" xfId="0" applyNumberFormat="1" applyFont="1" applyFill="1" applyBorder="1" applyAlignment="1">
      <alignment horizontal="center" vertical="center" shrinkToFit="1"/>
    </xf>
    <xf numFmtId="38" fontId="80" fillId="0" borderId="51" xfId="0" applyNumberFormat="1" applyFont="1" applyBorder="1" applyAlignment="1">
      <alignment vertical="center" shrinkToFit="1"/>
    </xf>
    <xf numFmtId="3" fontId="81" fillId="0" borderId="57" xfId="1" applyNumberFormat="1" applyFont="1" applyBorder="1">
      <alignment vertical="center"/>
    </xf>
    <xf numFmtId="3" fontId="81" fillId="0" borderId="103" xfId="1" applyNumberFormat="1" applyFont="1" applyBorder="1">
      <alignment vertical="center"/>
    </xf>
    <xf numFmtId="38" fontId="80" fillId="0" borderId="6" xfId="0" applyNumberFormat="1" applyFont="1" applyBorder="1" applyAlignment="1">
      <alignment vertical="center"/>
    </xf>
    <xf numFmtId="38" fontId="80" fillId="0" borderId="51" xfId="0" applyNumberFormat="1" applyFont="1" applyBorder="1" applyAlignment="1">
      <alignment vertical="center"/>
    </xf>
    <xf numFmtId="3" fontId="80" fillId="0" borderId="6" xfId="0" applyNumberFormat="1" applyFont="1" applyBorder="1" applyAlignment="1">
      <alignment vertical="center" shrinkToFit="1"/>
    </xf>
    <xf numFmtId="38" fontId="80" fillId="0" borderId="54" xfId="0" applyNumberFormat="1" applyFont="1" applyBorder="1" applyAlignment="1">
      <alignment vertical="center" shrinkToFit="1"/>
    </xf>
    <xf numFmtId="38" fontId="80" fillId="0" borderId="152" xfId="0" applyNumberFormat="1" applyFont="1" applyBorder="1" applyAlignment="1">
      <alignment vertical="center" shrinkToFit="1"/>
    </xf>
    <xf numFmtId="38" fontId="80" fillId="23" borderId="152" xfId="0" applyNumberFormat="1" applyFont="1" applyFill="1" applyBorder="1" applyAlignment="1">
      <alignment horizontal="center" vertical="center" shrinkToFit="1"/>
    </xf>
    <xf numFmtId="38" fontId="80" fillId="23" borderId="113" xfId="0" applyNumberFormat="1" applyFont="1" applyFill="1" applyBorder="1" applyAlignment="1">
      <alignment horizontal="center" vertical="center" shrinkToFit="1"/>
    </xf>
    <xf numFmtId="38" fontId="80" fillId="23" borderId="6" xfId="0" applyNumberFormat="1" applyFont="1" applyFill="1" applyBorder="1" applyAlignment="1">
      <alignment horizontal="center" vertical="center" shrinkToFit="1"/>
    </xf>
    <xf numFmtId="38" fontId="80" fillId="23" borderId="54" xfId="0" applyNumberFormat="1" applyFont="1" applyFill="1" applyBorder="1" applyAlignment="1">
      <alignment horizontal="center" vertical="center" shrinkToFit="1"/>
    </xf>
    <xf numFmtId="38" fontId="80" fillId="0" borderId="6" xfId="0" applyNumberFormat="1" applyFont="1" applyBorder="1" applyAlignment="1">
      <alignment vertical="center" shrinkToFit="1"/>
    </xf>
    <xf numFmtId="0" fontId="81" fillId="0" borderId="72" xfId="1" applyFont="1" applyBorder="1">
      <alignment vertical="center"/>
    </xf>
    <xf numFmtId="0" fontId="81" fillId="0" borderId="57" xfId="1" applyFont="1" applyBorder="1">
      <alignment vertical="center"/>
    </xf>
    <xf numFmtId="0" fontId="81" fillId="0" borderId="103" xfId="1" applyFont="1" applyBorder="1">
      <alignment vertical="center"/>
    </xf>
    <xf numFmtId="0" fontId="80" fillId="0" borderId="3" xfId="0" applyFont="1" applyBorder="1" applyAlignment="1">
      <alignment horizontal="center" vertical="center"/>
    </xf>
    <xf numFmtId="0" fontId="7" fillId="0" borderId="227" xfId="0" applyFont="1" applyBorder="1" applyAlignment="1">
      <alignment vertical="center" shrinkToFit="1"/>
    </xf>
    <xf numFmtId="0" fontId="80" fillId="0" borderId="170" xfId="0" applyFont="1" applyBorder="1" applyAlignment="1">
      <alignment horizontal="center" vertical="center"/>
    </xf>
    <xf numFmtId="0" fontId="80" fillId="0" borderId="50" xfId="0" applyFont="1" applyBorder="1" applyAlignment="1">
      <alignment horizontal="center" vertical="center"/>
    </xf>
    <xf numFmtId="0" fontId="80" fillId="0" borderId="80" xfId="0" applyFont="1" applyBorder="1" applyAlignment="1">
      <alignment horizontal="center" vertical="center"/>
    </xf>
    <xf numFmtId="0" fontId="80" fillId="0" borderId="50" xfId="0" applyFont="1" applyBorder="1" applyAlignment="1">
      <alignment horizontal="center" vertical="center" wrapText="1"/>
    </xf>
    <xf numFmtId="0" fontId="80" fillId="0" borderId="46" xfId="0" applyFont="1" applyBorder="1" applyAlignment="1">
      <alignment horizontal="center" vertical="center"/>
    </xf>
    <xf numFmtId="0" fontId="80" fillId="0" borderId="80" xfId="0" applyFont="1" applyBorder="1" applyAlignment="1">
      <alignment horizontal="center" vertical="center" wrapText="1"/>
    </xf>
    <xf numFmtId="0" fontId="80" fillId="0" borderId="50" xfId="0" applyFont="1" applyBorder="1" applyAlignment="1">
      <alignment horizontal="center" vertical="center" shrinkToFit="1"/>
    </xf>
    <xf numFmtId="0" fontId="80" fillId="0" borderId="220" xfId="0" applyFont="1" applyBorder="1" applyAlignment="1">
      <alignment horizontal="center" vertical="center" shrinkToFit="1"/>
    </xf>
    <xf numFmtId="0" fontId="80" fillId="0" borderId="80" xfId="0" applyFont="1" applyBorder="1" applyAlignment="1">
      <alignment horizontal="center" vertical="center" shrinkToFit="1"/>
    </xf>
    <xf numFmtId="0" fontId="81" fillId="0" borderId="50" xfId="0" applyFont="1" applyBorder="1" applyAlignment="1">
      <alignment horizontal="center" vertical="center" wrapText="1"/>
    </xf>
    <xf numFmtId="190" fontId="1" fillId="3" borderId="3" xfId="0" applyNumberFormat="1" applyFont="1" applyFill="1" applyBorder="1" applyAlignment="1" applyProtection="1">
      <alignment horizontal="center" vertical="center"/>
    </xf>
    <xf numFmtId="0" fontId="80" fillId="0" borderId="0" xfId="0" applyFont="1" applyBorder="1" applyAlignment="1">
      <alignment horizontal="center" vertical="center"/>
    </xf>
    <xf numFmtId="0" fontId="88" fillId="0" borderId="0" xfId="0" applyFont="1" applyBorder="1" applyAlignment="1">
      <alignment horizontal="center" vertical="center" wrapText="1"/>
    </xf>
    <xf numFmtId="0" fontId="80" fillId="0" borderId="0" xfId="0" applyFont="1" applyBorder="1" applyAlignment="1">
      <alignment horizontal="center" vertical="center" wrapText="1"/>
    </xf>
    <xf numFmtId="0" fontId="80" fillId="0" borderId="7" xfId="0" applyFont="1" applyBorder="1" applyAlignment="1">
      <alignment horizontal="center" vertical="center"/>
    </xf>
    <xf numFmtId="0" fontId="80" fillId="0" borderId="230" xfId="0" applyFont="1" applyBorder="1" applyAlignment="1">
      <alignment horizontal="center" vertical="center" shrinkToFit="1"/>
    </xf>
    <xf numFmtId="0" fontId="80" fillId="0" borderId="231" xfId="0" applyFont="1" applyBorder="1" applyAlignment="1">
      <alignment horizontal="center" vertical="center"/>
    </xf>
    <xf numFmtId="0" fontId="81" fillId="0" borderId="231" xfId="0" applyFont="1" applyBorder="1" applyAlignment="1">
      <alignment horizontal="center" vertical="center" wrapText="1"/>
    </xf>
    <xf numFmtId="0" fontId="80" fillId="0" borderId="232" xfId="0" applyFont="1" applyBorder="1" applyAlignment="1">
      <alignment horizontal="center" vertical="center"/>
    </xf>
    <xf numFmtId="0" fontId="80" fillId="0" borderId="231" xfId="0" applyFont="1" applyBorder="1" applyAlignment="1">
      <alignment horizontal="center" vertical="center" wrapText="1"/>
    </xf>
    <xf numFmtId="0" fontId="80" fillId="0" borderId="233" xfId="0" applyFont="1" applyBorder="1" applyAlignment="1">
      <alignment horizontal="center" vertical="center"/>
    </xf>
    <xf numFmtId="0" fontId="80" fillId="0" borderId="232" xfId="0" applyFont="1" applyBorder="1" applyAlignment="1">
      <alignment horizontal="center" vertical="center" wrapText="1"/>
    </xf>
    <xf numFmtId="0" fontId="80" fillId="0" borderId="204" xfId="0" applyFont="1" applyBorder="1" applyAlignment="1">
      <alignment horizontal="center" vertical="center"/>
    </xf>
    <xf numFmtId="0" fontId="80" fillId="0" borderId="205" xfId="0" applyFont="1" applyBorder="1" applyAlignment="1">
      <alignment horizontal="center" vertical="center" wrapText="1"/>
    </xf>
    <xf numFmtId="0" fontId="80" fillId="0" borderId="206" xfId="0" applyFont="1" applyBorder="1" applyAlignment="1">
      <alignment horizontal="center" vertical="center" shrinkToFit="1"/>
    </xf>
    <xf numFmtId="0" fontId="91" fillId="0" borderId="169" xfId="0" applyFont="1" applyBorder="1" applyAlignment="1">
      <alignment horizontal="center" vertical="center"/>
    </xf>
    <xf numFmtId="0" fontId="91" fillId="0" borderId="169" xfId="0" applyFont="1" applyBorder="1" applyAlignment="1">
      <alignment horizontal="center" vertical="center" wrapText="1"/>
    </xf>
    <xf numFmtId="0" fontId="91" fillId="0" borderId="249" xfId="0" applyFont="1" applyBorder="1" applyAlignment="1">
      <alignment horizontal="center" vertical="center" wrapText="1"/>
    </xf>
    <xf numFmtId="0" fontId="91" fillId="0" borderId="238" xfId="0" applyFont="1" applyBorder="1" applyAlignment="1">
      <alignment horizontal="center" vertical="center" wrapText="1"/>
    </xf>
    <xf numFmtId="0" fontId="91" fillId="0" borderId="242" xfId="0" applyFont="1" applyBorder="1">
      <alignment vertical="center"/>
    </xf>
    <xf numFmtId="0" fontId="91" fillId="0" borderId="260" xfId="0" applyFont="1" applyBorder="1">
      <alignment vertical="center"/>
    </xf>
    <xf numFmtId="10" fontId="91" fillId="0" borderId="243" xfId="0" applyNumberFormat="1" applyFont="1" applyBorder="1">
      <alignment vertical="center"/>
    </xf>
    <xf numFmtId="10" fontId="91" fillId="0" borderId="250" xfId="0" applyNumberFormat="1" applyFont="1" applyBorder="1">
      <alignment vertical="center"/>
    </xf>
    <xf numFmtId="0" fontId="91" fillId="16" borderId="169" xfId="0" applyFont="1" applyFill="1" applyBorder="1" applyAlignment="1">
      <alignment horizontal="center" vertical="center"/>
    </xf>
    <xf numFmtId="0" fontId="91" fillId="16" borderId="169" xfId="0" applyFont="1" applyFill="1" applyBorder="1" applyAlignment="1">
      <alignment horizontal="center" vertical="center" wrapText="1"/>
    </xf>
    <xf numFmtId="0" fontId="91" fillId="16" borderId="238" xfId="0" applyFont="1" applyFill="1" applyBorder="1" applyAlignment="1">
      <alignment horizontal="center" vertical="center" wrapText="1"/>
    </xf>
    <xf numFmtId="0" fontId="91" fillId="16" borderId="255" xfId="0" applyFont="1" applyFill="1" applyBorder="1">
      <alignment vertical="center"/>
    </xf>
    <xf numFmtId="10" fontId="91" fillId="16" borderId="243" xfId="0" applyNumberFormat="1" applyFont="1" applyFill="1" applyBorder="1">
      <alignment vertical="center"/>
    </xf>
    <xf numFmtId="10" fontId="91" fillId="0" borderId="244" xfId="0" applyNumberFormat="1" applyFont="1" applyBorder="1">
      <alignment vertical="center"/>
    </xf>
    <xf numFmtId="10" fontId="91" fillId="16" borderId="244" xfId="0" applyNumberFormat="1" applyFont="1" applyFill="1" applyBorder="1">
      <alignment vertical="center"/>
    </xf>
    <xf numFmtId="0" fontId="80" fillId="0" borderId="263" xfId="0" applyFont="1" applyBorder="1" applyAlignment="1">
      <alignment horizontal="center" vertical="center"/>
    </xf>
    <xf numFmtId="0" fontId="81" fillId="0" borderId="7" xfId="0" applyFont="1" applyBorder="1" applyAlignment="1">
      <alignment horizontal="center" vertical="center"/>
    </xf>
    <xf numFmtId="0" fontId="80" fillId="0" borderId="171" xfId="0" applyFont="1" applyBorder="1" applyAlignment="1">
      <alignment horizontal="center" vertical="center"/>
    </xf>
    <xf numFmtId="0" fontId="81" fillId="0" borderId="171" xfId="0" applyFont="1" applyBorder="1" applyAlignment="1">
      <alignment horizontal="center" vertical="center"/>
    </xf>
    <xf numFmtId="0" fontId="81" fillId="0" borderId="170" xfId="0" applyFont="1" applyBorder="1" applyAlignment="1">
      <alignment horizontal="center" vertical="center"/>
    </xf>
    <xf numFmtId="0" fontId="80" fillId="0" borderId="205" xfId="0" applyFont="1" applyBorder="1" applyAlignment="1">
      <alignment horizontal="center" vertical="center"/>
    </xf>
    <xf numFmtId="0" fontId="80" fillId="0" borderId="204" xfId="0" applyFont="1" applyBorder="1" applyAlignment="1">
      <alignment horizontal="center" vertical="center" shrinkToFit="1"/>
    </xf>
    <xf numFmtId="0" fontId="80" fillId="0" borderId="230" xfId="0" applyFont="1" applyBorder="1" applyAlignment="1">
      <alignment horizontal="center" vertical="center"/>
    </xf>
    <xf numFmtId="0" fontId="23" fillId="0" borderId="0" xfId="0" applyFont="1" applyAlignment="1">
      <alignment horizontal="right" vertical="center" shrinkToFit="1"/>
    </xf>
    <xf numFmtId="0" fontId="7" fillId="0" borderId="227" xfId="0" applyFont="1" applyBorder="1" applyAlignment="1">
      <alignment vertical="center"/>
    </xf>
    <xf numFmtId="38" fontId="80" fillId="24" borderId="3" xfId="0" applyNumberFormat="1" applyFont="1" applyFill="1" applyBorder="1">
      <alignment vertical="center"/>
    </xf>
    <xf numFmtId="38" fontId="80" fillId="24" borderId="3" xfId="0" applyNumberFormat="1" applyFont="1" applyFill="1" applyBorder="1" applyAlignment="1">
      <alignment horizontal="center" vertical="center" shrinkToFit="1"/>
    </xf>
    <xf numFmtId="3" fontId="0" fillId="0" borderId="0" xfId="0" applyNumberFormat="1" applyAlignment="1">
      <alignment horizontal="right" vertical="center" shrinkToFit="1"/>
    </xf>
    <xf numFmtId="0" fontId="6" fillId="26" borderId="1" xfId="0" applyFont="1" applyFill="1" applyBorder="1" applyAlignment="1" applyProtection="1">
      <alignment horizontal="distributed" vertical="center" shrinkToFit="1"/>
    </xf>
    <xf numFmtId="0" fontId="83" fillId="9" borderId="1" xfId="0" applyFont="1" applyFill="1" applyBorder="1" applyAlignment="1">
      <alignment horizontal="right" vertical="center"/>
    </xf>
    <xf numFmtId="0" fontId="83" fillId="7" borderId="1" xfId="0" applyFont="1" applyFill="1" applyBorder="1" applyAlignment="1">
      <alignment horizontal="left" vertical="center"/>
    </xf>
    <xf numFmtId="193" fontId="80" fillId="0" borderId="3" xfId="0" applyNumberFormat="1" applyFont="1" applyBorder="1">
      <alignment vertical="center"/>
    </xf>
    <xf numFmtId="187" fontId="80" fillId="0" borderId="3" xfId="0" applyNumberFormat="1" applyFont="1" applyBorder="1" applyAlignment="1">
      <alignment vertical="center" shrinkToFit="1"/>
    </xf>
    <xf numFmtId="187" fontId="80" fillId="0" borderId="3" xfId="0" applyNumberFormat="1" applyFont="1" applyBorder="1">
      <alignment vertical="center"/>
    </xf>
    <xf numFmtId="0" fontId="92" fillId="0" borderId="0" xfId="0" applyFont="1" applyFill="1" applyBorder="1" applyAlignment="1">
      <alignment horizontal="right" vertical="center"/>
    </xf>
    <xf numFmtId="0" fontId="90" fillId="16" borderId="205" xfId="0" applyFont="1" applyFill="1" applyBorder="1" applyAlignment="1">
      <alignment horizontal="center" vertical="center" wrapText="1"/>
    </xf>
    <xf numFmtId="0" fontId="80" fillId="16" borderId="206" xfId="0" applyFont="1" applyFill="1" applyBorder="1" applyAlignment="1">
      <alignment horizontal="center" vertical="center"/>
    </xf>
    <xf numFmtId="0" fontId="80" fillId="16" borderId="8" xfId="0" applyFont="1" applyFill="1" applyBorder="1" applyAlignment="1">
      <alignment horizontal="center" vertical="center" wrapText="1"/>
    </xf>
    <xf numFmtId="0" fontId="80" fillId="16" borderId="177" xfId="0" applyFont="1" applyFill="1" applyBorder="1" applyAlignment="1">
      <alignment horizontal="center" vertical="center"/>
    </xf>
    <xf numFmtId="3" fontId="89" fillId="0" borderId="0" xfId="1" applyNumberFormat="1" applyFont="1" applyAlignment="1">
      <alignment horizontal="right" vertical="center"/>
    </xf>
    <xf numFmtId="3" fontId="89" fillId="0" borderId="0" xfId="1" applyNumberFormat="1" applyFont="1">
      <alignment vertical="center"/>
    </xf>
    <xf numFmtId="0" fontId="80" fillId="0" borderId="8" xfId="0" applyFont="1" applyFill="1" applyBorder="1" applyAlignment="1">
      <alignment horizontal="center" vertical="center" wrapText="1"/>
    </xf>
    <xf numFmtId="0" fontId="80" fillId="0" borderId="177" xfId="0" applyFont="1" applyFill="1" applyBorder="1" applyAlignment="1">
      <alignment horizontal="center" vertical="center"/>
    </xf>
    <xf numFmtId="0" fontId="80" fillId="0" borderId="8" xfId="0" applyFont="1" applyFill="1" applyBorder="1" applyAlignment="1">
      <alignment horizontal="center" vertical="center"/>
    </xf>
    <xf numFmtId="0" fontId="80" fillId="0" borderId="0" xfId="0" applyFont="1" applyBorder="1" applyAlignment="1">
      <alignment horizontal="distributed" vertical="center" shrinkToFit="1"/>
    </xf>
    <xf numFmtId="0" fontId="84" fillId="0" borderId="0" xfId="0" applyFont="1" applyAlignment="1">
      <alignment horizontal="right" vertical="center"/>
    </xf>
    <xf numFmtId="38" fontId="80" fillId="0" borderId="55" xfId="0" applyNumberFormat="1" applyFont="1" applyBorder="1">
      <alignment vertical="center"/>
    </xf>
    <xf numFmtId="38" fontId="80" fillId="0" borderId="4" xfId="0" applyNumberFormat="1" applyFont="1" applyBorder="1">
      <alignment vertical="center"/>
    </xf>
    <xf numFmtId="38" fontId="80" fillId="0" borderId="7" xfId="0" applyNumberFormat="1" applyFont="1" applyBorder="1">
      <alignment vertical="center"/>
    </xf>
    <xf numFmtId="38" fontId="80" fillId="0" borderId="116" xfId="0" applyNumberFormat="1" applyFont="1" applyBorder="1">
      <alignment vertical="center"/>
    </xf>
    <xf numFmtId="38" fontId="91" fillId="0" borderId="245" xfId="0" quotePrefix="1" applyNumberFormat="1" applyFont="1" applyBorder="1">
      <alignment vertical="center"/>
    </xf>
    <xf numFmtId="38" fontId="91" fillId="0" borderId="246" xfId="0" applyNumberFormat="1" applyFont="1" applyBorder="1">
      <alignment vertical="center"/>
    </xf>
    <xf numFmtId="38" fontId="91" fillId="0" borderId="251" xfId="0" applyNumberFormat="1" applyFont="1" applyBorder="1">
      <alignment vertical="center"/>
    </xf>
    <xf numFmtId="38" fontId="91" fillId="0" borderId="261" xfId="0" applyNumberFormat="1" applyFont="1" applyBorder="1">
      <alignment vertical="center"/>
    </xf>
    <xf numFmtId="38" fontId="91" fillId="0" borderId="247" xfId="0" applyNumberFormat="1" applyFont="1" applyBorder="1">
      <alignment vertical="center"/>
    </xf>
    <xf numFmtId="38" fontId="91" fillId="16" borderId="256" xfId="0" applyNumberFormat="1" applyFont="1" applyFill="1" applyBorder="1">
      <alignment vertical="center"/>
    </xf>
    <xf numFmtId="38" fontId="91" fillId="0" borderId="237" xfId="0" quotePrefix="1" applyNumberFormat="1" applyFont="1" applyBorder="1">
      <alignment vertical="center"/>
    </xf>
    <xf numFmtId="38" fontId="91" fillId="0" borderId="169" xfId="0" applyNumberFormat="1" applyFont="1" applyBorder="1">
      <alignment vertical="center"/>
    </xf>
    <xf numFmtId="38" fontId="91" fillId="0" borderId="249" xfId="0" applyNumberFormat="1" applyFont="1" applyBorder="1">
      <alignment vertical="center"/>
    </xf>
    <xf numFmtId="38" fontId="91" fillId="0" borderId="259" xfId="0" applyNumberFormat="1" applyFont="1" applyBorder="1">
      <alignment vertical="center"/>
    </xf>
    <xf numFmtId="38" fontId="91" fillId="0" borderId="238" xfId="0" applyNumberFormat="1" applyFont="1" applyBorder="1">
      <alignment vertical="center"/>
    </xf>
    <xf numFmtId="38" fontId="91" fillId="16" borderId="254" xfId="0" applyNumberFormat="1" applyFont="1" applyFill="1" applyBorder="1">
      <alignment vertical="center"/>
    </xf>
    <xf numFmtId="38" fontId="91" fillId="16" borderId="169" xfId="0" applyNumberFormat="1" applyFont="1" applyFill="1" applyBorder="1">
      <alignment vertical="center"/>
    </xf>
    <xf numFmtId="38" fontId="91" fillId="16" borderId="238" xfId="0" applyNumberFormat="1" applyFont="1" applyFill="1" applyBorder="1">
      <alignment vertical="center"/>
    </xf>
    <xf numFmtId="38" fontId="80" fillId="0" borderId="53" xfId="0" applyNumberFormat="1" applyFont="1" applyBorder="1" applyAlignment="1">
      <alignment vertical="center" shrinkToFit="1"/>
    </xf>
    <xf numFmtId="38" fontId="80" fillId="0" borderId="113" xfId="0" applyNumberFormat="1" applyFont="1" applyBorder="1">
      <alignment vertical="center"/>
    </xf>
    <xf numFmtId="38" fontId="91" fillId="0" borderId="239" xfId="0" quotePrefix="1" applyNumberFormat="1" applyFont="1" applyBorder="1">
      <alignment vertical="center"/>
    </xf>
    <xf numFmtId="38" fontId="91" fillId="0" borderId="240" xfId="0" applyNumberFormat="1" applyFont="1" applyBorder="1">
      <alignment vertical="center"/>
    </xf>
    <xf numFmtId="38" fontId="91" fillId="0" borderId="252" xfId="0" applyNumberFormat="1" applyFont="1" applyBorder="1">
      <alignment vertical="center"/>
    </xf>
    <xf numFmtId="38" fontId="91" fillId="0" borderId="262" xfId="0" applyNumberFormat="1" applyFont="1" applyBorder="1">
      <alignment vertical="center"/>
    </xf>
    <xf numFmtId="38" fontId="91" fillId="0" borderId="241" xfId="0" applyNumberFormat="1" applyFont="1" applyBorder="1">
      <alignment vertical="center"/>
    </xf>
    <xf numFmtId="38" fontId="91" fillId="16" borderId="257" xfId="0" applyNumberFormat="1" applyFont="1" applyFill="1" applyBorder="1">
      <alignment vertical="center"/>
    </xf>
    <xf numFmtId="38" fontId="91" fillId="16" borderId="240" xfId="0" applyNumberFormat="1" applyFont="1" applyFill="1" applyBorder="1">
      <alignment vertical="center"/>
    </xf>
    <xf numFmtId="38" fontId="91" fillId="16" borderId="241" xfId="0" applyNumberFormat="1" applyFont="1" applyFill="1" applyBorder="1">
      <alignment vertical="center"/>
    </xf>
    <xf numFmtId="38" fontId="91" fillId="16" borderId="256" xfId="0" applyNumberFormat="1" applyFont="1" applyFill="1" applyBorder="1" applyAlignment="1">
      <alignment vertical="center"/>
    </xf>
    <xf numFmtId="38" fontId="91" fillId="16" borderId="246" xfId="0" applyNumberFormat="1" applyFont="1" applyFill="1" applyBorder="1" applyAlignment="1">
      <alignment vertical="center"/>
    </xf>
    <xf numFmtId="38" fontId="91" fillId="16" borderId="247" xfId="0" applyNumberFormat="1" applyFont="1" applyFill="1" applyBorder="1" applyAlignment="1">
      <alignment vertical="center"/>
    </xf>
    <xf numFmtId="38" fontId="91" fillId="0" borderId="254" xfId="0" applyNumberFormat="1" applyFont="1" applyBorder="1" applyAlignment="1">
      <alignment vertical="center"/>
    </xf>
    <xf numFmtId="38" fontId="91" fillId="0" borderId="169" xfId="0" applyNumberFormat="1" applyFont="1" applyBorder="1" applyAlignment="1">
      <alignment vertical="center"/>
    </xf>
    <xf numFmtId="38" fontId="91" fillId="0" borderId="238" xfId="0" applyNumberFormat="1" applyFont="1" applyBorder="1" applyAlignment="1">
      <alignment vertical="center"/>
    </xf>
    <xf numFmtId="38" fontId="91" fillId="0" borderId="254" xfId="0" applyNumberFormat="1" applyFont="1" applyBorder="1" applyAlignment="1">
      <alignment vertical="center" shrinkToFit="1"/>
    </xf>
    <xf numFmtId="38" fontId="91" fillId="0" borderId="169" xfId="0" applyNumberFormat="1" applyFont="1" applyBorder="1" applyAlignment="1">
      <alignment vertical="center" shrinkToFit="1"/>
    </xf>
    <xf numFmtId="38" fontId="91" fillId="0" borderId="238" xfId="0" applyNumberFormat="1" applyFont="1" applyBorder="1" applyAlignment="1">
      <alignment vertical="center" shrinkToFit="1"/>
    </xf>
    <xf numFmtId="38" fontId="91" fillId="0" borderId="257" xfId="0" applyNumberFormat="1" applyFont="1" applyBorder="1" applyAlignment="1">
      <alignment vertical="center"/>
    </xf>
    <xf numFmtId="38" fontId="91" fillId="0" borderId="240" xfId="0" applyNumberFormat="1" applyFont="1" applyBorder="1" applyAlignment="1">
      <alignment vertical="center"/>
    </xf>
    <xf numFmtId="38" fontId="91" fillId="0" borderId="241" xfId="0" applyNumberFormat="1" applyFont="1" applyBorder="1" applyAlignment="1">
      <alignment vertical="center"/>
    </xf>
    <xf numFmtId="0" fontId="81" fillId="0" borderId="0" xfId="0" applyFont="1" applyBorder="1" applyAlignment="1">
      <alignment horizontal="center" vertical="center"/>
    </xf>
    <xf numFmtId="38" fontId="80" fillId="0" borderId="0" xfId="0" applyNumberFormat="1" applyFont="1" applyBorder="1" applyAlignment="1">
      <alignment vertical="center"/>
    </xf>
    <xf numFmtId="38" fontId="91" fillId="0" borderId="0" xfId="0" quotePrefix="1" applyNumberFormat="1" applyFont="1" applyBorder="1">
      <alignment vertical="center"/>
    </xf>
    <xf numFmtId="38" fontId="91" fillId="0" borderId="0" xfId="0" applyNumberFormat="1" applyFont="1" applyBorder="1">
      <alignment vertical="center"/>
    </xf>
    <xf numFmtId="38" fontId="91" fillId="0" borderId="0" xfId="0" applyNumberFormat="1" applyFont="1" applyFill="1" applyBorder="1">
      <alignment vertical="center"/>
    </xf>
    <xf numFmtId="0" fontId="5" fillId="0" borderId="0" xfId="0" applyFont="1" applyFill="1" applyAlignment="1" applyProtection="1">
      <alignment horizontal="right" vertical="center"/>
    </xf>
    <xf numFmtId="38" fontId="80" fillId="0" borderId="4" xfId="0" applyNumberFormat="1" applyFont="1" applyBorder="1" applyAlignment="1">
      <alignment vertical="center"/>
    </xf>
    <xf numFmtId="38" fontId="80" fillId="0" borderId="7" xfId="0" applyNumberFormat="1" applyFont="1" applyBorder="1" applyAlignment="1">
      <alignment vertical="center"/>
    </xf>
    <xf numFmtId="38" fontId="80" fillId="0" borderId="55" xfId="0" applyNumberFormat="1" applyFont="1" applyBorder="1" applyAlignment="1">
      <alignment vertical="center"/>
    </xf>
    <xf numFmtId="38" fontId="80" fillId="0" borderId="116" xfId="0" applyNumberFormat="1" applyFont="1" applyBorder="1" applyAlignment="1">
      <alignment vertical="center"/>
    </xf>
    <xf numFmtId="38" fontId="91" fillId="0" borderId="246" xfId="0" applyNumberFormat="1" applyFont="1" applyBorder="1" applyAlignment="1">
      <alignment vertical="center"/>
    </xf>
    <xf numFmtId="38" fontId="91" fillId="0" borderId="251" xfId="0" applyNumberFormat="1" applyFont="1" applyBorder="1" applyAlignment="1">
      <alignment vertical="center"/>
    </xf>
    <xf numFmtId="38" fontId="91" fillId="0" borderId="261" xfId="0" applyNumberFormat="1" applyFont="1" applyBorder="1" applyAlignment="1">
      <alignment vertical="center"/>
    </xf>
    <xf numFmtId="38" fontId="91" fillId="0" borderId="247" xfId="0" applyNumberFormat="1" applyFont="1" applyBorder="1" applyAlignment="1">
      <alignment vertical="center"/>
    </xf>
    <xf numFmtId="38" fontId="91" fillId="0" borderId="256" xfId="0" applyNumberFormat="1" applyFont="1" applyBorder="1" applyAlignment="1">
      <alignment vertical="center"/>
    </xf>
    <xf numFmtId="38" fontId="91" fillId="0" borderId="249" xfId="0" applyNumberFormat="1" applyFont="1" applyBorder="1" applyAlignment="1">
      <alignment vertical="center"/>
    </xf>
    <xf numFmtId="38" fontId="91" fillId="0" borderId="259" xfId="0" applyNumberFormat="1" applyFont="1" applyBorder="1" applyAlignment="1">
      <alignment vertical="center"/>
    </xf>
    <xf numFmtId="38" fontId="80" fillId="0" borderId="113" xfId="0" applyNumberFormat="1" applyFont="1" applyBorder="1" applyAlignment="1">
      <alignment vertical="center"/>
    </xf>
    <xf numFmtId="38" fontId="91" fillId="0" borderId="252" xfId="0" applyNumberFormat="1" applyFont="1" applyBorder="1" applyAlignment="1">
      <alignment vertical="center"/>
    </xf>
    <xf numFmtId="38" fontId="91" fillId="0" borderId="262" xfId="0" applyNumberFormat="1" applyFont="1" applyBorder="1" applyAlignment="1">
      <alignment vertical="center"/>
    </xf>
    <xf numFmtId="0" fontId="77" fillId="0" borderId="0" xfId="0" applyFont="1">
      <alignment vertical="center"/>
    </xf>
    <xf numFmtId="0" fontId="80" fillId="0" borderId="0" xfId="0" applyFont="1" applyFill="1" applyBorder="1" applyAlignment="1">
      <alignment horizontal="center" vertical="center"/>
    </xf>
    <xf numFmtId="38" fontId="96" fillId="0" borderId="273" xfId="0" applyNumberFormat="1" applyFont="1" applyBorder="1">
      <alignment vertical="center"/>
    </xf>
    <xf numFmtId="38" fontId="96" fillId="0" borderId="274" xfId="0" applyNumberFormat="1" applyFont="1" applyBorder="1">
      <alignment vertical="center"/>
    </xf>
    <xf numFmtId="38" fontId="96" fillId="0" borderId="275" xfId="0" applyNumberFormat="1" applyFont="1" applyBorder="1">
      <alignment vertical="center"/>
    </xf>
    <xf numFmtId="38" fontId="96" fillId="0" borderId="276" xfId="0" applyNumberFormat="1" applyFont="1" applyBorder="1">
      <alignment vertical="center"/>
    </xf>
    <xf numFmtId="38" fontId="96" fillId="0" borderId="277" xfId="0" applyNumberFormat="1" applyFont="1" applyBorder="1">
      <alignment vertical="center"/>
    </xf>
    <xf numFmtId="38" fontId="96" fillId="0" borderId="278" xfId="0" applyNumberFormat="1" applyFont="1" applyBorder="1">
      <alignment vertical="center"/>
    </xf>
    <xf numFmtId="38" fontId="96" fillId="0" borderId="267" xfId="0" applyNumberFormat="1" applyFont="1" applyBorder="1">
      <alignment vertical="center"/>
    </xf>
    <xf numFmtId="38" fontId="96" fillId="0" borderId="268" xfId="0" applyNumberFormat="1" applyFont="1" applyBorder="1">
      <alignment vertical="center"/>
    </xf>
    <xf numFmtId="38" fontId="96" fillId="0" borderId="269" xfId="0" applyNumberFormat="1" applyFont="1" applyBorder="1" applyAlignment="1">
      <alignment vertical="center"/>
    </xf>
    <xf numFmtId="38" fontId="96" fillId="0" borderId="269" xfId="0" applyNumberFormat="1" applyFont="1" applyBorder="1" applyAlignment="1">
      <alignment vertical="center" shrinkToFit="1"/>
    </xf>
    <xf numFmtId="38" fontId="96" fillId="0" borderId="270" xfId="0" applyNumberFormat="1" applyFont="1" applyBorder="1">
      <alignment vertical="center"/>
    </xf>
    <xf numFmtId="38" fontId="96" fillId="0" borderId="271" xfId="0" applyNumberFormat="1" applyFont="1" applyBorder="1">
      <alignment vertical="center"/>
    </xf>
    <xf numFmtId="38" fontId="96" fillId="0" borderId="272" xfId="0" applyNumberFormat="1" applyFont="1" applyBorder="1" applyAlignment="1">
      <alignment vertical="center"/>
    </xf>
    <xf numFmtId="38" fontId="96" fillId="0" borderId="284" xfId="0" applyNumberFormat="1" applyFont="1" applyBorder="1">
      <alignment vertical="center"/>
    </xf>
    <xf numFmtId="38" fontId="96" fillId="0" borderId="285" xfId="0" applyNumberFormat="1" applyFont="1" applyBorder="1">
      <alignment vertical="center"/>
    </xf>
    <xf numFmtId="38" fontId="96" fillId="0" borderId="283" xfId="0" applyNumberFormat="1" applyFont="1" applyBorder="1">
      <alignment vertical="center"/>
    </xf>
    <xf numFmtId="38" fontId="96" fillId="0" borderId="286" xfId="0" applyNumberFormat="1" applyFont="1" applyBorder="1">
      <alignment vertical="center"/>
    </xf>
    <xf numFmtId="38" fontId="80" fillId="0" borderId="287" xfId="0" applyNumberFormat="1" applyFont="1" applyBorder="1">
      <alignment vertical="center"/>
    </xf>
    <xf numFmtId="38" fontId="80" fillId="26" borderId="3" xfId="0" applyNumberFormat="1" applyFont="1" applyFill="1" applyBorder="1">
      <alignment vertical="center"/>
    </xf>
    <xf numFmtId="38" fontId="99" fillId="7" borderId="290" xfId="0" applyNumberFormat="1" applyFont="1" applyFill="1" applyBorder="1" applyAlignment="1">
      <alignment horizontal="center" vertical="center"/>
    </xf>
    <xf numFmtId="38" fontId="99" fillId="10" borderId="291" xfId="0" applyNumberFormat="1" applyFont="1" applyFill="1" applyBorder="1" applyAlignment="1">
      <alignment horizontal="center" vertical="center"/>
    </xf>
    <xf numFmtId="38" fontId="99" fillId="9" borderId="291" xfId="0" applyNumberFormat="1" applyFont="1" applyFill="1" applyBorder="1" applyAlignment="1">
      <alignment horizontal="center" vertical="center"/>
    </xf>
    <xf numFmtId="0" fontId="99" fillId="7" borderId="291" xfId="0" applyFont="1" applyFill="1" applyBorder="1" applyAlignment="1">
      <alignment horizontal="center" vertical="center"/>
    </xf>
    <xf numFmtId="0" fontId="87" fillId="0" borderId="293" xfId="0" applyFont="1" applyBorder="1" applyAlignment="1">
      <alignment horizontal="center" vertical="center"/>
    </xf>
    <xf numFmtId="38" fontId="100" fillId="0" borderId="292" xfId="0" applyNumberFormat="1" applyFont="1" applyBorder="1">
      <alignment vertical="center"/>
    </xf>
    <xf numFmtId="38" fontId="100" fillId="0" borderId="211" xfId="0" applyNumberFormat="1" applyFont="1" applyBorder="1">
      <alignment vertical="center"/>
    </xf>
    <xf numFmtId="38" fontId="100" fillId="0" borderId="225" xfId="0" applyNumberFormat="1" applyFont="1" applyBorder="1">
      <alignment vertical="center"/>
    </xf>
    <xf numFmtId="38" fontId="100" fillId="0" borderId="226" xfId="0" applyNumberFormat="1" applyFont="1" applyBorder="1">
      <alignment vertical="center"/>
    </xf>
    <xf numFmtId="0" fontId="87" fillId="0" borderId="0" xfId="0" applyFont="1" applyBorder="1">
      <alignment vertical="center"/>
    </xf>
    <xf numFmtId="38" fontId="100" fillId="0" borderId="0" xfId="0" applyNumberFormat="1" applyFont="1" applyBorder="1">
      <alignment vertical="center"/>
    </xf>
    <xf numFmtId="0" fontId="87" fillId="0" borderId="294" xfId="0" applyFont="1" applyBorder="1" applyAlignment="1">
      <alignment horizontal="distributed" vertical="center"/>
    </xf>
    <xf numFmtId="0" fontId="98" fillId="27" borderId="0" xfId="0" applyFont="1" applyFill="1">
      <alignment vertical="center"/>
    </xf>
    <xf numFmtId="0" fontId="90" fillId="27" borderId="0" xfId="0" applyFont="1" applyFill="1">
      <alignment vertical="center"/>
    </xf>
    <xf numFmtId="0" fontId="102" fillId="27" borderId="0" xfId="3" applyFont="1" applyFill="1">
      <alignment vertical="center"/>
    </xf>
    <xf numFmtId="0" fontId="90" fillId="0" borderId="0" xfId="0" applyFont="1">
      <alignment vertical="center"/>
    </xf>
    <xf numFmtId="0" fontId="95" fillId="0" borderId="0" xfId="0" applyFont="1">
      <alignment vertical="center"/>
    </xf>
    <xf numFmtId="0" fontId="83" fillId="7" borderId="7" xfId="0" applyFont="1" applyFill="1" applyBorder="1" applyAlignment="1">
      <alignment horizontal="center" vertical="center"/>
    </xf>
    <xf numFmtId="0" fontId="83" fillId="7" borderId="3" xfId="0" applyFont="1" applyFill="1" applyBorder="1" applyAlignment="1">
      <alignment horizontal="center" vertical="center"/>
    </xf>
    <xf numFmtId="0" fontId="83" fillId="10" borderId="7" xfId="0" applyFont="1" applyFill="1" applyBorder="1" applyAlignment="1">
      <alignment horizontal="center" vertical="center"/>
    </xf>
    <xf numFmtId="0" fontId="83" fillId="9" borderId="7" xfId="0" applyFont="1" applyFill="1" applyBorder="1" applyAlignment="1">
      <alignment horizontal="center" vertical="center"/>
    </xf>
    <xf numFmtId="0" fontId="92" fillId="0" borderId="0" xfId="0" applyFont="1" applyFill="1" applyBorder="1">
      <alignment vertical="center"/>
    </xf>
    <xf numFmtId="0" fontId="81" fillId="0" borderId="0" xfId="0" applyFont="1" applyFill="1" applyBorder="1" applyAlignment="1">
      <alignment horizontal="distributed" vertical="center" shrinkToFit="1"/>
    </xf>
    <xf numFmtId="38" fontId="81" fillId="0" borderId="0" xfId="0" applyNumberFormat="1" applyFont="1" applyFill="1" applyBorder="1">
      <alignment vertical="center"/>
    </xf>
    <xf numFmtId="0" fontId="92" fillId="0" borderId="0" xfId="0" applyFont="1" applyFill="1" applyBorder="1" applyAlignment="1">
      <alignment horizontal="center" vertical="center"/>
    </xf>
    <xf numFmtId="0" fontId="92" fillId="0" borderId="0" xfId="0" applyFont="1" applyFill="1" applyBorder="1" applyAlignment="1">
      <alignment horizontal="left" vertical="center"/>
    </xf>
    <xf numFmtId="0" fontId="92" fillId="0" borderId="0" xfId="0" applyFont="1" applyFill="1" applyBorder="1" applyAlignment="1">
      <alignment horizontal="center" vertical="center" shrinkToFit="1"/>
    </xf>
    <xf numFmtId="0" fontId="92" fillId="0" borderId="0" xfId="0" applyFont="1" applyFill="1" applyBorder="1" applyAlignment="1">
      <alignment horizontal="distributed" vertical="center"/>
    </xf>
    <xf numFmtId="38" fontId="92" fillId="0" borderId="0" xfId="0" applyNumberFormat="1" applyFont="1" applyFill="1" applyBorder="1" applyAlignment="1">
      <alignment vertical="center" shrinkToFit="1"/>
    </xf>
    <xf numFmtId="38" fontId="92" fillId="0" borderId="0" xfId="0" applyNumberFormat="1" applyFont="1" applyFill="1" applyBorder="1" applyAlignment="1">
      <alignment vertical="center"/>
    </xf>
    <xf numFmtId="0" fontId="92" fillId="0" borderId="0" xfId="0" applyFont="1" applyFill="1" applyBorder="1" applyAlignment="1">
      <alignment horizontal="distributed" vertical="center" shrinkToFit="1"/>
    </xf>
    <xf numFmtId="0" fontId="92" fillId="0" borderId="0" xfId="0" applyFont="1" applyFill="1" applyBorder="1" applyAlignment="1">
      <alignment horizontal="distributed" vertical="center" wrapText="1" shrinkToFit="1"/>
    </xf>
    <xf numFmtId="0" fontId="80" fillId="0" borderId="52" xfId="0" applyFont="1" applyBorder="1" applyAlignment="1">
      <alignment horizontal="center" vertical="center"/>
    </xf>
    <xf numFmtId="0" fontId="80" fillId="0" borderId="0" xfId="0" applyFont="1" applyAlignment="1">
      <alignment horizontal="left" vertical="center"/>
    </xf>
    <xf numFmtId="0" fontId="39" fillId="0" borderId="0" xfId="0" applyFont="1" applyAlignment="1" applyProtection="1">
      <alignment horizontal="center" vertical="center" shrinkToFit="1"/>
    </xf>
    <xf numFmtId="0" fontId="39" fillId="2" borderId="51" xfId="0" applyFont="1" applyFill="1" applyBorder="1" applyAlignment="1" applyProtection="1">
      <alignment horizontal="center" vertical="center" shrinkToFit="1"/>
      <protection locked="0"/>
    </xf>
    <xf numFmtId="0" fontId="39" fillId="2" borderId="3" xfId="0" applyFont="1" applyFill="1" applyBorder="1" applyAlignment="1" applyProtection="1">
      <alignment horizontal="center" vertical="center" shrinkToFit="1"/>
      <protection locked="0"/>
    </xf>
    <xf numFmtId="0" fontId="39" fillId="2" borderId="6" xfId="0" applyFont="1" applyFill="1" applyBorder="1" applyAlignment="1" applyProtection="1">
      <alignment horizontal="center" vertical="center" shrinkToFit="1"/>
      <protection locked="0"/>
    </xf>
    <xf numFmtId="0" fontId="39" fillId="2" borderId="8" xfId="0" applyFont="1" applyFill="1" applyBorder="1" applyAlignment="1" applyProtection="1">
      <alignment horizontal="center" vertical="center" shrinkToFit="1"/>
      <protection locked="0"/>
    </xf>
    <xf numFmtId="0" fontId="39" fillId="0" borderId="0" xfId="0" applyFont="1" applyAlignment="1" applyProtection="1">
      <alignment vertical="center" shrinkToFit="1"/>
    </xf>
    <xf numFmtId="0" fontId="84" fillId="0" borderId="0" xfId="0" applyFont="1" applyFill="1" applyBorder="1" applyAlignment="1">
      <alignment horizontal="left" vertical="center"/>
    </xf>
    <xf numFmtId="0" fontId="80" fillId="0" borderId="0" xfId="0" applyFont="1" applyFill="1" applyBorder="1" applyAlignment="1">
      <alignment horizontal="left" vertical="center"/>
    </xf>
    <xf numFmtId="0" fontId="80" fillId="0" borderId="0" xfId="0" applyFont="1" applyFill="1" applyBorder="1">
      <alignment vertical="center"/>
    </xf>
    <xf numFmtId="192" fontId="80" fillId="0" borderId="0" xfId="0" applyNumberFormat="1" applyFont="1" applyFill="1" applyBorder="1" applyAlignment="1">
      <alignment horizontal="right" vertical="center"/>
    </xf>
    <xf numFmtId="0" fontId="83" fillId="0" borderId="0" xfId="0" applyFont="1" applyFill="1" applyBorder="1" applyAlignment="1">
      <alignment horizontal="center" vertical="center" shrinkToFit="1"/>
    </xf>
    <xf numFmtId="3" fontId="80" fillId="0" borderId="0" xfId="0" applyNumberFormat="1" applyFont="1" applyFill="1" applyBorder="1">
      <alignment vertical="center"/>
    </xf>
    <xf numFmtId="38" fontId="80" fillId="0" borderId="6" xfId="0" applyNumberFormat="1" applyFont="1" applyFill="1" applyBorder="1">
      <alignment vertical="center"/>
    </xf>
    <xf numFmtId="38" fontId="80" fillId="0" borderId="51" xfId="0" applyNumberFormat="1" applyFont="1" applyFill="1" applyBorder="1">
      <alignment vertical="center"/>
    </xf>
    <xf numFmtId="38" fontId="93" fillId="7" borderId="151" xfId="0" applyNumberFormat="1" applyFont="1" applyFill="1" applyBorder="1" applyAlignment="1">
      <alignment horizontal="center" vertical="center"/>
    </xf>
    <xf numFmtId="38" fontId="93" fillId="10" borderId="51" xfId="0" applyNumberFormat="1" applyFont="1" applyFill="1" applyBorder="1" applyAlignment="1">
      <alignment horizontal="center" vertical="center"/>
    </xf>
    <xf numFmtId="38" fontId="93" fillId="9" borderId="51" xfId="0" applyNumberFormat="1" applyFont="1" applyFill="1" applyBorder="1" applyAlignment="1">
      <alignment horizontal="center" vertical="center"/>
    </xf>
    <xf numFmtId="0" fontId="93" fillId="7" borderId="51" xfId="0" applyFont="1" applyFill="1" applyBorder="1" applyAlignment="1">
      <alignment horizontal="center" vertical="center"/>
    </xf>
    <xf numFmtId="0" fontId="80" fillId="23" borderId="52" xfId="0" applyFont="1" applyFill="1" applyBorder="1" applyAlignment="1">
      <alignment horizontal="center" vertical="center"/>
    </xf>
    <xf numFmtId="0" fontId="80" fillId="23" borderId="53" xfId="0" applyFont="1" applyFill="1" applyBorder="1">
      <alignment vertical="center"/>
    </xf>
    <xf numFmtId="0" fontId="80" fillId="23" borderId="54" xfId="0" applyFont="1" applyFill="1" applyBorder="1">
      <alignment vertical="center"/>
    </xf>
    <xf numFmtId="0" fontId="80" fillId="23" borderId="52" xfId="0" applyFont="1" applyFill="1" applyBorder="1">
      <alignment vertical="center"/>
    </xf>
    <xf numFmtId="38" fontId="93" fillId="7" borderId="51" xfId="0" applyNumberFormat="1" applyFont="1" applyFill="1" applyBorder="1" applyAlignment="1">
      <alignment horizontal="center" vertical="center"/>
    </xf>
    <xf numFmtId="0" fontId="1" fillId="0" borderId="61" xfId="0" applyFont="1" applyBorder="1" applyAlignment="1" applyProtection="1">
      <alignment vertical="center" wrapText="1"/>
    </xf>
    <xf numFmtId="0" fontId="1" fillId="0" borderId="0" xfId="0" applyFont="1" applyAlignment="1" applyProtection="1">
      <alignment vertical="center" wrapText="1"/>
    </xf>
    <xf numFmtId="0" fontId="9" fillId="16" borderId="0" xfId="0" applyFont="1" applyFill="1" applyBorder="1" applyAlignment="1" applyProtection="1">
      <alignment vertical="center"/>
    </xf>
    <xf numFmtId="0" fontId="1" fillId="16" borderId="5" xfId="0" applyFont="1" applyFill="1" applyBorder="1" applyAlignment="1" applyProtection="1">
      <alignment vertical="center"/>
    </xf>
    <xf numFmtId="178" fontId="1" fillId="16" borderId="0" xfId="0" applyNumberFormat="1" applyFont="1" applyFill="1" applyProtection="1">
      <alignment vertical="center"/>
    </xf>
    <xf numFmtId="0" fontId="1" fillId="16" borderId="0" xfId="0" applyFont="1" applyFill="1" applyProtection="1">
      <alignment vertical="center"/>
    </xf>
    <xf numFmtId="178" fontId="9" fillId="16" borderId="0" xfId="0" applyNumberFormat="1" applyFont="1" applyFill="1" applyProtection="1">
      <alignment vertical="center"/>
    </xf>
    <xf numFmtId="38" fontId="1" fillId="0" borderId="3" xfId="0" applyNumberFormat="1" applyFont="1" applyBorder="1" applyAlignment="1" applyProtection="1">
      <alignment horizontal="right" vertical="center"/>
    </xf>
    <xf numFmtId="0" fontId="1" fillId="3" borderId="19" xfId="0" applyFont="1" applyFill="1" applyBorder="1" applyAlignment="1" applyProtection="1">
      <alignment horizontal="distributed" vertical="center"/>
    </xf>
    <xf numFmtId="0" fontId="1" fillId="3" borderId="20" xfId="0" applyFont="1" applyFill="1" applyBorder="1" applyAlignment="1" applyProtection="1">
      <alignment horizontal="distributed" vertical="center"/>
    </xf>
    <xf numFmtId="0" fontId="1" fillId="0" borderId="15" xfId="0" applyFont="1" applyFill="1" applyBorder="1" applyAlignment="1" applyProtection="1">
      <alignment horizontal="center" vertical="center"/>
    </xf>
    <xf numFmtId="0" fontId="1" fillId="0" borderId="17" xfId="0" applyFont="1" applyFill="1" applyBorder="1" applyAlignment="1" applyProtection="1">
      <alignment horizontal="center" vertical="center"/>
    </xf>
    <xf numFmtId="0" fontId="12" fillId="9" borderId="3" xfId="0" applyFont="1" applyFill="1" applyBorder="1" applyAlignment="1" applyProtection="1">
      <alignment horizontal="distributed" vertical="center"/>
      <protection locked="0"/>
    </xf>
    <xf numFmtId="0" fontId="12" fillId="9" borderId="34" xfId="0" applyFont="1" applyFill="1" applyBorder="1" applyAlignment="1" applyProtection="1">
      <alignment horizontal="distributed" vertical="center"/>
      <protection locked="0"/>
    </xf>
    <xf numFmtId="0" fontId="12" fillId="10" borderId="3" xfId="0" applyFont="1" applyFill="1" applyBorder="1" applyAlignment="1" applyProtection="1">
      <alignment horizontal="distributed" vertical="center"/>
      <protection locked="0"/>
    </xf>
    <xf numFmtId="0" fontId="12" fillId="10" borderId="34" xfId="0" applyFont="1" applyFill="1" applyBorder="1" applyAlignment="1" applyProtection="1">
      <alignment horizontal="distributed" vertical="center"/>
      <protection locked="0"/>
    </xf>
    <xf numFmtId="0" fontId="9" fillId="3" borderId="14" xfId="0" applyFont="1" applyFill="1" applyBorder="1" applyAlignment="1" applyProtection="1">
      <alignment horizontal="center" vertical="center"/>
    </xf>
    <xf numFmtId="0" fontId="9" fillId="3" borderId="17"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3" borderId="16" xfId="0" applyFont="1" applyFill="1" applyBorder="1" applyAlignment="1" applyProtection="1">
      <alignment horizontal="center" vertical="center"/>
    </xf>
    <xf numFmtId="0" fontId="1" fillId="3" borderId="19" xfId="0" applyFont="1" applyFill="1" applyBorder="1" applyAlignment="1" applyProtection="1">
      <alignment horizontal="distributed" vertical="center" wrapText="1"/>
    </xf>
    <xf numFmtId="0" fontId="1" fillId="2" borderId="15"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1" fillId="3" borderId="22" xfId="0" applyFont="1" applyFill="1" applyBorder="1" applyAlignment="1" applyProtection="1">
      <alignment horizontal="center" vertical="center" shrinkToFit="1"/>
    </xf>
    <xf numFmtId="0" fontId="1" fillId="3" borderId="23" xfId="0" applyFont="1" applyFill="1" applyBorder="1" applyAlignment="1" applyProtection="1">
      <alignment horizontal="center" vertical="center" shrinkToFit="1"/>
    </xf>
    <xf numFmtId="0" fontId="1" fillId="4" borderId="15" xfId="0" applyNumberFormat="1" applyFont="1" applyFill="1" applyBorder="1" applyAlignment="1" applyProtection="1">
      <alignment horizontal="center" vertical="center"/>
      <protection locked="0"/>
    </xf>
    <xf numFmtId="0" fontId="1" fillId="4" borderId="18" xfId="0" applyNumberFormat="1"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2" fillId="11" borderId="3" xfId="0" applyFont="1" applyFill="1" applyBorder="1" applyAlignment="1" applyProtection="1">
      <alignment horizontal="distributed" vertical="center"/>
      <protection locked="0"/>
    </xf>
    <xf numFmtId="0" fontId="12" fillId="11" borderId="34" xfId="0" applyFont="1" applyFill="1" applyBorder="1" applyAlignment="1" applyProtection="1">
      <alignment horizontal="distributed" vertical="center"/>
      <protection locked="0"/>
    </xf>
    <xf numFmtId="0" fontId="12" fillId="12" borderId="36" xfId="0" applyFont="1" applyFill="1" applyBorder="1" applyAlignment="1" applyProtection="1">
      <alignment horizontal="distributed" vertical="center"/>
      <protection locked="0"/>
    </xf>
    <xf numFmtId="0" fontId="12" fillId="12" borderId="37" xfId="0" applyFont="1" applyFill="1" applyBorder="1" applyAlignment="1" applyProtection="1">
      <alignment horizontal="distributed" vertical="center"/>
      <protection locked="0"/>
    </xf>
    <xf numFmtId="0" fontId="1" fillId="0" borderId="1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45"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46" xfId="0" applyFont="1" applyBorder="1" applyAlignment="1" applyProtection="1">
      <alignment horizontal="center" vertical="center"/>
    </xf>
    <xf numFmtId="0" fontId="1" fillId="0" borderId="47" xfId="0" applyFont="1" applyBorder="1" applyAlignment="1" applyProtection="1">
      <alignment horizontal="center" vertical="center"/>
    </xf>
    <xf numFmtId="0" fontId="1" fillId="0" borderId="48" xfId="0" applyFont="1" applyBorder="1" applyAlignment="1" applyProtection="1">
      <alignment horizontal="center" vertical="center"/>
    </xf>
    <xf numFmtId="0" fontId="1" fillId="0" borderId="21" xfId="0" applyFont="1" applyBorder="1" applyAlignment="1" applyProtection="1">
      <alignment horizontal="center" vertical="center"/>
    </xf>
    <xf numFmtId="0" fontId="12" fillId="7" borderId="22" xfId="0" applyFont="1" applyFill="1" applyBorder="1" applyAlignment="1" applyProtection="1">
      <alignment horizontal="distributed" vertical="center"/>
      <protection locked="0"/>
    </xf>
    <xf numFmtId="0" fontId="12" fillId="7" borderId="23" xfId="0" applyFont="1" applyFill="1" applyBorder="1" applyAlignment="1" applyProtection="1">
      <alignment horizontal="distributed" vertical="center"/>
      <protection locked="0"/>
    </xf>
    <xf numFmtId="0" fontId="1" fillId="0" borderId="27"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0" borderId="32" xfId="0" applyFont="1" applyFill="1" applyBorder="1" applyAlignment="1" applyProtection="1">
      <alignment horizontal="distributed" vertical="center"/>
    </xf>
    <xf numFmtId="0" fontId="1" fillId="0" borderId="22" xfId="0" applyFont="1" applyFill="1" applyBorder="1" applyAlignment="1" applyProtection="1">
      <alignment horizontal="distributed" vertical="center"/>
    </xf>
    <xf numFmtId="0" fontId="1" fillId="0" borderId="33" xfId="0" applyFont="1" applyFill="1" applyBorder="1" applyAlignment="1" applyProtection="1">
      <alignment horizontal="distributed" vertical="center"/>
    </xf>
    <xf numFmtId="0" fontId="1" fillId="0" borderId="3" xfId="0" applyFont="1" applyFill="1" applyBorder="1" applyAlignment="1" applyProtection="1">
      <alignment horizontal="distributed" vertical="center"/>
    </xf>
    <xf numFmtId="0" fontId="1" fillId="0" borderId="201" xfId="0" applyFont="1" applyFill="1" applyBorder="1" applyAlignment="1" applyProtection="1">
      <alignment horizontal="distributed" vertical="center"/>
    </xf>
    <xf numFmtId="0" fontId="1" fillId="0" borderId="38" xfId="0" applyFont="1" applyFill="1" applyBorder="1" applyAlignment="1" applyProtection="1">
      <alignment horizontal="distributed" vertical="center"/>
    </xf>
    <xf numFmtId="0" fontId="1" fillId="0" borderId="115" xfId="0" applyFont="1" applyFill="1" applyBorder="1" applyAlignment="1" applyProtection="1">
      <alignment horizontal="distributed" vertical="center"/>
    </xf>
    <xf numFmtId="0" fontId="1" fillId="0" borderId="202" xfId="0" applyFont="1" applyFill="1" applyBorder="1" applyAlignment="1" applyProtection="1">
      <alignment horizontal="distributed" vertical="center"/>
    </xf>
    <xf numFmtId="0" fontId="1" fillId="0" borderId="5" xfId="0" applyFont="1" applyFill="1" applyBorder="1" applyAlignment="1" applyProtection="1">
      <alignment horizontal="distributed" vertical="center"/>
    </xf>
    <xf numFmtId="0" fontId="1" fillId="0" borderId="116" xfId="0" applyFont="1" applyFill="1" applyBorder="1" applyAlignment="1" applyProtection="1">
      <alignment horizontal="distributed" vertical="center"/>
    </xf>
    <xf numFmtId="0" fontId="1" fillId="0" borderId="47" xfId="0" applyFont="1" applyFill="1" applyBorder="1" applyAlignment="1" applyProtection="1">
      <alignment horizontal="distributed" vertical="center"/>
    </xf>
    <xf numFmtId="0" fontId="1" fillId="0" borderId="48" xfId="0" applyFont="1" applyFill="1" applyBorder="1" applyAlignment="1" applyProtection="1">
      <alignment horizontal="distributed" vertical="center"/>
    </xf>
    <xf numFmtId="0" fontId="1" fillId="0" borderId="21" xfId="0" applyFont="1" applyFill="1" applyBorder="1" applyAlignment="1" applyProtection="1">
      <alignment horizontal="distributed" vertical="center"/>
    </xf>
    <xf numFmtId="0" fontId="1" fillId="4" borderId="11" xfId="0" applyFont="1" applyFill="1" applyBorder="1" applyAlignment="1" applyProtection="1">
      <alignment horizontal="center" vertical="center"/>
      <protection locked="0"/>
    </xf>
    <xf numFmtId="0" fontId="1" fillId="4" borderId="115" xfId="0" applyFont="1" applyFill="1" applyBorder="1" applyAlignment="1" applyProtection="1">
      <alignment horizontal="center" vertical="center"/>
      <protection locked="0"/>
    </xf>
    <xf numFmtId="0" fontId="1" fillId="4" borderId="203" xfId="0" applyFont="1" applyFill="1" applyBorder="1" applyAlignment="1" applyProtection="1">
      <alignment horizontal="center" vertical="center"/>
      <protection locked="0"/>
    </xf>
    <xf numFmtId="0" fontId="1" fillId="4" borderId="21" xfId="0" applyFont="1" applyFill="1" applyBorder="1" applyAlignment="1" applyProtection="1">
      <alignment horizontal="center" vertical="center"/>
      <protection locked="0"/>
    </xf>
    <xf numFmtId="0" fontId="1" fillId="4" borderId="67" xfId="0" applyFont="1" applyFill="1" applyBorder="1" applyAlignment="1" applyProtection="1">
      <alignment horizontal="center" vertical="center"/>
      <protection locked="0"/>
    </xf>
    <xf numFmtId="0" fontId="1" fillId="4" borderId="116" xfId="0" applyFont="1" applyFill="1" applyBorder="1" applyAlignment="1" applyProtection="1">
      <alignment horizontal="center" vertical="center"/>
      <protection locked="0"/>
    </xf>
    <xf numFmtId="0" fontId="9" fillId="0" borderId="30"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56" xfId="0" applyFont="1" applyBorder="1" applyAlignment="1" applyProtection="1">
      <alignment horizontal="center" vertical="center"/>
    </xf>
    <xf numFmtId="0" fontId="39" fillId="0" borderId="3" xfId="0" applyFont="1" applyBorder="1" applyAlignment="1" applyProtection="1">
      <alignment horizontal="center" vertical="center"/>
    </xf>
    <xf numFmtId="0" fontId="7" fillId="0" borderId="3" xfId="0" applyFont="1" applyBorder="1" applyAlignment="1" applyProtection="1">
      <alignment horizontal="center" vertical="center" wrapText="1" shrinkToFit="1"/>
    </xf>
    <xf numFmtId="0" fontId="7" fillId="0" borderId="3" xfId="0" applyFont="1" applyBorder="1" applyAlignment="1" applyProtection="1">
      <alignment horizontal="center" vertical="center" shrinkToFit="1"/>
    </xf>
    <xf numFmtId="0" fontId="14" fillId="0" borderId="60" xfId="0" applyFont="1" applyBorder="1" applyAlignment="1" applyProtection="1">
      <alignment horizontal="center" vertical="center" textRotation="255"/>
    </xf>
    <xf numFmtId="0" fontId="4" fillId="7" borderId="60" xfId="0" applyFont="1" applyFill="1" applyBorder="1" applyAlignment="1" applyProtection="1">
      <alignment horizontal="center" vertical="center" textRotation="255"/>
    </xf>
    <xf numFmtId="0" fontId="1" fillId="0" borderId="3" xfId="0" applyFont="1" applyBorder="1" applyAlignment="1" applyProtection="1">
      <alignment horizontal="center" vertical="center"/>
    </xf>
    <xf numFmtId="0" fontId="1" fillId="0" borderId="3" xfId="0" applyFont="1" applyBorder="1" applyAlignment="1" applyProtection="1">
      <alignment horizontal="center" vertical="center" textRotation="255"/>
    </xf>
    <xf numFmtId="0" fontId="78" fillId="13" borderId="61" xfId="0" applyFont="1" applyFill="1" applyBorder="1" applyAlignment="1" applyProtection="1">
      <alignment horizontal="center" vertical="center" wrapText="1"/>
    </xf>
    <xf numFmtId="0" fontId="78" fillId="13" borderId="0" xfId="0" applyFont="1" applyFill="1" applyBorder="1" applyAlignment="1" applyProtection="1">
      <alignment horizontal="center" vertical="center" wrapText="1"/>
    </xf>
    <xf numFmtId="0" fontId="6" fillId="13" borderId="8" xfId="0" applyFont="1" applyFill="1" applyBorder="1" applyAlignment="1" applyProtection="1">
      <alignment horizontal="center" vertical="center" wrapText="1"/>
    </xf>
    <xf numFmtId="0" fontId="6" fillId="13" borderId="7" xfId="0" applyFont="1" applyFill="1" applyBorder="1" applyAlignment="1" applyProtection="1">
      <alignment horizontal="center" vertical="center" wrapText="1"/>
    </xf>
    <xf numFmtId="0" fontId="6" fillId="13" borderId="3" xfId="0" applyFont="1" applyFill="1" applyBorder="1" applyAlignment="1" applyProtection="1">
      <alignment horizontal="center" vertical="center" wrapText="1"/>
    </xf>
    <xf numFmtId="0" fontId="4" fillId="10" borderId="60" xfId="0" applyFont="1" applyFill="1" applyBorder="1" applyAlignment="1" applyProtection="1">
      <alignment horizontal="center" vertical="center" textRotation="255"/>
    </xf>
    <xf numFmtId="0" fontId="4" fillId="11" borderId="60" xfId="0" applyFont="1" applyFill="1" applyBorder="1" applyAlignment="1" applyProtection="1">
      <alignment horizontal="center" vertical="center" textRotation="255"/>
    </xf>
    <xf numFmtId="0" fontId="4" fillId="12" borderId="60" xfId="0" applyFont="1" applyFill="1" applyBorder="1" applyAlignment="1" applyProtection="1">
      <alignment horizontal="center" vertical="center" textRotation="255"/>
    </xf>
    <xf numFmtId="0" fontId="1" fillId="0" borderId="1" xfId="0" applyFont="1" applyBorder="1" applyAlignment="1" applyProtection="1">
      <alignment horizontal="center" vertical="center" shrinkToFit="1"/>
    </xf>
    <xf numFmtId="0" fontId="1" fillId="0" borderId="2" xfId="0" applyFont="1" applyBorder="1" applyAlignment="1" applyProtection="1">
      <alignment horizontal="center" vertical="center" shrinkToFit="1"/>
    </xf>
    <xf numFmtId="0" fontId="1" fillId="0" borderId="39" xfId="0" applyFont="1" applyBorder="1" applyAlignment="1" applyProtection="1">
      <alignment horizontal="center" vertical="center" shrinkToFit="1"/>
    </xf>
    <xf numFmtId="0" fontId="107" fillId="0" borderId="30" xfId="0" applyFont="1" applyBorder="1" applyAlignment="1" applyProtection="1">
      <alignment horizontal="center" vertical="center"/>
    </xf>
    <xf numFmtId="0" fontId="107" fillId="0" borderId="9" xfId="0" applyFont="1" applyBorder="1" applyAlignment="1" applyProtection="1">
      <alignment horizontal="center" vertical="center"/>
    </xf>
    <xf numFmtId="0" fontId="107" fillId="0" borderId="56" xfId="0" applyFont="1" applyBorder="1" applyAlignment="1" applyProtection="1">
      <alignment horizontal="center" vertical="center"/>
    </xf>
    <xf numFmtId="0" fontId="108" fillId="0" borderId="30" xfId="0" applyFont="1" applyBorder="1" applyAlignment="1" applyProtection="1">
      <alignment horizontal="center" vertical="center"/>
    </xf>
    <xf numFmtId="0" fontId="108" fillId="0" borderId="9" xfId="0" applyFont="1" applyBorder="1" applyAlignment="1" applyProtection="1">
      <alignment horizontal="center" vertical="center"/>
    </xf>
    <xf numFmtId="0" fontId="108" fillId="0" borderId="56" xfId="0" applyFont="1" applyBorder="1" applyAlignment="1" applyProtection="1">
      <alignment horizontal="center" vertical="center"/>
    </xf>
    <xf numFmtId="0" fontId="4" fillId="9" borderId="60" xfId="0" applyFont="1" applyFill="1" applyBorder="1" applyAlignment="1" applyProtection="1">
      <alignment horizontal="center" vertical="center" textRotation="255"/>
    </xf>
    <xf numFmtId="0" fontId="7" fillId="0" borderId="2" xfId="0" applyFont="1" applyBorder="1" applyAlignment="1" applyProtection="1">
      <alignment horizontal="center" vertical="center" wrapText="1" shrinkToFit="1"/>
    </xf>
    <xf numFmtId="0" fontId="7" fillId="0" borderId="8" xfId="0" applyFont="1" applyBorder="1" applyAlignment="1" applyProtection="1">
      <alignment horizontal="center" vertical="center" shrinkToFit="1"/>
    </xf>
    <xf numFmtId="0" fontId="1" fillId="0" borderId="8" xfId="0" applyFont="1" applyBorder="1" applyAlignment="1" applyProtection="1">
      <alignment horizontal="center" vertical="center" textRotation="255"/>
    </xf>
    <xf numFmtId="0" fontId="1" fillId="0" borderId="7" xfId="0" applyFont="1" applyBorder="1" applyAlignment="1" applyProtection="1">
      <alignment horizontal="center" vertical="center" textRotation="255"/>
    </xf>
    <xf numFmtId="0" fontId="80" fillId="0" borderId="5" xfId="0" applyFont="1" applyBorder="1" applyAlignment="1">
      <alignment horizontal="left" vertical="center" shrinkToFit="1"/>
    </xf>
    <xf numFmtId="0" fontId="80" fillId="0" borderId="0" xfId="0" applyFont="1" applyBorder="1" applyAlignment="1">
      <alignment horizontal="left" vertical="center" shrinkToFit="1"/>
    </xf>
    <xf numFmtId="0" fontId="56" fillId="0" borderId="58" xfId="0" applyFont="1" applyBorder="1" applyAlignment="1" applyProtection="1">
      <alignment horizontal="center" vertical="center"/>
    </xf>
    <xf numFmtId="0" fontId="56" fillId="0" borderId="108" xfId="0" applyFont="1" applyBorder="1" applyAlignment="1" applyProtection="1">
      <alignment horizontal="center" vertical="center"/>
    </xf>
    <xf numFmtId="0" fontId="58" fillId="0" borderId="149" xfId="0" applyFont="1" applyBorder="1" applyAlignment="1" applyProtection="1">
      <alignment horizontal="center" vertical="center" wrapText="1"/>
    </xf>
    <xf numFmtId="0" fontId="58" fillId="0" borderId="171" xfId="0" applyFont="1" applyBorder="1" applyAlignment="1" applyProtection="1">
      <alignment horizontal="center" vertical="center"/>
    </xf>
    <xf numFmtId="0" fontId="39" fillId="0" borderId="149" xfId="0" applyFont="1" applyBorder="1" applyAlignment="1" applyProtection="1">
      <alignment horizontal="center" vertical="center"/>
    </xf>
    <xf numFmtId="0" fontId="39" fillId="0" borderId="171" xfId="0" applyFont="1" applyBorder="1" applyAlignment="1" applyProtection="1">
      <alignment horizontal="center" vertical="center"/>
    </xf>
    <xf numFmtId="0" fontId="56" fillId="0" borderId="72" xfId="0" applyFont="1" applyBorder="1" applyAlignment="1" applyProtection="1">
      <alignment horizontal="center" vertical="center" textRotation="255"/>
    </xf>
    <xf numFmtId="0" fontId="56" fillId="0" borderId="57" xfId="0" applyFont="1" applyBorder="1" applyAlignment="1" applyProtection="1">
      <alignment horizontal="center" vertical="center" textRotation="255"/>
    </xf>
    <xf numFmtId="0" fontId="56" fillId="0" borderId="103" xfId="0" applyFont="1" applyBorder="1" applyAlignment="1" applyProtection="1">
      <alignment horizontal="center" vertical="center" textRotation="255"/>
    </xf>
    <xf numFmtId="0" fontId="39" fillId="0" borderId="51" xfId="0" applyFont="1" applyBorder="1" applyAlignment="1" applyProtection="1">
      <alignment horizontal="center" vertical="center"/>
    </xf>
    <xf numFmtId="0" fontId="39" fillId="0" borderId="6" xfId="0" applyFont="1" applyBorder="1" applyAlignment="1" applyProtection="1">
      <alignment horizontal="center" vertical="center"/>
    </xf>
    <xf numFmtId="0" fontId="39" fillId="0" borderId="42" xfId="0" applyFont="1" applyBorder="1" applyAlignment="1" applyProtection="1">
      <alignment horizontal="center" vertical="center"/>
    </xf>
    <xf numFmtId="0" fontId="39" fillId="0" borderId="43" xfId="0" applyFont="1" applyBorder="1" applyAlignment="1" applyProtection="1">
      <alignment horizontal="center" vertical="center"/>
    </xf>
    <xf numFmtId="0" fontId="39" fillId="0" borderId="49" xfId="0" applyFont="1" applyBorder="1" applyAlignment="1" applyProtection="1">
      <alignment horizontal="center" vertical="center"/>
    </xf>
    <xf numFmtId="0" fontId="39" fillId="0" borderId="151" xfId="0" applyFont="1" applyBorder="1" applyAlignment="1" applyProtection="1">
      <alignment horizontal="center" vertical="center"/>
    </xf>
    <xf numFmtId="0" fontId="39" fillId="0" borderId="152" xfId="0" applyFont="1" applyBorder="1" applyAlignment="1" applyProtection="1">
      <alignment horizontal="center" vertical="center"/>
    </xf>
    <xf numFmtId="0" fontId="39" fillId="0" borderId="51" xfId="0" applyFont="1" applyBorder="1" applyAlignment="1" applyProtection="1">
      <alignment horizontal="center" vertical="center" shrinkToFit="1"/>
    </xf>
    <xf numFmtId="0" fontId="39" fillId="0" borderId="6" xfId="0" applyFont="1" applyBorder="1" applyAlignment="1" applyProtection="1">
      <alignment horizontal="center" vertical="center" shrinkToFit="1"/>
    </xf>
    <xf numFmtId="0" fontId="39" fillId="0" borderId="52" xfId="0" applyFont="1" applyBorder="1" applyAlignment="1" applyProtection="1">
      <alignment horizontal="center" vertical="center"/>
    </xf>
    <xf numFmtId="0" fontId="39" fillId="0" borderId="54" xfId="0" applyFont="1" applyBorder="1" applyAlignment="1" applyProtection="1">
      <alignment horizontal="center" vertical="center"/>
    </xf>
    <xf numFmtId="0" fontId="39" fillId="0" borderId="148" xfId="0" applyFont="1" applyBorder="1" applyAlignment="1" applyProtection="1">
      <alignment horizontal="center" vertical="center"/>
    </xf>
    <xf numFmtId="0" fontId="39" fillId="0" borderId="172" xfId="0" applyFont="1" applyBorder="1" applyAlignment="1" applyProtection="1">
      <alignment horizontal="center" vertical="center"/>
    </xf>
    <xf numFmtId="0" fontId="39" fillId="0" borderId="149" xfId="0" applyFont="1" applyBorder="1" applyAlignment="1" applyProtection="1">
      <alignment horizontal="center" vertical="center" shrinkToFit="1"/>
    </xf>
    <xf numFmtId="0" fontId="39" fillId="0" borderId="171" xfId="0" applyFont="1" applyBorder="1" applyAlignment="1" applyProtection="1">
      <alignment horizontal="center" vertical="center" shrinkToFit="1"/>
    </xf>
    <xf numFmtId="0" fontId="39" fillId="0" borderId="150" xfId="0" applyFont="1" applyBorder="1" applyAlignment="1" applyProtection="1">
      <alignment horizontal="center" vertical="center"/>
    </xf>
    <xf numFmtId="0" fontId="39" fillId="0" borderId="173" xfId="0" applyFont="1" applyBorder="1" applyAlignment="1" applyProtection="1">
      <alignment horizontal="center" vertical="center"/>
    </xf>
    <xf numFmtId="0" fontId="57" fillId="0" borderId="150" xfId="0" applyFont="1" applyBorder="1" applyAlignment="1" applyProtection="1">
      <alignment horizontal="center" vertical="center"/>
    </xf>
    <xf numFmtId="0" fontId="57" fillId="0" borderId="173" xfId="0" applyFont="1" applyBorder="1" applyAlignment="1" applyProtection="1">
      <alignment horizontal="center" vertical="center"/>
    </xf>
    <xf numFmtId="0" fontId="1" fillId="0" borderId="1" xfId="0" applyFont="1" applyBorder="1" applyAlignment="1" applyProtection="1">
      <alignment horizontal="distributed" vertical="center" shrinkToFit="1"/>
    </xf>
    <xf numFmtId="0" fontId="1" fillId="0" borderId="39" xfId="0" applyFont="1" applyBorder="1" applyAlignment="1" applyProtection="1">
      <alignment horizontal="distributed" vertical="center" shrinkToFit="1"/>
    </xf>
    <xf numFmtId="0" fontId="1" fillId="0" borderId="3" xfId="0" applyFont="1" applyBorder="1" applyAlignment="1" applyProtection="1">
      <alignment horizontal="distributed" vertical="center" shrinkToFit="1"/>
    </xf>
    <xf numFmtId="0" fontId="1" fillId="3" borderId="3" xfId="0" applyFont="1" applyFill="1" applyBorder="1" applyAlignment="1" applyProtection="1">
      <alignment horizontal="center" vertical="center"/>
    </xf>
    <xf numFmtId="0" fontId="1" fillId="0" borderId="7" xfId="0" applyFont="1" applyBorder="1" applyAlignment="1" applyProtection="1">
      <alignment horizontal="distributed" vertical="center" shrinkToFit="1"/>
    </xf>
    <xf numFmtId="0" fontId="1" fillId="0" borderId="8" xfId="0" applyFont="1" applyBorder="1" applyAlignment="1" applyProtection="1">
      <alignment horizontal="distributed" vertical="center" shrinkToFit="1"/>
    </xf>
    <xf numFmtId="0" fontId="1" fillId="0" borderId="42" xfId="0" applyFont="1" applyBorder="1" applyAlignment="1" applyProtection="1">
      <alignment horizontal="center" vertical="center"/>
    </xf>
    <xf numFmtId="0" fontId="1" fillId="0" borderId="43" xfId="0" applyFont="1" applyBorder="1" applyAlignment="1" applyProtection="1">
      <alignment horizontal="center" vertical="center"/>
    </xf>
    <xf numFmtId="0" fontId="1" fillId="0" borderId="49" xfId="0" applyFont="1" applyBorder="1" applyAlignment="1" applyProtection="1">
      <alignment horizontal="center" vertical="center"/>
    </xf>
    <xf numFmtId="0" fontId="1" fillId="0" borderId="11" xfId="0" applyFont="1" applyBorder="1" applyAlignment="1" applyProtection="1">
      <alignment horizontal="distributed" vertical="center" wrapText="1" shrinkToFit="1"/>
    </xf>
    <xf numFmtId="0" fontId="1" fillId="0" borderId="115" xfId="0" applyFont="1" applyBorder="1" applyAlignment="1" applyProtection="1">
      <alignment horizontal="distributed" vertical="center" wrapText="1" shrinkToFit="1"/>
    </xf>
    <xf numFmtId="0" fontId="1" fillId="0" borderId="61" xfId="0" applyFont="1" applyBorder="1" applyAlignment="1" applyProtection="1">
      <alignment horizontal="distributed" vertical="center" wrapText="1" shrinkToFit="1"/>
    </xf>
    <xf numFmtId="0" fontId="1" fillId="0" borderId="46" xfId="0" applyFont="1" applyBorder="1" applyAlignment="1" applyProtection="1">
      <alignment horizontal="distributed" vertical="center" wrapText="1" shrinkToFit="1"/>
    </xf>
    <xf numFmtId="0" fontId="1" fillId="0" borderId="67" xfId="0" applyFont="1" applyBorder="1" applyAlignment="1" applyProtection="1">
      <alignment horizontal="distributed" vertical="center" wrapText="1" shrinkToFit="1"/>
    </xf>
    <xf numFmtId="0" fontId="1" fillId="0" borderId="116" xfId="0" applyFont="1" applyBorder="1" applyAlignment="1" applyProtection="1">
      <alignment horizontal="distributed" vertical="center" wrapText="1" shrinkToFit="1"/>
    </xf>
    <xf numFmtId="0" fontId="1" fillId="0" borderId="50" xfId="0" applyFont="1" applyBorder="1" applyAlignment="1" applyProtection="1">
      <alignment horizontal="distributed" vertical="center" shrinkToFit="1"/>
    </xf>
    <xf numFmtId="0" fontId="1" fillId="0" borderId="11" xfId="0" applyFont="1" applyBorder="1" applyAlignment="1" applyProtection="1">
      <alignment horizontal="distributed" vertical="center"/>
    </xf>
    <xf numFmtId="0" fontId="1" fillId="0" borderId="115" xfId="0" applyFont="1" applyBorder="1" applyAlignment="1" applyProtection="1">
      <alignment horizontal="distributed" vertical="center"/>
    </xf>
    <xf numFmtId="0" fontId="1" fillId="0" borderId="67" xfId="0" applyFont="1" applyBorder="1" applyAlignment="1" applyProtection="1">
      <alignment horizontal="distributed" vertical="center"/>
    </xf>
    <xf numFmtId="0" fontId="1" fillId="0" borderId="116" xfId="0" applyFont="1" applyBorder="1" applyAlignment="1" applyProtection="1">
      <alignment horizontal="distributed" vertical="center"/>
    </xf>
    <xf numFmtId="0" fontId="1" fillId="0" borderId="11" xfId="0" applyFont="1" applyBorder="1" applyAlignment="1" applyProtection="1">
      <alignment horizontal="distributed" vertical="center" shrinkToFit="1"/>
    </xf>
    <xf numFmtId="0" fontId="1" fillId="0" borderId="115" xfId="0" applyFont="1" applyBorder="1" applyAlignment="1" applyProtection="1">
      <alignment horizontal="distributed" vertical="center" shrinkToFit="1"/>
    </xf>
    <xf numFmtId="0" fontId="1" fillId="0" borderId="61" xfId="0" applyFont="1" applyBorder="1" applyAlignment="1" applyProtection="1">
      <alignment horizontal="distributed" vertical="center" shrinkToFit="1"/>
    </xf>
    <xf numFmtId="0" fontId="1" fillId="0" borderId="46" xfId="0" applyFont="1" applyBorder="1" applyAlignment="1" applyProtection="1">
      <alignment horizontal="distributed" vertical="center" shrinkToFit="1"/>
    </xf>
    <xf numFmtId="0" fontId="1" fillId="0" borderId="67" xfId="0" applyFont="1" applyBorder="1" applyAlignment="1" applyProtection="1">
      <alignment horizontal="distributed" vertical="center" shrinkToFit="1"/>
    </xf>
    <xf numFmtId="0" fontId="1" fillId="0" borderId="116" xfId="0" applyFont="1" applyBorder="1" applyAlignment="1" applyProtection="1">
      <alignment horizontal="distributed" vertical="center" shrinkToFit="1"/>
    </xf>
    <xf numFmtId="183" fontId="69" fillId="0" borderId="8" xfId="1" applyNumberFormat="1" applyFont="1" applyBorder="1" applyAlignment="1">
      <alignment wrapText="1"/>
    </xf>
    <xf numFmtId="183" fontId="69" fillId="0" borderId="50" xfId="1" applyNumberFormat="1" applyFont="1" applyBorder="1" applyAlignment="1">
      <alignment wrapText="1"/>
    </xf>
    <xf numFmtId="186" fontId="69" fillId="0" borderId="61" xfId="1" applyNumberFormat="1" applyFont="1" applyBorder="1" applyAlignment="1">
      <alignment vertical="top" wrapText="1"/>
    </xf>
    <xf numFmtId="186" fontId="69" fillId="0" borderId="67" xfId="1" applyNumberFormat="1" applyFont="1" applyBorder="1" applyAlignment="1">
      <alignment vertical="top" wrapText="1"/>
    </xf>
    <xf numFmtId="186" fontId="69" fillId="0" borderId="126" xfId="1" applyNumberFormat="1" applyFont="1" applyBorder="1" applyAlignment="1">
      <alignment vertical="top" wrapText="1"/>
    </xf>
    <xf numFmtId="186" fontId="69" fillId="0" borderId="139" xfId="1" applyNumberFormat="1" applyFont="1" applyBorder="1" applyAlignment="1">
      <alignment vertical="top" wrapText="1"/>
    </xf>
    <xf numFmtId="186" fontId="69" fillId="0" borderId="46" xfId="1" applyNumberFormat="1" applyFont="1" applyBorder="1" applyAlignment="1">
      <alignment vertical="top" wrapText="1"/>
    </xf>
    <xf numFmtId="186" fontId="69" fillId="0" borderId="116" xfId="1" applyNumberFormat="1" applyFont="1" applyBorder="1" applyAlignment="1">
      <alignment vertical="top" wrapText="1"/>
    </xf>
    <xf numFmtId="186" fontId="69" fillId="0" borderId="50" xfId="1" applyNumberFormat="1" applyFont="1" applyBorder="1" applyAlignment="1">
      <alignment vertical="top" wrapText="1"/>
    </xf>
    <xf numFmtId="183" fontId="69" fillId="0" borderId="11" xfId="1" applyNumberFormat="1" applyFont="1" applyBorder="1" applyAlignment="1">
      <alignment horizontal="center" vertical="center" wrapText="1"/>
    </xf>
    <xf numFmtId="183" fontId="69" fillId="0" borderId="61" xfId="1" applyNumberFormat="1" applyFont="1" applyBorder="1" applyAlignment="1">
      <alignment horizontal="center" vertical="center" wrapText="1"/>
    </xf>
    <xf numFmtId="183" fontId="69" fillId="0" borderId="67" xfId="1" applyNumberFormat="1" applyFont="1" applyBorder="1" applyAlignment="1">
      <alignment horizontal="center" vertical="center" wrapText="1"/>
    </xf>
    <xf numFmtId="183" fontId="69" fillId="0" borderId="131" xfId="1" applyNumberFormat="1" applyFont="1" applyBorder="1" applyAlignment="1">
      <alignment horizontal="center" vertical="center" wrapText="1"/>
    </xf>
    <xf numFmtId="183" fontId="69" fillId="0" borderId="127" xfId="1" applyNumberFormat="1" applyFont="1" applyBorder="1" applyAlignment="1">
      <alignment horizontal="center" vertical="center" wrapText="1"/>
    </xf>
    <xf numFmtId="183" fontId="69" fillId="0" borderId="138" xfId="1" applyNumberFormat="1" applyFont="1" applyBorder="1" applyAlignment="1">
      <alignment horizontal="center" vertical="center" wrapText="1"/>
    </xf>
    <xf numFmtId="183" fontId="69" fillId="0" borderId="8" xfId="1" applyNumberFormat="1" applyFont="1" applyBorder="1" applyAlignment="1">
      <alignment vertical="center" wrapText="1"/>
    </xf>
    <xf numFmtId="183" fontId="69" fillId="0" borderId="7" xfId="1" applyNumberFormat="1" applyFont="1" applyBorder="1" applyAlignment="1">
      <alignment vertical="center" wrapText="1"/>
    </xf>
    <xf numFmtId="183" fontId="69" fillId="0" borderId="8" xfId="1" applyNumberFormat="1" applyFont="1" applyBorder="1">
      <alignment vertical="center"/>
    </xf>
    <xf numFmtId="183" fontId="69" fillId="0" borderId="50" xfId="1" applyNumberFormat="1" applyFont="1" applyBorder="1">
      <alignment vertical="center"/>
    </xf>
    <xf numFmtId="183" fontId="69" fillId="0" borderId="7" xfId="1" applyNumberFormat="1" applyFont="1" applyBorder="1">
      <alignment vertical="center"/>
    </xf>
    <xf numFmtId="185" fontId="69" fillId="0" borderId="8" xfId="1" applyNumberFormat="1" applyFont="1" applyBorder="1">
      <alignment vertical="center"/>
    </xf>
    <xf numFmtId="185" fontId="69" fillId="0" borderId="50" xfId="1" applyNumberFormat="1" applyFont="1" applyBorder="1">
      <alignment vertical="center"/>
    </xf>
    <xf numFmtId="185" fontId="69" fillId="0" borderId="7" xfId="1" applyNumberFormat="1" applyFont="1" applyBorder="1">
      <alignment vertical="center"/>
    </xf>
    <xf numFmtId="183" fontId="69" fillId="0" borderId="11" xfId="1" applyNumberFormat="1" applyFont="1" applyBorder="1" applyAlignment="1">
      <alignment wrapText="1"/>
    </xf>
    <xf numFmtId="183" fontId="69" fillId="0" borderId="61" xfId="1" applyNumberFormat="1" applyFont="1" applyBorder="1" applyAlignment="1">
      <alignment wrapText="1"/>
    </xf>
    <xf numFmtId="183" fontId="69" fillId="0" borderId="132" xfId="1" applyNumberFormat="1" applyFont="1" applyBorder="1" applyAlignment="1">
      <alignment wrapText="1"/>
    </xf>
    <xf numFmtId="183" fontId="69" fillId="0" borderId="126" xfId="1" applyNumberFormat="1" applyFont="1" applyBorder="1" applyAlignment="1">
      <alignment wrapText="1"/>
    </xf>
    <xf numFmtId="186" fontId="69" fillId="0" borderId="7" xfId="1" applyNumberFormat="1" applyFont="1" applyBorder="1" applyAlignment="1">
      <alignment vertical="top" wrapText="1"/>
    </xf>
    <xf numFmtId="183" fontId="69" fillId="0" borderId="115" xfId="1" applyNumberFormat="1" applyFont="1" applyBorder="1" applyAlignment="1">
      <alignment wrapText="1"/>
    </xf>
    <xf numFmtId="183" fontId="69" fillId="0" borderId="46" xfId="1" applyNumberFormat="1" applyFont="1" applyBorder="1" applyAlignment="1">
      <alignment wrapText="1"/>
    </xf>
    <xf numFmtId="186" fontId="69" fillId="0" borderId="50" xfId="1" applyNumberFormat="1" applyFont="1" applyBorder="1" applyAlignment="1">
      <alignment vertical="center" wrapText="1"/>
    </xf>
    <xf numFmtId="183" fontId="69" fillId="0" borderId="50" xfId="1" applyNumberFormat="1" applyFont="1" applyBorder="1" applyAlignment="1">
      <alignment vertical="center" wrapText="1"/>
    </xf>
    <xf numFmtId="185" fontId="69" fillId="0" borderId="46" xfId="1" applyNumberFormat="1" applyFont="1" applyBorder="1" applyAlignment="1">
      <alignment horizontal="center" vertical="center"/>
    </xf>
    <xf numFmtId="183" fontId="69" fillId="0" borderId="7" xfId="1" applyNumberFormat="1" applyFont="1" applyBorder="1" applyAlignment="1">
      <alignment horizontal="center" vertical="center" wrapText="1"/>
    </xf>
    <xf numFmtId="183" fontId="69" fillId="0" borderId="116" xfId="1" applyNumberFormat="1" applyFont="1" applyBorder="1" applyAlignment="1">
      <alignment horizontal="center" vertical="center" wrapText="1"/>
    </xf>
    <xf numFmtId="183" fontId="69" fillId="0" borderId="5" xfId="1" applyNumberFormat="1" applyFont="1" applyBorder="1" applyAlignment="1">
      <alignment horizontal="center" vertical="center" wrapText="1"/>
    </xf>
    <xf numFmtId="183" fontId="69" fillId="0" borderId="7" xfId="1" applyNumberFormat="1" applyFont="1" applyBorder="1" applyAlignment="1">
      <alignment horizontal="center" vertical="center"/>
    </xf>
    <xf numFmtId="3" fontId="69" fillId="0" borderId="121" xfId="1" applyNumberFormat="1" applyFont="1" applyBorder="1" applyAlignment="1">
      <alignment horizontal="center" vertical="center" wrapText="1"/>
    </xf>
    <xf numFmtId="3" fontId="69" fillId="0" borderId="126" xfId="1" applyNumberFormat="1" applyFont="1" applyBorder="1" applyAlignment="1">
      <alignment horizontal="center" vertical="center" wrapText="1"/>
    </xf>
    <xf numFmtId="3" fontId="69" fillId="0" borderId="122" xfId="1" applyNumberFormat="1" applyFont="1" applyBorder="1" applyAlignment="1">
      <alignment horizontal="center" vertical="center" wrapText="1"/>
    </xf>
    <xf numFmtId="3" fontId="69" fillId="0" borderId="127" xfId="1" applyNumberFormat="1" applyFont="1" applyBorder="1" applyAlignment="1">
      <alignment horizontal="center" vertical="center" wrapText="1"/>
    </xf>
    <xf numFmtId="3" fontId="69" fillId="0" borderId="11" xfId="1" applyNumberFormat="1" applyFont="1" applyBorder="1" applyAlignment="1">
      <alignment horizontal="center" vertical="center" wrapText="1"/>
    </xf>
    <xf numFmtId="3" fontId="69" fillId="0" borderId="115" xfId="1" applyNumberFormat="1" applyFont="1" applyBorder="1" applyAlignment="1">
      <alignment horizontal="center" vertical="center" wrapText="1"/>
    </xf>
    <xf numFmtId="3" fontId="69" fillId="0" borderId="8" xfId="1" applyNumberFormat="1" applyFont="1" applyBorder="1" applyAlignment="1">
      <alignment horizontal="center" vertical="center" shrinkToFit="1"/>
    </xf>
    <xf numFmtId="3" fontId="69" fillId="0" borderId="50" xfId="1" applyNumberFormat="1" applyFont="1" applyBorder="1" applyAlignment="1">
      <alignment horizontal="center" vertical="center" shrinkToFit="1"/>
    </xf>
    <xf numFmtId="183" fontId="69" fillId="0" borderId="123" xfId="1" applyNumberFormat="1" applyFont="1" applyBorder="1" applyAlignment="1">
      <alignment horizontal="center" vertical="center" wrapText="1"/>
    </xf>
    <xf numFmtId="183" fontId="69" fillId="0" borderId="124" xfId="1" applyNumberFormat="1" applyFont="1" applyBorder="1" applyAlignment="1">
      <alignment horizontal="center" vertical="center" wrapText="1"/>
    </xf>
    <xf numFmtId="183" fontId="69" fillId="0" borderId="62" xfId="1" applyNumberFormat="1" applyFont="1" applyBorder="1" applyAlignment="1">
      <alignment horizontal="center" vertical="center" wrapText="1"/>
    </xf>
    <xf numFmtId="3" fontId="69" fillId="0" borderId="8" xfId="1" applyNumberFormat="1" applyFont="1" applyBorder="1" applyAlignment="1">
      <alignment horizontal="center" vertical="center" wrapText="1"/>
    </xf>
    <xf numFmtId="3" fontId="69" fillId="0" borderId="50" xfId="1" applyNumberFormat="1" applyFont="1" applyBorder="1" applyAlignment="1">
      <alignment horizontal="center" vertical="center" wrapText="1"/>
    </xf>
    <xf numFmtId="3" fontId="69" fillId="0" borderId="61" xfId="1" applyNumberFormat="1" applyFont="1" applyBorder="1" applyAlignment="1">
      <alignment horizontal="center" vertical="center" wrapText="1"/>
    </xf>
    <xf numFmtId="3" fontId="69" fillId="0" borderId="46" xfId="1" applyNumberFormat="1" applyFont="1" applyBorder="1" applyAlignment="1">
      <alignment horizontal="center" vertical="center" wrapText="1"/>
    </xf>
    <xf numFmtId="3" fontId="69" fillId="0" borderId="117" xfId="1" applyNumberFormat="1" applyFont="1" applyBorder="1" applyAlignment="1">
      <alignment horizontal="center" vertical="center" wrapText="1"/>
    </xf>
    <xf numFmtId="3" fontId="69" fillId="0" borderId="118" xfId="1" applyNumberFormat="1" applyFont="1" applyBorder="1" applyAlignment="1">
      <alignment horizontal="center" vertical="center" wrapText="1"/>
    </xf>
    <xf numFmtId="3" fontId="69" fillId="0" borderId="119" xfId="1" applyNumberFormat="1" applyFont="1" applyBorder="1" applyAlignment="1">
      <alignment horizontal="center" vertical="center" wrapText="1"/>
    </xf>
    <xf numFmtId="3" fontId="69" fillId="0" borderId="3" xfId="1" applyNumberFormat="1" applyFont="1" applyBorder="1" applyAlignment="1">
      <alignment horizontal="center" vertical="center"/>
    </xf>
    <xf numFmtId="182" fontId="69" fillId="0" borderId="3" xfId="1" applyNumberFormat="1" applyFont="1" applyBorder="1" applyAlignment="1">
      <alignment horizontal="center" vertical="center"/>
    </xf>
    <xf numFmtId="3" fontId="69" fillId="0" borderId="1" xfId="1" applyNumberFormat="1" applyFont="1" applyBorder="1" applyAlignment="1">
      <alignment horizontal="center" vertical="center"/>
    </xf>
    <xf numFmtId="3" fontId="70" fillId="0" borderId="50" xfId="1" applyNumberFormat="1" applyFont="1" applyBorder="1" applyAlignment="1">
      <alignment horizontal="center" vertical="center" wrapText="1"/>
    </xf>
    <xf numFmtId="3" fontId="69" fillId="0" borderId="120" xfId="1" applyNumberFormat="1" applyFont="1" applyBorder="1" applyAlignment="1">
      <alignment horizontal="center" vertical="center" wrapText="1"/>
    </xf>
    <xf numFmtId="3" fontId="69" fillId="0" borderId="125" xfId="1" applyNumberFormat="1" applyFont="1" applyBorder="1" applyAlignment="1">
      <alignment horizontal="center" vertical="center" wrapText="1"/>
    </xf>
    <xf numFmtId="3" fontId="69" fillId="0" borderId="11" xfId="1" applyNumberFormat="1" applyFont="1" applyBorder="1" applyAlignment="1">
      <alignment horizontal="center" vertical="center"/>
    </xf>
    <xf numFmtId="3" fontId="69" fillId="0" borderId="115" xfId="1" applyNumberFormat="1" applyFont="1" applyBorder="1" applyAlignment="1">
      <alignment horizontal="center" vertical="center"/>
    </xf>
    <xf numFmtId="3" fontId="69" fillId="0" borderId="61" xfId="1" applyNumberFormat="1" applyFont="1" applyBorder="1" applyAlignment="1">
      <alignment horizontal="center" vertical="center"/>
    </xf>
    <xf numFmtId="3" fontId="69" fillId="0" borderId="46" xfId="1" applyNumberFormat="1" applyFont="1" applyBorder="1" applyAlignment="1">
      <alignment horizontal="center" vertical="center"/>
    </xf>
    <xf numFmtId="3" fontId="69" fillId="0" borderId="8" xfId="1" applyNumberFormat="1" applyFont="1" applyBorder="1" applyAlignment="1">
      <alignment horizontal="center" vertical="center"/>
    </xf>
    <xf numFmtId="3" fontId="69" fillId="0" borderId="3" xfId="1" applyNumberFormat="1" applyFont="1" applyBorder="1" applyAlignment="1">
      <alignment horizontal="center" vertical="center" shrinkToFit="1"/>
    </xf>
    <xf numFmtId="3" fontId="69" fillId="0" borderId="3" xfId="1" applyNumberFormat="1" applyFont="1" applyBorder="1" applyAlignment="1">
      <alignment horizontal="center" vertical="center" wrapText="1"/>
    </xf>
    <xf numFmtId="3" fontId="49" fillId="0" borderId="8" xfId="1" applyNumberFormat="1" applyFont="1" applyBorder="1" applyAlignment="1">
      <alignment horizontal="center" vertical="center" textRotation="255"/>
    </xf>
    <xf numFmtId="3" fontId="49" fillId="0" borderId="50" xfId="1" applyNumberFormat="1" applyFont="1" applyBorder="1" applyAlignment="1">
      <alignment horizontal="center" vertical="center" textRotation="255"/>
    </xf>
    <xf numFmtId="3" fontId="49" fillId="0" borderId="7" xfId="1" applyNumberFormat="1" applyFont="1" applyBorder="1" applyAlignment="1">
      <alignment horizontal="center" vertical="center" textRotation="255"/>
    </xf>
    <xf numFmtId="3" fontId="31" fillId="0" borderId="1" xfId="1" applyNumberFormat="1" applyFont="1" applyFill="1" applyBorder="1" applyAlignment="1">
      <alignment horizontal="center" vertical="center"/>
    </xf>
    <xf numFmtId="3" fontId="31" fillId="0" borderId="2" xfId="1" applyNumberFormat="1" applyFont="1" applyFill="1" applyBorder="1" applyAlignment="1">
      <alignment horizontal="center" vertical="center"/>
    </xf>
    <xf numFmtId="3" fontId="42" fillId="0" borderId="11" xfId="1" applyNumberFormat="1" applyFont="1" applyFill="1" applyBorder="1" applyAlignment="1">
      <alignment horizontal="center" vertical="center" wrapText="1"/>
    </xf>
    <xf numFmtId="3" fontId="42" fillId="0" borderId="115" xfId="1" applyNumberFormat="1" applyFont="1" applyFill="1" applyBorder="1" applyAlignment="1">
      <alignment horizontal="center" vertical="center" wrapText="1"/>
    </xf>
    <xf numFmtId="3" fontId="42" fillId="0" borderId="61" xfId="1" applyNumberFormat="1" applyFont="1" applyFill="1" applyBorder="1" applyAlignment="1">
      <alignment horizontal="center" vertical="center" wrapText="1"/>
    </xf>
    <xf numFmtId="3" fontId="42" fillId="0" borderId="46" xfId="1" applyNumberFormat="1" applyFont="1" applyFill="1" applyBorder="1" applyAlignment="1">
      <alignment horizontal="center" vertical="center" wrapText="1"/>
    </xf>
    <xf numFmtId="3" fontId="42" fillId="0" borderId="117" xfId="1" applyNumberFormat="1" applyFont="1" applyFill="1" applyBorder="1" applyAlignment="1">
      <alignment horizontal="center" vertical="center" wrapText="1"/>
    </xf>
    <xf numFmtId="3" fontId="42" fillId="0" borderId="118" xfId="1" applyNumberFormat="1" applyFont="1" applyFill="1" applyBorder="1" applyAlignment="1">
      <alignment horizontal="center" vertical="center" wrapText="1"/>
    </xf>
    <xf numFmtId="3" fontId="42" fillId="0" borderId="119" xfId="1" applyNumberFormat="1" applyFont="1" applyFill="1" applyBorder="1" applyAlignment="1">
      <alignment horizontal="center" vertical="center" wrapText="1"/>
    </xf>
    <xf numFmtId="3" fontId="42" fillId="0" borderId="8" xfId="1" applyNumberFormat="1" applyFont="1" applyFill="1" applyBorder="1" applyAlignment="1">
      <alignment horizontal="center" vertical="center" wrapText="1"/>
    </xf>
    <xf numFmtId="3" fontId="42" fillId="0" borderId="50" xfId="1" applyNumberFormat="1" applyFont="1" applyFill="1" applyBorder="1" applyAlignment="1">
      <alignment horizontal="center" vertical="center" wrapText="1"/>
    </xf>
    <xf numFmtId="3" fontId="42" fillId="0" borderId="120" xfId="1" applyNumberFormat="1" applyFont="1" applyFill="1" applyBorder="1" applyAlignment="1">
      <alignment horizontal="center" vertical="center" wrapText="1"/>
    </xf>
    <xf numFmtId="3" fontId="42" fillId="0" borderId="125" xfId="1" applyNumberFormat="1" applyFont="1" applyFill="1" applyBorder="1" applyAlignment="1">
      <alignment horizontal="center" vertical="center" wrapText="1"/>
    </xf>
    <xf numFmtId="3" fontId="42" fillId="0" borderId="121" xfId="1" applyNumberFormat="1" applyFont="1" applyFill="1" applyBorder="1" applyAlignment="1">
      <alignment horizontal="center" vertical="center" wrapText="1"/>
    </xf>
    <xf numFmtId="3" fontId="42" fillId="0" borderId="126" xfId="1" applyNumberFormat="1" applyFont="1" applyFill="1" applyBorder="1" applyAlignment="1">
      <alignment horizontal="center" vertical="center" wrapText="1"/>
    </xf>
    <xf numFmtId="3" fontId="42" fillId="0" borderId="122" xfId="1" applyNumberFormat="1" applyFont="1" applyFill="1" applyBorder="1" applyAlignment="1">
      <alignment horizontal="center" vertical="center" wrapText="1"/>
    </xf>
    <xf numFmtId="3" fontId="42" fillId="0" borderId="127" xfId="1" applyNumberFormat="1" applyFont="1" applyFill="1" applyBorder="1" applyAlignment="1">
      <alignment horizontal="center" vertical="center" wrapText="1"/>
    </xf>
    <xf numFmtId="3" fontId="42" fillId="0" borderId="8" xfId="1" applyNumberFormat="1" applyFont="1" applyFill="1" applyBorder="1" applyAlignment="1">
      <alignment horizontal="center" vertical="center" shrinkToFit="1"/>
    </xf>
    <xf numFmtId="3" fontId="42" fillId="0" borderId="50" xfId="1" applyNumberFormat="1" applyFont="1" applyFill="1" applyBorder="1" applyAlignment="1">
      <alignment horizontal="center" vertical="center" shrinkToFit="1"/>
    </xf>
    <xf numFmtId="183" fontId="42" fillId="0" borderId="67" xfId="1" applyNumberFormat="1" applyFont="1" applyFill="1" applyBorder="1" applyAlignment="1">
      <alignment horizontal="center" vertical="center" wrapText="1"/>
    </xf>
    <xf numFmtId="183" fontId="42" fillId="0" borderId="116" xfId="1" applyNumberFormat="1" applyFont="1" applyFill="1" applyBorder="1" applyAlignment="1">
      <alignment horizontal="center" vertical="center" wrapText="1"/>
    </xf>
    <xf numFmtId="183" fontId="42" fillId="0" borderId="61" xfId="1" applyNumberFormat="1" applyFont="1" applyFill="1" applyBorder="1" applyAlignment="1">
      <alignment horizontal="center" vertical="center" wrapText="1"/>
    </xf>
    <xf numFmtId="183" fontId="42" fillId="0" borderId="0" xfId="1" applyNumberFormat="1" applyFont="1" applyFill="1" applyBorder="1" applyAlignment="1">
      <alignment horizontal="center" vertical="center" wrapText="1"/>
    </xf>
    <xf numFmtId="183" fontId="42" fillId="0" borderId="46" xfId="1" applyNumberFormat="1" applyFont="1" applyFill="1" applyBorder="1" applyAlignment="1">
      <alignment horizontal="center" vertical="center" wrapText="1"/>
    </xf>
    <xf numFmtId="3" fontId="31" fillId="0" borderId="11" xfId="1" applyNumberFormat="1" applyFont="1" applyFill="1" applyBorder="1" applyAlignment="1">
      <alignment horizontal="center" vertical="center"/>
    </xf>
    <xf numFmtId="3" fontId="31" fillId="0" borderId="115" xfId="1" applyNumberFormat="1" applyFont="1" applyFill="1" applyBorder="1" applyAlignment="1">
      <alignment horizontal="center" vertical="center"/>
    </xf>
    <xf numFmtId="3" fontId="31" fillId="0" borderId="61" xfId="1" applyNumberFormat="1" applyFont="1" applyFill="1" applyBorder="1" applyAlignment="1">
      <alignment horizontal="center" vertical="center"/>
    </xf>
    <xf numFmtId="3" fontId="31" fillId="0" borderId="46" xfId="1" applyNumberFormat="1" applyFont="1" applyFill="1" applyBorder="1" applyAlignment="1">
      <alignment horizontal="center" vertical="center"/>
    </xf>
    <xf numFmtId="3" fontId="31" fillId="0" borderId="3" xfId="1" applyNumberFormat="1" applyFont="1" applyFill="1" applyBorder="1" applyAlignment="1">
      <alignment horizontal="center" vertical="center"/>
    </xf>
    <xf numFmtId="3" fontId="31" fillId="0" borderId="8" xfId="1" applyNumberFormat="1" applyFont="1" applyFill="1" applyBorder="1" applyAlignment="1">
      <alignment horizontal="center" vertical="center"/>
    </xf>
    <xf numFmtId="3" fontId="31" fillId="0" borderId="153" xfId="1" applyNumberFormat="1" applyFont="1" applyFill="1" applyBorder="1" applyAlignment="1">
      <alignment horizontal="center" vertical="center"/>
    </xf>
    <xf numFmtId="3" fontId="31" fillId="0" borderId="38" xfId="1" applyNumberFormat="1" applyFont="1" applyFill="1" applyBorder="1" applyAlignment="1">
      <alignment horizontal="center" vertical="center"/>
    </xf>
    <xf numFmtId="3" fontId="31" fillId="0" borderId="0" xfId="1" applyNumberFormat="1" applyFont="1" applyFill="1" applyBorder="1" applyAlignment="1">
      <alignment horizontal="center" vertical="center"/>
    </xf>
    <xf numFmtId="3" fontId="49" fillId="0" borderId="11" xfId="1" applyNumberFormat="1" applyFont="1" applyFill="1" applyBorder="1" applyAlignment="1">
      <alignment horizontal="center" vertical="center"/>
    </xf>
    <xf numFmtId="3" fontId="49" fillId="0" borderId="115" xfId="1" applyNumberFormat="1" applyFont="1" applyFill="1" applyBorder="1" applyAlignment="1">
      <alignment horizontal="center" vertical="center"/>
    </xf>
    <xf numFmtId="3" fontId="49" fillId="0" borderId="61" xfId="1" applyNumberFormat="1" applyFont="1" applyFill="1" applyBorder="1" applyAlignment="1">
      <alignment horizontal="center" vertical="center"/>
    </xf>
    <xf numFmtId="3" fontId="49" fillId="0" borderId="46" xfId="1" applyNumberFormat="1" applyFont="1" applyFill="1" applyBorder="1" applyAlignment="1">
      <alignment horizontal="center" vertical="center"/>
    </xf>
    <xf numFmtId="3" fontId="31" fillId="0" borderId="8" xfId="1" applyNumberFormat="1" applyFont="1" applyFill="1" applyBorder="1" applyAlignment="1">
      <alignment horizontal="center" vertical="center" shrinkToFit="1"/>
    </xf>
    <xf numFmtId="3" fontId="31" fillId="0" borderId="50" xfId="1" applyNumberFormat="1" applyFont="1" applyFill="1" applyBorder="1" applyAlignment="1">
      <alignment horizontal="center" vertical="center" shrinkToFit="1"/>
    </xf>
    <xf numFmtId="183" fontId="31" fillId="0" borderId="87" xfId="1" applyNumberFormat="1" applyFont="1" applyFill="1" applyBorder="1" applyAlignment="1">
      <alignment horizontal="center" vertical="center" wrapText="1"/>
    </xf>
    <xf numFmtId="183" fontId="31" fillId="0" borderId="134" xfId="1" applyNumberFormat="1" applyFont="1" applyFill="1" applyBorder="1" applyAlignment="1">
      <alignment horizontal="center" vertical="center" wrapText="1"/>
    </xf>
    <xf numFmtId="183" fontId="31" fillId="0" borderId="63" xfId="1" applyNumberFormat="1" applyFont="1" applyFill="1" applyBorder="1" applyAlignment="1">
      <alignment horizontal="center" vertical="center" wrapText="1"/>
    </xf>
    <xf numFmtId="3" fontId="31" fillId="0" borderId="8" xfId="1" applyNumberFormat="1" applyFont="1" applyFill="1" applyBorder="1" applyAlignment="1">
      <alignment horizontal="center" vertical="center" wrapText="1"/>
    </xf>
    <xf numFmtId="3" fontId="31" fillId="0" borderId="50" xfId="1" applyNumberFormat="1" applyFont="1" applyFill="1" applyBorder="1" applyAlignment="1">
      <alignment horizontal="center" vertical="center" wrapText="1"/>
    </xf>
    <xf numFmtId="183" fontId="31" fillId="0" borderId="67" xfId="1" applyNumberFormat="1" applyFont="1" applyFill="1" applyBorder="1" applyAlignment="1">
      <alignment horizontal="center" vertical="center" wrapText="1"/>
    </xf>
    <xf numFmtId="183" fontId="31" fillId="0" borderId="116" xfId="1" applyNumberFormat="1" applyFont="1" applyFill="1" applyBorder="1" applyAlignment="1">
      <alignment horizontal="center" vertical="center" wrapText="1"/>
    </xf>
    <xf numFmtId="183" fontId="31" fillId="0" borderId="5" xfId="1" applyNumberFormat="1" applyFont="1" applyFill="1" applyBorder="1" applyAlignment="1">
      <alignment horizontal="center" vertical="center" wrapText="1"/>
    </xf>
    <xf numFmtId="183" fontId="31" fillId="0" borderId="50" xfId="1" applyNumberFormat="1" applyFont="1" applyFill="1" applyBorder="1" applyAlignment="1">
      <alignment horizontal="center" vertical="center" wrapText="1"/>
    </xf>
    <xf numFmtId="0" fontId="80" fillId="0" borderId="75" xfId="0" applyFont="1" applyBorder="1" applyAlignment="1">
      <alignment horizontal="center" vertical="center" shrinkToFit="1"/>
    </xf>
    <xf numFmtId="0" fontId="80" fillId="0" borderId="109" xfId="0" applyFont="1" applyBorder="1" applyAlignment="1">
      <alignment horizontal="center" vertical="center" shrinkToFit="1"/>
    </xf>
    <xf numFmtId="0" fontId="80" fillId="0" borderId="76" xfId="0" applyFont="1" applyBorder="1" applyAlignment="1">
      <alignment horizontal="center" vertical="center" shrinkToFit="1"/>
    </xf>
    <xf numFmtId="0" fontId="80" fillId="0" borderId="151" xfId="0" applyFont="1" applyBorder="1" applyAlignment="1">
      <alignment horizontal="center" vertical="center" shrinkToFit="1"/>
    </xf>
    <xf numFmtId="0" fontId="80" fillId="0" borderId="51" xfId="0" applyFont="1" applyBorder="1" applyAlignment="1">
      <alignment horizontal="center" vertical="center" shrinkToFit="1"/>
    </xf>
    <xf numFmtId="0" fontId="80" fillId="0" borderId="52" xfId="0" applyFont="1" applyBorder="1" applyAlignment="1">
      <alignment horizontal="center" vertical="center" shrinkToFit="1"/>
    </xf>
    <xf numFmtId="0" fontId="80" fillId="0" borderId="166" xfId="0" applyFont="1" applyBorder="1" applyAlignment="1">
      <alignment horizontal="center" vertical="center"/>
    </xf>
    <xf numFmtId="0" fontId="80" fillId="0" borderId="220" xfId="0" applyFont="1" applyBorder="1" applyAlignment="1">
      <alignment horizontal="center" vertical="center"/>
    </xf>
    <xf numFmtId="0" fontId="80" fillId="0" borderId="1" xfId="0" applyFont="1" applyBorder="1" applyAlignment="1">
      <alignment horizontal="center" vertical="center" shrinkToFit="1"/>
    </xf>
    <xf numFmtId="0" fontId="80" fillId="0" borderId="39" xfId="0" applyFont="1" applyBorder="1" applyAlignment="1">
      <alignment horizontal="center" vertical="center" shrinkToFit="1"/>
    </xf>
    <xf numFmtId="0" fontId="80" fillId="0" borderId="79" xfId="0" applyFont="1" applyBorder="1" applyAlignment="1">
      <alignment horizontal="center" vertical="center" shrinkToFit="1"/>
    </xf>
    <xf numFmtId="0" fontId="80" fillId="0" borderId="1" xfId="0" applyFont="1" applyFill="1" applyBorder="1" applyAlignment="1">
      <alignment horizontal="center" vertical="center" shrinkToFit="1"/>
    </xf>
    <xf numFmtId="0" fontId="80" fillId="0" borderId="79" xfId="0" applyFont="1" applyFill="1" applyBorder="1" applyAlignment="1">
      <alignment horizontal="center" vertical="center" shrinkToFit="1"/>
    </xf>
    <xf numFmtId="0" fontId="80" fillId="0" borderId="166" xfId="0" applyFont="1" applyFill="1" applyBorder="1" applyAlignment="1">
      <alignment horizontal="center" vertical="center"/>
    </xf>
    <xf numFmtId="0" fontId="80" fillId="0" borderId="220" xfId="0" applyFont="1" applyFill="1" applyBorder="1" applyAlignment="1">
      <alignment horizontal="center" vertical="center"/>
    </xf>
    <xf numFmtId="0" fontId="80" fillId="0" borderId="39" xfId="0" applyFont="1" applyFill="1" applyBorder="1" applyAlignment="1">
      <alignment horizontal="center" vertical="center" shrinkToFit="1"/>
    </xf>
    <xf numFmtId="0" fontId="80" fillId="0" borderId="31" xfId="0" applyFont="1" applyBorder="1" applyAlignment="1">
      <alignment horizontal="center" vertical="center"/>
    </xf>
    <xf numFmtId="0" fontId="80" fillId="0" borderId="3" xfId="0" applyFont="1" applyBorder="1" applyAlignment="1">
      <alignment horizontal="center" vertical="center" shrinkToFit="1"/>
    </xf>
    <xf numFmtId="0" fontId="80" fillId="0" borderId="53" xfId="0" applyFont="1" applyBorder="1" applyAlignment="1">
      <alignment horizontal="center" vertical="center" shrinkToFit="1"/>
    </xf>
    <xf numFmtId="0" fontId="80" fillId="0" borderId="31" xfId="0" applyFont="1" applyBorder="1" applyAlignment="1">
      <alignment horizontal="center" vertical="center" shrinkToFit="1"/>
    </xf>
    <xf numFmtId="0" fontId="80" fillId="0" borderId="166" xfId="0" applyFont="1" applyBorder="1" applyAlignment="1">
      <alignment horizontal="center" vertical="center" shrinkToFit="1"/>
    </xf>
    <xf numFmtId="0" fontId="80" fillId="0" borderId="177" xfId="0" applyFont="1" applyBorder="1" applyAlignment="1">
      <alignment horizontal="center" vertical="center" shrinkToFit="1"/>
    </xf>
    <xf numFmtId="0" fontId="5" fillId="2" borderId="1" xfId="0" applyFont="1" applyFill="1" applyBorder="1" applyAlignment="1" applyProtection="1">
      <alignment horizontal="distributed" vertical="center" shrinkToFit="1"/>
    </xf>
    <xf numFmtId="0" fontId="5" fillId="2" borderId="2" xfId="0" applyFont="1" applyFill="1" applyBorder="1" applyAlignment="1" applyProtection="1">
      <alignment horizontal="distributed" vertical="center" shrinkToFit="1"/>
    </xf>
    <xf numFmtId="0" fontId="24" fillId="0" borderId="8" xfId="0" applyFont="1" applyBorder="1" applyAlignment="1" applyProtection="1">
      <alignment horizontal="center" vertical="center" textRotation="255" shrinkToFit="1"/>
    </xf>
    <xf numFmtId="0" fontId="24" fillId="0" borderId="50" xfId="0" applyFont="1" applyBorder="1" applyAlignment="1" applyProtection="1">
      <alignment horizontal="center" vertical="center" textRotation="255" shrinkToFit="1"/>
    </xf>
    <xf numFmtId="0" fontId="24" fillId="0" borderId="7" xfId="0" applyFont="1" applyBorder="1" applyAlignment="1" applyProtection="1">
      <alignment horizontal="center" vertical="center" textRotation="255" shrinkToFit="1"/>
    </xf>
    <xf numFmtId="0" fontId="29" fillId="2" borderId="3" xfId="0" applyFont="1" applyFill="1" applyBorder="1" applyAlignment="1" applyProtection="1">
      <alignment horizontal="center" vertical="center" textRotation="255" shrinkToFit="1"/>
    </xf>
    <xf numFmtId="0" fontId="5" fillId="2" borderId="8"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shrinkToFit="1"/>
    </xf>
    <xf numFmtId="0" fontId="5" fillId="2" borderId="3" xfId="0" applyFont="1" applyFill="1" applyBorder="1" applyAlignment="1" applyProtection="1">
      <alignment horizontal="center" vertical="center" shrinkToFit="1"/>
    </xf>
    <xf numFmtId="0" fontId="30" fillId="2" borderId="8" xfId="0" applyFont="1" applyFill="1" applyBorder="1" applyAlignment="1" applyProtection="1">
      <alignment horizontal="center" vertical="center" textRotation="255" shrinkToFit="1"/>
    </xf>
    <xf numFmtId="0" fontId="30" fillId="2" borderId="50" xfId="0" applyFont="1" applyFill="1" applyBorder="1" applyAlignment="1" applyProtection="1">
      <alignment horizontal="center" vertical="center" textRotation="255" shrinkToFit="1"/>
    </xf>
    <xf numFmtId="0" fontId="30" fillId="2" borderId="7" xfId="0" applyFont="1" applyFill="1" applyBorder="1" applyAlignment="1" applyProtection="1">
      <alignment horizontal="center" vertical="center" textRotation="255" shrinkToFit="1"/>
    </xf>
    <xf numFmtId="0" fontId="5" fillId="2" borderId="3" xfId="0" applyFont="1" applyFill="1" applyBorder="1" applyAlignment="1" applyProtection="1">
      <alignment horizontal="distributed" vertical="center" shrinkToFit="1"/>
    </xf>
    <xf numFmtId="0" fontId="7" fillId="2" borderId="3" xfId="0" applyFont="1" applyFill="1" applyBorder="1" applyAlignment="1" applyProtection="1">
      <alignment horizontal="center" vertical="center" textRotation="255" shrinkToFit="1"/>
    </xf>
    <xf numFmtId="0" fontId="7" fillId="2" borderId="3" xfId="0" applyFont="1" applyFill="1" applyBorder="1" applyAlignment="1" applyProtection="1">
      <alignment horizontal="distributed" vertical="center" shrinkToFit="1"/>
    </xf>
    <xf numFmtId="0" fontId="5" fillId="0" borderId="3" xfId="0" applyFont="1" applyBorder="1" applyAlignment="1" applyProtection="1">
      <alignment horizontal="distributed" vertical="center" shrinkToFit="1"/>
    </xf>
    <xf numFmtId="0" fontId="25" fillId="0" borderId="8" xfId="0" applyFont="1" applyBorder="1" applyAlignment="1" applyProtection="1">
      <alignment horizontal="center" vertical="center" textRotation="255" shrinkToFit="1"/>
    </xf>
    <xf numFmtId="0" fontId="25" fillId="0" borderId="50" xfId="0" applyFont="1" applyBorder="1" applyAlignment="1" applyProtection="1">
      <alignment horizontal="center" vertical="center" textRotation="255" shrinkToFit="1"/>
    </xf>
    <xf numFmtId="0" fontId="25" fillId="0" borderId="7" xfId="0" applyFont="1" applyBorder="1" applyAlignment="1" applyProtection="1">
      <alignment horizontal="center" vertical="center" textRotation="255" shrinkToFit="1"/>
    </xf>
    <xf numFmtId="0" fontId="25" fillId="2" borderId="3" xfId="0" applyFont="1" applyFill="1" applyBorder="1" applyAlignment="1" applyProtection="1">
      <alignment horizontal="center" vertical="center" textRotation="255" shrinkToFit="1"/>
    </xf>
    <xf numFmtId="0" fontId="28" fillId="0" borderId="0" xfId="0" applyFont="1" applyAlignment="1" applyProtection="1">
      <alignment horizontal="left" vertical="center" shrinkToFit="1"/>
    </xf>
    <xf numFmtId="0" fontId="23" fillId="0" borderId="0" xfId="0" applyFont="1" applyAlignment="1" applyProtection="1">
      <alignment horizontal="left" vertical="center" shrinkToFit="1"/>
    </xf>
    <xf numFmtId="187" fontId="5" fillId="0" borderId="3" xfId="0" applyNumberFormat="1" applyFont="1" applyBorder="1" applyAlignment="1" applyProtection="1">
      <alignment horizontal="center" vertical="center"/>
    </xf>
    <xf numFmtId="187" fontId="5" fillId="0" borderId="151" xfId="0" applyNumberFormat="1" applyFont="1" applyBorder="1" applyAlignment="1" applyProtection="1">
      <alignment horizontal="center" vertical="center" shrinkToFit="1"/>
    </xf>
    <xf numFmtId="187" fontId="5" fillId="0" borderId="51" xfId="0" applyNumberFormat="1" applyFont="1" applyBorder="1" applyAlignment="1" applyProtection="1">
      <alignment horizontal="center" vertical="center" shrinkToFit="1"/>
    </xf>
    <xf numFmtId="187" fontId="5" fillId="0" borderId="152" xfId="0" applyNumberFormat="1" applyFont="1" applyBorder="1" applyAlignment="1" applyProtection="1">
      <alignment horizontal="center" vertical="center" shrinkToFit="1"/>
    </xf>
    <xf numFmtId="187" fontId="5" fillId="0" borderId="182" xfId="0" applyNumberFormat="1" applyFont="1" applyBorder="1" applyAlignment="1" applyProtection="1">
      <alignment horizontal="center" vertical="center" shrinkToFit="1"/>
    </xf>
    <xf numFmtId="38" fontId="5" fillId="0" borderId="30" xfId="0" applyNumberFormat="1" applyFont="1" applyBorder="1" applyAlignment="1" applyProtection="1">
      <alignment horizontal="center" vertical="center" shrinkToFit="1"/>
    </xf>
    <xf numFmtId="38" fontId="5" fillId="0" borderId="9" xfId="0" applyNumberFormat="1" applyFont="1" applyBorder="1" applyAlignment="1" applyProtection="1">
      <alignment horizontal="center" vertical="center" shrinkToFit="1"/>
    </xf>
    <xf numFmtId="38" fontId="5" fillId="0" borderId="56" xfId="0" applyNumberFormat="1" applyFont="1" applyBorder="1" applyAlignment="1" applyProtection="1">
      <alignment horizontal="center" vertical="center" shrinkToFit="1"/>
    </xf>
    <xf numFmtId="0" fontId="5" fillId="4" borderId="3" xfId="0" applyFont="1" applyFill="1" applyBorder="1" applyAlignment="1" applyProtection="1">
      <alignment horizontal="center" vertical="center" shrinkToFit="1"/>
    </xf>
    <xf numFmtId="0" fontId="5" fillId="4" borderId="8" xfId="0" applyFont="1" applyFill="1" applyBorder="1" applyAlignment="1" applyProtection="1">
      <alignment horizontal="distributed" vertical="center" shrinkToFit="1"/>
    </xf>
    <xf numFmtId="0" fontId="5" fillId="4" borderId="7" xfId="0" applyFont="1" applyFill="1" applyBorder="1" applyAlignment="1" applyProtection="1">
      <alignment horizontal="distributed" vertical="center" shrinkToFit="1"/>
    </xf>
    <xf numFmtId="0" fontId="5" fillId="4" borderId="8" xfId="0" applyFont="1" applyFill="1" applyBorder="1" applyAlignment="1" applyProtection="1">
      <alignment horizontal="center" vertical="center" wrapText="1" shrinkToFit="1"/>
    </xf>
    <xf numFmtId="0" fontId="5" fillId="4" borderId="50" xfId="0" applyFont="1" applyFill="1" applyBorder="1" applyAlignment="1" applyProtection="1">
      <alignment horizontal="center" vertical="center" shrinkToFit="1"/>
    </xf>
    <xf numFmtId="0" fontId="5" fillId="4" borderId="7" xfId="0" applyFont="1" applyFill="1" applyBorder="1" applyAlignment="1" applyProtection="1">
      <alignment horizontal="center" vertical="center" shrinkToFit="1"/>
    </xf>
    <xf numFmtId="0" fontId="5" fillId="4" borderId="3" xfId="0" applyFont="1" applyFill="1" applyBorder="1" applyAlignment="1" applyProtection="1">
      <alignment horizontal="distributed" vertical="center" shrinkToFit="1"/>
    </xf>
    <xf numFmtId="0" fontId="5" fillId="4" borderId="50" xfId="0" applyFont="1" applyFill="1" applyBorder="1" applyAlignment="1" applyProtection="1">
      <alignment horizontal="center" vertical="center" wrapText="1" shrinkToFit="1"/>
    </xf>
    <xf numFmtId="0" fontId="5" fillId="4" borderId="7" xfId="0" applyFont="1" applyFill="1" applyBorder="1" applyAlignment="1" applyProtection="1">
      <alignment horizontal="center" vertical="center" wrapText="1" shrinkToFit="1"/>
    </xf>
    <xf numFmtId="0" fontId="5" fillId="4" borderId="8" xfId="0" applyFont="1" applyFill="1" applyBorder="1" applyAlignment="1" applyProtection="1">
      <alignment horizontal="center" vertical="center" shrinkToFit="1"/>
    </xf>
    <xf numFmtId="190" fontId="6" fillId="6" borderId="42" xfId="0" applyNumberFormat="1" applyFont="1" applyFill="1" applyBorder="1" applyAlignment="1" applyProtection="1">
      <alignment horizontal="center" vertical="center" shrinkToFit="1"/>
    </xf>
    <xf numFmtId="190" fontId="6" fillId="6" borderId="43" xfId="0" applyNumberFormat="1" applyFont="1" applyFill="1" applyBorder="1" applyAlignment="1" applyProtection="1">
      <alignment horizontal="center" vertical="center" shrinkToFit="1"/>
    </xf>
    <xf numFmtId="190" fontId="6" fillId="6" borderId="49" xfId="0" applyNumberFormat="1" applyFont="1" applyFill="1" applyBorder="1" applyAlignment="1" applyProtection="1">
      <alignment horizontal="center" vertical="center" shrinkToFit="1"/>
    </xf>
    <xf numFmtId="0" fontId="30" fillId="2" borderId="3" xfId="0" applyFont="1" applyFill="1" applyBorder="1" applyAlignment="1" applyProtection="1">
      <alignment horizontal="distributed" vertical="center" shrinkToFit="1"/>
    </xf>
    <xf numFmtId="0" fontId="5" fillId="2" borderId="194" xfId="0" applyFont="1" applyFill="1" applyBorder="1" applyAlignment="1" applyProtection="1">
      <alignment horizontal="center" vertical="center" shrinkToFit="1"/>
    </xf>
    <xf numFmtId="187" fontId="5" fillId="0" borderId="188" xfId="0" applyNumberFormat="1" applyFont="1" applyBorder="1" applyAlignment="1" applyProtection="1">
      <alignment horizontal="center" vertical="center" shrinkToFit="1"/>
    </xf>
    <xf numFmtId="187" fontId="5" fillId="0" borderId="24" xfId="0" applyNumberFormat="1" applyFont="1" applyBorder="1" applyAlignment="1" applyProtection="1">
      <alignment horizontal="center" vertical="center" shrinkToFit="1"/>
    </xf>
    <xf numFmtId="38" fontId="5" fillId="0" borderId="198" xfId="0" applyNumberFormat="1" applyFont="1" applyBorder="1" applyAlignment="1" applyProtection="1">
      <alignment horizontal="center" vertical="center" shrinkToFit="1"/>
    </xf>
    <xf numFmtId="38" fontId="5" fillId="0" borderId="199" xfId="0" applyNumberFormat="1" applyFont="1" applyBorder="1" applyAlignment="1" applyProtection="1">
      <alignment horizontal="center" vertical="center" shrinkToFit="1"/>
    </xf>
    <xf numFmtId="38" fontId="5" fillId="0" borderId="200" xfId="0" applyNumberFormat="1" applyFont="1" applyBorder="1" applyAlignment="1" applyProtection="1">
      <alignment horizontal="center" vertical="center" shrinkToFit="1"/>
    </xf>
    <xf numFmtId="0" fontId="30" fillId="2" borderId="11" xfId="0" applyFont="1" applyFill="1" applyBorder="1" applyAlignment="1" applyProtection="1">
      <alignment horizontal="center" vertical="center" shrinkToFit="1"/>
    </xf>
    <xf numFmtId="0" fontId="30" fillId="2" borderId="115" xfId="0" applyFont="1" applyFill="1" applyBorder="1" applyAlignment="1" applyProtection="1">
      <alignment horizontal="center" vertical="center" shrinkToFit="1"/>
    </xf>
    <xf numFmtId="0" fontId="30" fillId="2" borderId="67" xfId="0" applyFont="1" applyFill="1" applyBorder="1" applyAlignment="1" applyProtection="1">
      <alignment horizontal="center" vertical="center" shrinkToFit="1"/>
    </xf>
    <xf numFmtId="0" fontId="30" fillId="2" borderId="116" xfId="0" applyFont="1" applyFill="1" applyBorder="1" applyAlignment="1" applyProtection="1">
      <alignment horizontal="center" vertical="center" shrinkToFit="1"/>
    </xf>
    <xf numFmtId="0" fontId="5" fillId="2" borderId="11" xfId="0" applyFont="1" applyFill="1" applyBorder="1" applyAlignment="1" applyProtection="1">
      <alignment horizontal="center" vertical="center" shrinkToFit="1"/>
    </xf>
    <xf numFmtId="0" fontId="5" fillId="2" borderId="67" xfId="0" applyFont="1" applyFill="1" applyBorder="1" applyAlignment="1" applyProtection="1">
      <alignment horizontal="center" vertical="center" shrinkToFit="1"/>
    </xf>
    <xf numFmtId="0" fontId="1" fillId="0" borderId="62" xfId="0" applyFont="1" applyBorder="1" applyAlignment="1" applyProtection="1">
      <alignment horizontal="left" vertical="center"/>
    </xf>
    <xf numFmtId="0" fontId="1" fillId="0" borderId="63" xfId="0" applyFont="1" applyBorder="1" applyAlignment="1" applyProtection="1">
      <alignment horizontal="left" vertical="center"/>
    </xf>
    <xf numFmtId="178" fontId="1" fillId="0" borderId="44" xfId="0" applyNumberFormat="1" applyFont="1" applyBorder="1" applyAlignment="1" applyProtection="1">
      <alignment horizontal="center" vertical="center" wrapText="1"/>
    </xf>
    <xf numFmtId="178" fontId="1" fillId="0" borderId="77" xfId="0" applyNumberFormat="1" applyFont="1" applyBorder="1" applyAlignment="1" applyProtection="1">
      <alignment horizontal="center" vertical="center" wrapText="1"/>
    </xf>
    <xf numFmtId="0" fontId="1" fillId="0" borderId="44" xfId="0" applyFont="1" applyBorder="1" applyAlignment="1" applyProtection="1">
      <alignment horizontal="center" vertical="center" wrapText="1"/>
    </xf>
    <xf numFmtId="0" fontId="1" fillId="0" borderId="77" xfId="0" applyFont="1" applyBorder="1" applyAlignment="1" applyProtection="1">
      <alignment horizontal="center" vertical="center" wrapText="1"/>
    </xf>
    <xf numFmtId="0" fontId="9" fillId="0" borderId="57" xfId="0" applyFont="1" applyBorder="1" applyAlignment="1" applyProtection="1">
      <alignment horizontal="left" vertical="center"/>
    </xf>
    <xf numFmtId="0" fontId="9" fillId="0" borderId="0" xfId="0" applyFont="1" applyAlignment="1" applyProtection="1">
      <alignment horizontal="left" vertical="center"/>
    </xf>
    <xf numFmtId="0" fontId="18" fillId="0" borderId="75" xfId="0" applyFont="1" applyBorder="1" applyAlignment="1" applyProtection="1">
      <alignment horizontal="right" vertical="center"/>
    </xf>
    <xf numFmtId="0" fontId="18" fillId="0" borderId="109" xfId="0" applyFont="1" applyBorder="1" applyAlignment="1" applyProtection="1">
      <alignment horizontal="right" vertical="center"/>
    </xf>
    <xf numFmtId="0" fontId="18" fillId="0" borderId="110" xfId="0" applyFont="1" applyBorder="1" applyAlignment="1" applyProtection="1">
      <alignment horizontal="right" vertical="center"/>
    </xf>
    <xf numFmtId="0" fontId="18" fillId="0" borderId="111" xfId="0" applyFont="1" applyBorder="1" applyAlignment="1" applyProtection="1">
      <alignment horizontal="right" vertical="center"/>
    </xf>
    <xf numFmtId="0" fontId="18" fillId="0" borderId="112" xfId="0" applyFont="1" applyBorder="1" applyAlignment="1" applyProtection="1">
      <alignment horizontal="right" vertical="center"/>
    </xf>
    <xf numFmtId="0" fontId="18" fillId="0" borderId="113" xfId="0" applyFont="1" applyBorder="1" applyAlignment="1" applyProtection="1">
      <alignment horizontal="right" vertical="center"/>
    </xf>
    <xf numFmtId="0" fontId="1" fillId="0" borderId="1"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0" xfId="0" applyFont="1" applyAlignment="1" applyProtection="1">
      <alignment horizontal="left" vertical="center"/>
    </xf>
    <xf numFmtId="178" fontId="1" fillId="0" borderId="75" xfId="0" applyNumberFormat="1" applyFont="1" applyBorder="1" applyAlignment="1" applyProtection="1">
      <alignment horizontal="center" vertical="center" wrapText="1"/>
    </xf>
    <xf numFmtId="178" fontId="1" fillId="0" borderId="76" xfId="0" applyNumberFormat="1" applyFont="1" applyBorder="1" applyAlignment="1" applyProtection="1">
      <alignment horizontal="center" vertical="center" wrapText="1"/>
    </xf>
    <xf numFmtId="0" fontId="1" fillId="0" borderId="64" xfId="0" applyFont="1" applyBorder="1" applyAlignment="1" applyProtection="1">
      <alignment horizontal="left" vertical="center"/>
    </xf>
    <xf numFmtId="0" fontId="1" fillId="0" borderId="68" xfId="0" applyFont="1" applyBorder="1" applyAlignment="1" applyProtection="1">
      <alignment horizontal="left" vertical="center"/>
    </xf>
    <xf numFmtId="0" fontId="1" fillId="0" borderId="69" xfId="0" applyFont="1" applyBorder="1" applyAlignment="1" applyProtection="1">
      <alignment horizontal="left" vertical="center"/>
    </xf>
    <xf numFmtId="0" fontId="1" fillId="0" borderId="72" xfId="0" applyFont="1" applyBorder="1" applyAlignment="1" applyProtection="1">
      <alignment horizontal="center" vertical="center"/>
    </xf>
    <xf numFmtId="0" fontId="1" fillId="0" borderId="73" xfId="0" applyFont="1" applyBorder="1" applyAlignment="1" applyProtection="1">
      <alignment horizontal="center" vertical="center"/>
    </xf>
    <xf numFmtId="0" fontId="1" fillId="0" borderId="74" xfId="0" applyFont="1" applyBorder="1" applyAlignment="1" applyProtection="1">
      <alignment horizontal="center" vertical="center"/>
    </xf>
    <xf numFmtId="0" fontId="1" fillId="0" borderId="42" xfId="0" applyFont="1" applyBorder="1" applyAlignment="1" applyProtection="1">
      <alignment horizontal="center" vertical="center" wrapText="1"/>
    </xf>
    <xf numFmtId="0" fontId="1" fillId="0" borderId="43" xfId="0" applyFont="1" applyBorder="1" applyAlignment="1" applyProtection="1">
      <alignment horizontal="center" vertical="center" wrapText="1"/>
    </xf>
    <xf numFmtId="0" fontId="1" fillId="0" borderId="49" xfId="0" applyFont="1" applyBorder="1" applyAlignment="1" applyProtection="1">
      <alignment horizontal="center" vertical="center" wrapText="1"/>
    </xf>
    <xf numFmtId="0" fontId="1" fillId="0" borderId="1" xfId="0" applyFont="1" applyBorder="1" applyAlignment="1" applyProtection="1">
      <alignment horizontal="left" vertical="center"/>
    </xf>
    <xf numFmtId="0" fontId="1" fillId="0" borderId="39" xfId="0" applyFont="1" applyBorder="1" applyAlignment="1" applyProtection="1">
      <alignment horizontal="left" vertical="center"/>
    </xf>
    <xf numFmtId="0" fontId="1" fillId="0" borderId="11" xfId="0" applyFont="1" applyBorder="1" applyAlignment="1" applyProtection="1">
      <alignment horizontal="left" vertical="center"/>
    </xf>
    <xf numFmtId="0" fontId="1" fillId="0" borderId="38" xfId="0" applyFont="1" applyBorder="1" applyAlignment="1" applyProtection="1">
      <alignment horizontal="left" vertical="center"/>
    </xf>
    <xf numFmtId="0" fontId="12" fillId="12" borderId="8" xfId="0" applyFont="1" applyFill="1" applyBorder="1" applyAlignment="1" applyProtection="1">
      <alignment horizontal="distributed" vertical="center"/>
    </xf>
    <xf numFmtId="0" fontId="1" fillId="0" borderId="170" xfId="0" applyFont="1" applyBorder="1" applyAlignment="1" applyProtection="1">
      <alignment horizontal="distributed" vertical="center"/>
    </xf>
    <xf numFmtId="0" fontId="8" fillId="8" borderId="8" xfId="0" applyFont="1" applyFill="1" applyBorder="1" applyAlignment="1" applyProtection="1">
      <alignment horizontal="center" vertical="center"/>
    </xf>
    <xf numFmtId="0" fontId="12" fillId="7" borderId="3" xfId="0" applyFont="1" applyFill="1" applyBorder="1" applyAlignment="1" applyProtection="1">
      <alignment horizontal="distributed" vertical="center"/>
    </xf>
    <xf numFmtId="0" fontId="12" fillId="9" borderId="3" xfId="0" applyFont="1" applyFill="1" applyBorder="1" applyAlignment="1" applyProtection="1">
      <alignment horizontal="distributed" vertical="center"/>
    </xf>
    <xf numFmtId="0" fontId="12" fillId="10" borderId="3" xfId="0" applyFont="1" applyFill="1" applyBorder="1" applyAlignment="1" applyProtection="1">
      <alignment horizontal="distributed" vertical="center"/>
    </xf>
    <xf numFmtId="0" fontId="12" fillId="11" borderId="3" xfId="0" applyFont="1" applyFill="1" applyBorder="1" applyAlignment="1" applyProtection="1">
      <alignment horizontal="distributed" vertical="center"/>
    </xf>
    <xf numFmtId="0" fontId="8" fillId="8" borderId="3" xfId="0" applyFont="1" applyFill="1" applyBorder="1" applyAlignment="1" applyProtection="1">
      <alignment horizontal="center" vertical="center"/>
    </xf>
    <xf numFmtId="0" fontId="1" fillId="0" borderId="30" xfId="0" applyFont="1" applyBorder="1" applyAlignment="1" applyProtection="1">
      <alignment horizontal="distributed" vertical="center" shrinkToFit="1"/>
    </xf>
    <xf numFmtId="0" fontId="1" fillId="0" borderId="9" xfId="0" applyFont="1" applyBorder="1" applyAlignment="1" applyProtection="1">
      <alignment horizontal="distributed" vertical="center" shrinkToFit="1"/>
    </xf>
    <xf numFmtId="0" fontId="1" fillId="0" borderId="3" xfId="0" applyFont="1" applyBorder="1" applyAlignment="1" applyProtection="1">
      <alignment horizontal="distributed" vertical="center"/>
    </xf>
    <xf numFmtId="0" fontId="1" fillId="0" borderId="3" xfId="0" applyFont="1" applyBorder="1" applyProtection="1">
      <alignment vertical="center"/>
    </xf>
    <xf numFmtId="0" fontId="1" fillId="0" borderId="3" xfId="0" applyFont="1" applyBorder="1" applyAlignment="1" applyProtection="1">
      <alignment horizontal="right" vertical="center"/>
    </xf>
    <xf numFmtId="0" fontId="91" fillId="0" borderId="237" xfId="0" applyFont="1" applyBorder="1" applyAlignment="1">
      <alignment horizontal="center" vertical="center"/>
    </xf>
    <xf numFmtId="0" fontId="91" fillId="0" borderId="169" xfId="0" applyFont="1" applyBorder="1" applyAlignment="1">
      <alignment horizontal="center" vertical="center" shrinkToFit="1"/>
    </xf>
    <xf numFmtId="0" fontId="91" fillId="0" borderId="249" xfId="0" applyFont="1" applyBorder="1" applyAlignment="1">
      <alignment horizontal="center" vertical="center" shrinkToFit="1"/>
    </xf>
    <xf numFmtId="0" fontId="91" fillId="0" borderId="259" xfId="0" applyFont="1" applyBorder="1" applyAlignment="1">
      <alignment horizontal="center" vertical="center"/>
    </xf>
    <xf numFmtId="0" fontId="91" fillId="0" borderId="238" xfId="0" applyFont="1" applyBorder="1" applyAlignment="1">
      <alignment horizontal="center" vertical="center" shrinkToFit="1"/>
    </xf>
    <xf numFmtId="0" fontId="91" fillId="0" borderId="254" xfId="0" applyFont="1" applyBorder="1" applyAlignment="1">
      <alignment horizontal="center" vertical="center"/>
    </xf>
    <xf numFmtId="0" fontId="91" fillId="0" borderId="234" xfId="0" applyFont="1" applyBorder="1" applyAlignment="1">
      <alignment horizontal="center" vertical="center" shrinkToFit="1"/>
    </xf>
    <xf numFmtId="0" fontId="91" fillId="0" borderId="235" xfId="0" applyFont="1" applyBorder="1" applyAlignment="1">
      <alignment horizontal="center" vertical="center" shrinkToFit="1"/>
    </xf>
    <xf numFmtId="0" fontId="91" fillId="0" borderId="248" xfId="0" applyFont="1" applyBorder="1" applyAlignment="1">
      <alignment horizontal="center" vertical="center" shrinkToFit="1"/>
    </xf>
    <xf numFmtId="0" fontId="91" fillId="0" borderId="258" xfId="0" applyFont="1" applyBorder="1" applyAlignment="1">
      <alignment horizontal="center" vertical="center" shrinkToFit="1"/>
    </xf>
    <xf numFmtId="0" fontId="91" fillId="0" borderId="236" xfId="0" applyFont="1" applyBorder="1" applyAlignment="1">
      <alignment horizontal="center" vertical="center" shrinkToFit="1"/>
    </xf>
    <xf numFmtId="0" fontId="91" fillId="10" borderId="237" xfId="0" applyFont="1" applyFill="1" applyBorder="1" applyAlignment="1">
      <alignment horizontal="center" vertical="center"/>
    </xf>
    <xf numFmtId="0" fontId="91" fillId="0" borderId="253" xfId="0" applyFont="1" applyBorder="1" applyAlignment="1">
      <alignment horizontal="center" vertical="center" shrinkToFit="1"/>
    </xf>
    <xf numFmtId="0" fontId="5" fillId="0" borderId="2" xfId="0" applyFont="1" applyBorder="1" applyAlignment="1">
      <alignment horizontal="right" vertical="center" shrinkToFit="1"/>
    </xf>
    <xf numFmtId="0" fontId="5" fillId="0" borderId="3" xfId="0" applyFont="1" applyBorder="1" applyAlignment="1">
      <alignment horizontal="right" vertical="center" shrinkToFit="1"/>
    </xf>
    <xf numFmtId="0" fontId="80" fillId="0" borderId="209" xfId="0" applyFont="1" applyBorder="1" applyAlignment="1">
      <alignment horizontal="center" vertical="center" shrinkToFit="1"/>
    </xf>
    <xf numFmtId="0" fontId="80" fillId="0" borderId="208" xfId="0" applyFont="1" applyBorder="1" applyAlignment="1">
      <alignment horizontal="center" vertical="center" shrinkToFit="1"/>
    </xf>
    <xf numFmtId="0" fontId="80" fillId="19" borderId="8" xfId="0" applyFont="1" applyFill="1" applyBorder="1" applyAlignment="1">
      <alignment horizontal="center" vertical="center" shrinkToFit="1"/>
    </xf>
    <xf numFmtId="0" fontId="80" fillId="19" borderId="50" xfId="0" applyFont="1" applyFill="1" applyBorder="1" applyAlignment="1">
      <alignment horizontal="center" vertical="center" shrinkToFit="1"/>
    </xf>
    <xf numFmtId="0" fontId="80" fillId="19" borderId="7" xfId="0" applyFont="1" applyFill="1" applyBorder="1" applyAlignment="1">
      <alignment horizontal="center" vertical="center" shrinkToFit="1"/>
    </xf>
    <xf numFmtId="0" fontId="80" fillId="19" borderId="8" xfId="0" applyFont="1" applyFill="1" applyBorder="1" applyAlignment="1">
      <alignment horizontal="distributed" vertical="center" shrinkToFit="1"/>
    </xf>
    <xf numFmtId="0" fontId="80" fillId="19" borderId="7" xfId="0" applyFont="1" applyFill="1" applyBorder="1" applyAlignment="1">
      <alignment horizontal="distributed" vertical="center" shrinkToFit="1"/>
    </xf>
    <xf numFmtId="38" fontId="80" fillId="0" borderId="8" xfId="0" applyNumberFormat="1" applyFont="1" applyBorder="1" applyAlignment="1">
      <alignment horizontal="right" vertical="center" shrinkToFit="1"/>
    </xf>
    <xf numFmtId="38" fontId="80" fillId="0" borderId="7" xfId="0" applyNumberFormat="1" applyFont="1" applyBorder="1" applyAlignment="1">
      <alignment horizontal="right" vertical="center" shrinkToFit="1"/>
    </xf>
    <xf numFmtId="0" fontId="80" fillId="0" borderId="204" xfId="0" applyFont="1" applyBorder="1" applyAlignment="1">
      <alignment horizontal="center" vertical="center" shrinkToFit="1"/>
    </xf>
    <xf numFmtId="0" fontId="85" fillId="7" borderId="1" xfId="0" applyFont="1" applyFill="1" applyBorder="1" applyAlignment="1">
      <alignment horizontal="center" vertical="center" shrinkToFit="1"/>
    </xf>
    <xf numFmtId="0" fontId="85" fillId="7" borderId="2" xfId="0" applyFont="1" applyFill="1" applyBorder="1" applyAlignment="1">
      <alignment horizontal="center" vertical="center" shrinkToFit="1"/>
    </xf>
    <xf numFmtId="0" fontId="80" fillId="22" borderId="75" xfId="0" applyFont="1" applyFill="1" applyBorder="1" applyAlignment="1">
      <alignment horizontal="center" vertical="center" textRotation="255" shrinkToFit="1"/>
    </xf>
    <xf numFmtId="0" fontId="80" fillId="22" borderId="78" xfId="0" applyFont="1" applyFill="1" applyBorder="1" applyAlignment="1">
      <alignment horizontal="center" vertical="center" textRotation="255" shrinkToFit="1"/>
    </xf>
    <xf numFmtId="0" fontId="80" fillId="22" borderId="111" xfId="0" applyFont="1" applyFill="1" applyBorder="1" applyAlignment="1">
      <alignment horizontal="center" vertical="center" textRotation="255" shrinkToFit="1"/>
    </xf>
    <xf numFmtId="0" fontId="80" fillId="0" borderId="31" xfId="0" applyFont="1" applyBorder="1" applyAlignment="1">
      <alignment horizontal="center" vertical="center" textRotation="255"/>
    </xf>
    <xf numFmtId="0" fontId="80" fillId="0" borderId="152" xfId="0" applyFont="1" applyBorder="1" applyAlignment="1">
      <alignment horizontal="center" vertical="center" textRotation="255"/>
    </xf>
    <xf numFmtId="0" fontId="80" fillId="0" borderId="230" xfId="0" applyFont="1" applyBorder="1" applyAlignment="1">
      <alignment horizontal="center" vertical="center"/>
    </xf>
    <xf numFmtId="0" fontId="91" fillId="16" borderId="253" xfId="0" applyFont="1" applyFill="1" applyBorder="1" applyAlignment="1">
      <alignment horizontal="center" vertical="center" shrinkToFit="1"/>
    </xf>
    <xf numFmtId="0" fontId="91" fillId="16" borderId="235" xfId="0" applyFont="1" applyFill="1" applyBorder="1" applyAlignment="1">
      <alignment horizontal="center" vertical="center" shrinkToFit="1"/>
    </xf>
    <xf numFmtId="0" fontId="91" fillId="16" borderId="236" xfId="0" applyFont="1" applyFill="1" applyBorder="1" applyAlignment="1">
      <alignment horizontal="center" vertical="center" shrinkToFit="1"/>
    </xf>
    <xf numFmtId="0" fontId="91" fillId="16" borderId="254" xfId="0" applyFont="1" applyFill="1" applyBorder="1" applyAlignment="1">
      <alignment horizontal="center" vertical="center"/>
    </xf>
    <xf numFmtId="0" fontId="91" fillId="16" borderId="169" xfId="0" applyFont="1" applyFill="1" applyBorder="1" applyAlignment="1">
      <alignment horizontal="center" vertical="center" shrinkToFit="1"/>
    </xf>
    <xf numFmtId="0" fontId="91" fillId="16" borderId="238" xfId="0" applyFont="1" applyFill="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16" borderId="39" xfId="0" applyFont="1" applyFill="1" applyBorder="1" applyAlignment="1">
      <alignment horizontal="left" vertical="center" shrinkToFit="1"/>
    </xf>
    <xf numFmtId="0" fontId="5" fillId="16" borderId="2" xfId="0" applyFont="1" applyFill="1" applyBorder="1" applyAlignment="1">
      <alignment horizontal="left" vertical="center" shrinkToFit="1"/>
    </xf>
    <xf numFmtId="0" fontId="5" fillId="16" borderId="2" xfId="0" applyFont="1" applyFill="1" applyBorder="1" applyAlignment="1">
      <alignment horizontal="right" vertical="center" shrinkToFit="1"/>
    </xf>
    <xf numFmtId="0" fontId="5" fillId="16" borderId="3" xfId="0" applyFont="1" applyFill="1" applyBorder="1" applyAlignment="1">
      <alignment horizontal="right" vertical="center" shrinkToFit="1"/>
    </xf>
    <xf numFmtId="0" fontId="81" fillId="0" borderId="51" xfId="0" applyFont="1" applyBorder="1" applyAlignment="1">
      <alignment horizontal="center" vertical="center" wrapText="1"/>
    </xf>
    <xf numFmtId="0" fontId="81" fillId="0" borderId="3" xfId="0" applyFont="1" applyBorder="1" applyAlignment="1">
      <alignment horizontal="center" vertical="center" wrapText="1"/>
    </xf>
    <xf numFmtId="0" fontId="81" fillId="0" borderId="205" xfId="0" applyFont="1" applyBorder="1" applyAlignment="1">
      <alignment horizontal="center" vertical="center" wrapText="1"/>
    </xf>
    <xf numFmtId="0" fontId="80" fillId="0" borderId="51" xfId="0" applyFont="1" applyBorder="1" applyAlignment="1">
      <alignment horizontal="center" vertical="center"/>
    </xf>
    <xf numFmtId="0" fontId="80" fillId="0" borderId="3" xfId="0" applyFont="1" applyBorder="1" applyAlignment="1">
      <alignment horizontal="center" vertical="center"/>
    </xf>
    <xf numFmtId="0" fontId="80" fillId="0" borderId="205" xfId="0" applyFont="1" applyBorder="1" applyAlignment="1">
      <alignment horizontal="center" vertical="center"/>
    </xf>
    <xf numFmtId="0" fontId="80" fillId="0" borderId="52" xfId="0" applyFont="1" applyBorder="1" applyAlignment="1">
      <alignment horizontal="center" vertical="center"/>
    </xf>
    <xf numFmtId="0" fontId="80" fillId="0" borderId="53" xfId="0" applyFont="1" applyBorder="1" applyAlignment="1">
      <alignment horizontal="center" vertical="center"/>
    </xf>
    <xf numFmtId="0" fontId="80" fillId="0" borderId="206" xfId="0" applyFont="1" applyBorder="1" applyAlignment="1">
      <alignment horizontal="center" vertical="center"/>
    </xf>
    <xf numFmtId="0" fontId="6" fillId="7" borderId="2" xfId="0" applyFont="1" applyFill="1" applyBorder="1" applyAlignment="1">
      <alignment horizontal="center" vertical="center" shrinkToFit="1"/>
    </xf>
    <xf numFmtId="0" fontId="6" fillId="7" borderId="3" xfId="0" applyFont="1" applyFill="1" applyBorder="1" applyAlignment="1">
      <alignment horizontal="center" vertical="center" shrinkToFit="1"/>
    </xf>
    <xf numFmtId="0" fontId="6" fillId="10" borderId="2" xfId="0" applyFont="1" applyFill="1" applyBorder="1" applyAlignment="1">
      <alignment horizontal="center" vertical="center" shrinkToFit="1"/>
    </xf>
    <xf numFmtId="0" fontId="6" fillId="10" borderId="3" xfId="0" applyFont="1" applyFill="1" applyBorder="1" applyAlignment="1">
      <alignment horizontal="center" vertical="center" shrinkToFit="1"/>
    </xf>
    <xf numFmtId="0" fontId="6" fillId="9" borderId="2" xfId="0" applyFont="1" applyFill="1" applyBorder="1" applyAlignment="1">
      <alignment horizontal="center" vertical="center" shrinkToFit="1"/>
    </xf>
    <xf numFmtId="0" fontId="6" fillId="9" borderId="3" xfId="0" applyFont="1" applyFill="1" applyBorder="1" applyAlignment="1">
      <alignment horizontal="center" vertical="center" shrinkToFit="1"/>
    </xf>
    <xf numFmtId="0" fontId="6" fillId="25" borderId="2" xfId="0" applyFont="1" applyFill="1" applyBorder="1" applyAlignment="1">
      <alignment horizontal="center" vertical="center" shrinkToFit="1"/>
    </xf>
    <xf numFmtId="0" fontId="6" fillId="25" borderId="3" xfId="0" applyFont="1" applyFill="1" applyBorder="1" applyAlignment="1">
      <alignment horizontal="center" vertical="center" shrinkToFit="1"/>
    </xf>
    <xf numFmtId="0" fontId="7" fillId="16" borderId="2" xfId="0" applyFont="1" applyFill="1" applyBorder="1" applyAlignment="1">
      <alignment horizontal="right" vertical="center" shrinkToFit="1"/>
    </xf>
    <xf numFmtId="0" fontId="7" fillId="16" borderId="3" xfId="0" applyFont="1" applyFill="1" applyBorder="1" applyAlignment="1">
      <alignment horizontal="right" vertical="center" shrinkToFit="1"/>
    </xf>
    <xf numFmtId="0" fontId="7" fillId="0" borderId="229" xfId="0" applyFont="1" applyBorder="1" applyAlignment="1">
      <alignment horizontal="center" vertical="center"/>
    </xf>
    <xf numFmtId="0" fontId="7" fillId="0" borderId="228" xfId="0" applyFont="1" applyBorder="1" applyAlignment="1">
      <alignment horizontal="center" vertical="center"/>
    </xf>
    <xf numFmtId="0" fontId="7" fillId="0" borderId="229" xfId="0" applyFont="1" applyBorder="1" applyAlignment="1">
      <alignment horizontal="center" vertical="center" shrinkToFit="1"/>
    </xf>
    <xf numFmtId="0" fontId="7" fillId="0" borderId="228" xfId="0" applyFont="1" applyBorder="1" applyAlignment="1">
      <alignment horizontal="center" vertical="center" shrinkToFit="1"/>
    </xf>
    <xf numFmtId="0" fontId="7" fillId="0" borderId="0" xfId="0" applyFont="1" applyAlignment="1">
      <alignment horizontal="left" vertical="center" shrinkToFit="1"/>
    </xf>
    <xf numFmtId="0" fontId="5" fillId="0" borderId="5" xfId="0" applyFont="1" applyBorder="1" applyAlignment="1">
      <alignment vertical="center" shrinkToFit="1"/>
    </xf>
    <xf numFmtId="0" fontId="7" fillId="2" borderId="183" xfId="0" applyFont="1" applyFill="1" applyBorder="1" applyAlignment="1" applyProtection="1">
      <alignment horizontal="center" vertical="center" textRotation="255" shrinkToFit="1"/>
    </xf>
    <xf numFmtId="0" fontId="7" fillId="2" borderId="1" xfId="0" applyFont="1" applyFill="1" applyBorder="1" applyAlignment="1" applyProtection="1">
      <alignment horizontal="center" vertical="center" textRotation="255" shrinkToFit="1"/>
    </xf>
    <xf numFmtId="0" fontId="7" fillId="2" borderId="182" xfId="0" applyFont="1" applyFill="1" applyBorder="1" applyAlignment="1" applyProtection="1">
      <alignment horizontal="center" vertical="center" textRotation="255" shrinkToFit="1"/>
    </xf>
    <xf numFmtId="0" fontId="80" fillId="0" borderId="148" xfId="0" applyFont="1" applyBorder="1" applyAlignment="1">
      <alignment vertical="center" shrinkToFit="1"/>
    </xf>
    <xf numFmtId="0" fontId="80" fillId="0" borderId="172" xfId="0" applyFont="1" applyBorder="1" applyAlignment="1">
      <alignment vertical="center" shrinkToFit="1"/>
    </xf>
    <xf numFmtId="193" fontId="80" fillId="0" borderId="150" xfId="0" applyNumberFormat="1" applyFont="1" applyBorder="1">
      <alignment vertical="center"/>
    </xf>
    <xf numFmtId="193" fontId="80" fillId="0" borderId="173" xfId="0" applyNumberFormat="1" applyFont="1" applyBorder="1">
      <alignment vertical="center"/>
    </xf>
    <xf numFmtId="0" fontId="5" fillId="0" borderId="39"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9" xfId="0" applyFont="1" applyBorder="1" applyAlignment="1">
      <alignment horizontal="right" vertical="center"/>
    </xf>
    <xf numFmtId="0" fontId="5" fillId="0" borderId="2" xfId="0" applyFont="1" applyBorder="1" applyAlignment="1">
      <alignment horizontal="right" vertical="center"/>
    </xf>
    <xf numFmtId="0" fontId="5" fillId="0" borderId="152" xfId="0" applyFont="1" applyBorder="1" applyAlignment="1" applyProtection="1">
      <alignment horizontal="distributed" vertical="center" shrinkToFit="1"/>
    </xf>
    <xf numFmtId="0" fontId="5" fillId="0" borderId="6" xfId="0" applyFont="1" applyBorder="1" applyAlignment="1" applyProtection="1">
      <alignment horizontal="distributed" vertical="center" shrinkToFit="1"/>
    </xf>
    <xf numFmtId="0" fontId="5" fillId="2" borderId="151" xfId="0" applyFont="1" applyFill="1" applyBorder="1" applyAlignment="1" applyProtection="1">
      <alignment horizontal="center" vertical="center" shrinkToFit="1"/>
    </xf>
    <xf numFmtId="0" fontId="5" fillId="2" borderId="51" xfId="0" applyFont="1" applyFill="1" applyBorder="1" applyAlignment="1" applyProtection="1">
      <alignment horizontal="center" vertical="center" shrinkToFit="1"/>
    </xf>
    <xf numFmtId="0" fontId="5" fillId="2" borderId="31" xfId="0" applyFont="1" applyFill="1" applyBorder="1" applyAlignment="1" applyProtection="1">
      <alignment horizontal="center" vertical="center" shrinkToFit="1"/>
    </xf>
    <xf numFmtId="0" fontId="30" fillId="2" borderId="166" xfId="0" applyFont="1" applyFill="1" applyBorder="1" applyAlignment="1" applyProtection="1">
      <alignment horizontal="center" vertical="center" textRotation="255" shrinkToFit="1"/>
    </xf>
    <xf numFmtId="0" fontId="30" fillId="2" borderId="220" xfId="0" applyFont="1" applyFill="1" applyBorder="1" applyAlignment="1" applyProtection="1">
      <alignment horizontal="center" vertical="center" textRotation="255" shrinkToFit="1"/>
    </xf>
    <xf numFmtId="0" fontId="30" fillId="2" borderId="4" xfId="0" applyFont="1" applyFill="1" applyBorder="1" applyAlignment="1" applyProtection="1">
      <alignment horizontal="center" vertical="center" textRotation="255" shrinkToFit="1"/>
    </xf>
    <xf numFmtId="0" fontId="7" fillId="2" borderId="11" xfId="0" applyFont="1" applyFill="1" applyBorder="1" applyAlignment="1" applyProtection="1">
      <alignment horizontal="center" vertical="center" textRotation="255" shrinkToFit="1"/>
    </xf>
    <xf numFmtId="0" fontId="80" fillId="0" borderId="149" xfId="0" applyFont="1" applyBorder="1" applyAlignment="1">
      <alignment horizontal="center" vertical="center" shrinkToFit="1"/>
    </xf>
    <xf numFmtId="0" fontId="80" fillId="0" borderId="7" xfId="0" applyFont="1" applyBorder="1" applyAlignment="1">
      <alignment horizontal="center" vertical="center" shrinkToFit="1"/>
    </xf>
    <xf numFmtId="0" fontId="79" fillId="0" borderId="174" xfId="0" applyFont="1" applyBorder="1" applyAlignment="1">
      <alignment horizontal="center" vertical="center"/>
    </xf>
    <xf numFmtId="0" fontId="79" fillId="0" borderId="175" xfId="0" applyFont="1" applyBorder="1" applyAlignment="1">
      <alignment horizontal="center" vertical="center"/>
    </xf>
    <xf numFmtId="0" fontId="25" fillId="2" borderId="151" xfId="0" applyFont="1" applyFill="1" applyBorder="1" applyAlignment="1" applyProtection="1">
      <alignment horizontal="center" vertical="center" textRotation="255" shrinkToFit="1"/>
    </xf>
    <xf numFmtId="0" fontId="25" fillId="2" borderId="51" xfId="0" applyFont="1" applyFill="1" applyBorder="1" applyAlignment="1" applyProtection="1">
      <alignment horizontal="center" vertical="center" textRotation="255" shrinkToFit="1"/>
    </xf>
    <xf numFmtId="0" fontId="25" fillId="2" borderId="31" xfId="0" applyFont="1" applyFill="1" applyBorder="1" applyAlignment="1" applyProtection="1">
      <alignment horizontal="center" vertical="center" textRotation="255" shrinkToFit="1"/>
    </xf>
    <xf numFmtId="0" fontId="7" fillId="2" borderId="51" xfId="0" applyFont="1" applyFill="1" applyBorder="1" applyAlignment="1" applyProtection="1">
      <alignment horizontal="center" vertical="center" textRotation="255" shrinkToFit="1"/>
    </xf>
    <xf numFmtId="0" fontId="7" fillId="2" borderId="6" xfId="0" applyFont="1" applyFill="1" applyBorder="1" applyAlignment="1" applyProtection="1">
      <alignment horizontal="center" vertical="center" textRotation="255" shrinkToFit="1"/>
    </xf>
    <xf numFmtId="0" fontId="7" fillId="2" borderId="75" xfId="0" applyFont="1" applyFill="1" applyBorder="1" applyAlignment="1" applyProtection="1">
      <alignment horizontal="distributed" vertical="center" shrinkToFit="1"/>
    </xf>
    <xf numFmtId="0" fontId="7" fillId="2" borderId="76" xfId="0" applyFont="1" applyFill="1" applyBorder="1" applyAlignment="1" applyProtection="1">
      <alignment horizontal="distributed" vertical="center" shrinkToFit="1"/>
    </xf>
    <xf numFmtId="0" fontId="7" fillId="2" borderId="78" xfId="0" applyFont="1" applyFill="1" applyBorder="1" applyAlignment="1" applyProtection="1">
      <alignment horizontal="distributed" vertical="center" shrinkToFit="1"/>
    </xf>
    <xf numFmtId="0" fontId="7" fillId="2" borderId="79" xfId="0" applyFont="1" applyFill="1" applyBorder="1" applyAlignment="1" applyProtection="1">
      <alignment horizontal="distributed" vertical="center" shrinkToFit="1"/>
    </xf>
    <xf numFmtId="0" fontId="7" fillId="2" borderId="111" xfId="0" applyFont="1" applyFill="1" applyBorder="1" applyAlignment="1" applyProtection="1">
      <alignment horizontal="distributed" vertical="center" shrinkToFit="1"/>
    </xf>
    <xf numFmtId="0" fontId="7" fillId="2" borderId="301" xfId="0" applyFont="1" applyFill="1" applyBorder="1" applyAlignment="1" applyProtection="1">
      <alignment horizontal="distributed" vertical="center" shrinkToFit="1"/>
    </xf>
    <xf numFmtId="0" fontId="80" fillId="0" borderId="221" xfId="0" applyFont="1" applyBorder="1" applyAlignment="1">
      <alignment horizontal="center" vertical="center" shrinkToFit="1"/>
    </xf>
    <xf numFmtId="0" fontId="80" fillId="0" borderId="67" xfId="0" applyFont="1" applyBorder="1" applyAlignment="1">
      <alignment horizontal="center" vertical="center" shrinkToFit="1"/>
    </xf>
    <xf numFmtId="0" fontId="80" fillId="0" borderId="222" xfId="0" applyFont="1" applyBorder="1" applyAlignment="1">
      <alignment horizontal="center" vertical="center"/>
    </xf>
    <xf numFmtId="0" fontId="80" fillId="0" borderId="223" xfId="0" applyFont="1" applyBorder="1" applyAlignment="1">
      <alignment horizontal="center" vertical="center"/>
    </xf>
    <xf numFmtId="0" fontId="79" fillId="0" borderId="174" xfId="0" applyFont="1" applyBorder="1" applyAlignment="1">
      <alignment horizontal="center" vertical="center" wrapText="1"/>
    </xf>
    <xf numFmtId="0" fontId="79" fillId="0" borderId="175" xfId="0" applyFont="1" applyBorder="1" applyAlignment="1">
      <alignment horizontal="center" vertical="center" wrapText="1"/>
    </xf>
    <xf numFmtId="0" fontId="84" fillId="0" borderId="0" xfId="0" applyFont="1" applyAlignment="1">
      <alignment horizontal="right" vertical="center"/>
    </xf>
    <xf numFmtId="0" fontId="80" fillId="0" borderId="58" xfId="0" applyFont="1" applyBorder="1" applyAlignment="1">
      <alignment vertical="center" textRotation="255"/>
    </xf>
    <xf numFmtId="0" fontId="80" fillId="0" borderId="224" xfId="0" applyFont="1" applyBorder="1" applyAlignment="1">
      <alignment vertical="center" textRotation="255"/>
    </xf>
    <xf numFmtId="0" fontId="80" fillId="0" borderId="108" xfId="0" applyFont="1" applyBorder="1" applyAlignment="1">
      <alignment vertical="center" textRotation="255"/>
    </xf>
    <xf numFmtId="0" fontId="5" fillId="2" borderId="149" xfId="0" applyFont="1" applyFill="1" applyBorder="1" applyAlignment="1" applyProtection="1">
      <alignment horizontal="center" vertical="center" shrinkToFit="1"/>
    </xf>
    <xf numFmtId="0" fontId="7" fillId="2" borderId="8" xfId="0" applyFont="1" applyFill="1" applyBorder="1" applyAlignment="1" applyProtection="1">
      <alignment horizontal="center" vertical="center" textRotation="255" shrinkToFit="1"/>
    </xf>
    <xf numFmtId="0" fontId="7" fillId="2" borderId="51" xfId="0" applyFont="1" applyFill="1" applyBorder="1" applyAlignment="1" applyProtection="1">
      <alignment horizontal="distributed" vertical="center" shrinkToFit="1"/>
    </xf>
    <xf numFmtId="0" fontId="80" fillId="0" borderId="148" xfId="0" applyFont="1" applyBorder="1" applyAlignment="1">
      <alignment vertical="center" textRotation="255"/>
    </xf>
    <xf numFmtId="0" fontId="80" fillId="0" borderId="220" xfId="0" applyFont="1" applyBorder="1" applyAlignment="1">
      <alignment vertical="center" textRotation="255"/>
    </xf>
    <xf numFmtId="0" fontId="80" fillId="0" borderId="172" xfId="0" applyFont="1" applyBorder="1" applyAlignment="1">
      <alignment vertical="center" textRotation="255"/>
    </xf>
    <xf numFmtId="0" fontId="91" fillId="0" borderId="51" xfId="0" applyFont="1" applyBorder="1" applyAlignment="1">
      <alignment horizontal="center" vertical="center"/>
    </xf>
    <xf numFmtId="0" fontId="91" fillId="0" borderId="3" xfId="0" applyFont="1" applyBorder="1" applyAlignment="1">
      <alignment horizontal="center" vertical="center"/>
    </xf>
    <xf numFmtId="0" fontId="91" fillId="0" borderId="205" xfId="0" applyFont="1" applyBorder="1" applyAlignment="1">
      <alignment horizontal="center" vertical="center"/>
    </xf>
    <xf numFmtId="0" fontId="91" fillId="0" borderId="52" xfId="0" applyFont="1" applyBorder="1" applyAlignment="1">
      <alignment horizontal="center" vertical="center"/>
    </xf>
    <xf numFmtId="0" fontId="91" fillId="0" borderId="53" xfId="0" applyFont="1" applyBorder="1" applyAlignment="1">
      <alignment horizontal="center" vertical="center"/>
    </xf>
    <xf numFmtId="0" fontId="91" fillId="0" borderId="206" xfId="0" applyFont="1" applyBorder="1" applyAlignment="1">
      <alignment horizontal="center" vertical="center"/>
    </xf>
    <xf numFmtId="0" fontId="83" fillId="15" borderId="0" xfId="0" applyFont="1" applyFill="1" applyBorder="1" applyAlignment="1">
      <alignment vertical="center" textRotation="255"/>
    </xf>
    <xf numFmtId="0" fontId="83" fillId="15" borderId="104" xfId="0" applyFont="1" applyFill="1" applyBorder="1" applyAlignment="1">
      <alignment vertical="center" textRotation="255"/>
    </xf>
    <xf numFmtId="0" fontId="80" fillId="0" borderId="3" xfId="0" applyFont="1" applyBorder="1" applyAlignment="1">
      <alignment horizontal="distributed" vertical="center" shrinkToFit="1"/>
    </xf>
    <xf numFmtId="0" fontId="80" fillId="0" borderId="11" xfId="0" applyFont="1" applyBorder="1" applyAlignment="1">
      <alignment horizontal="distributed" vertical="center" shrinkToFit="1"/>
    </xf>
    <xf numFmtId="0" fontId="80" fillId="0" borderId="38" xfId="0" applyFont="1" applyBorder="1" applyAlignment="1">
      <alignment horizontal="distributed" vertical="center" shrinkToFit="1"/>
    </xf>
    <xf numFmtId="0" fontId="80" fillId="0" borderId="61" xfId="0" applyFont="1" applyBorder="1" applyAlignment="1">
      <alignment horizontal="distributed" vertical="center" shrinkToFit="1"/>
    </xf>
    <xf numFmtId="0" fontId="80" fillId="0" borderId="0" xfId="0" applyFont="1" applyBorder="1" applyAlignment="1">
      <alignment horizontal="distributed" vertical="center" shrinkToFit="1"/>
    </xf>
    <xf numFmtId="0" fontId="80" fillId="0" borderId="67" xfId="0" applyFont="1" applyBorder="1" applyAlignment="1">
      <alignment horizontal="distributed" vertical="center" shrinkToFit="1"/>
    </xf>
    <xf numFmtId="0" fontId="80" fillId="0" borderId="5" xfId="0" applyFont="1" applyBorder="1" applyAlignment="1">
      <alignment horizontal="distributed" vertical="center" shrinkToFit="1"/>
    </xf>
    <xf numFmtId="0" fontId="80" fillId="0" borderId="115" xfId="0" applyFont="1" applyBorder="1" applyAlignment="1">
      <alignment horizontal="distributed" vertical="center" shrinkToFit="1"/>
    </xf>
    <xf numFmtId="0" fontId="80" fillId="0" borderId="46" xfId="0" applyFont="1" applyBorder="1" applyAlignment="1">
      <alignment horizontal="distributed" vertical="center" shrinkToFit="1"/>
    </xf>
    <xf numFmtId="0" fontId="80" fillId="0" borderId="116" xfId="0" applyFont="1" applyBorder="1" applyAlignment="1">
      <alignment horizontal="distributed" vertical="center" shrinkToFit="1"/>
    </xf>
    <xf numFmtId="0" fontId="83" fillId="15" borderId="0" xfId="0" applyFont="1" applyFill="1" applyAlignment="1">
      <alignment horizontal="center" vertical="center" textRotation="255" shrinkToFit="1"/>
    </xf>
    <xf numFmtId="0" fontId="85" fillId="15" borderId="0" xfId="0" applyFont="1" applyFill="1" applyAlignment="1">
      <alignment horizontal="center" vertical="center" textRotation="255" shrinkToFit="1"/>
    </xf>
    <xf numFmtId="0" fontId="80" fillId="21" borderId="75" xfId="0" applyFont="1" applyFill="1" applyBorder="1" applyAlignment="1">
      <alignment horizontal="center" vertical="center" textRotation="255" shrinkToFit="1"/>
    </xf>
    <xf numFmtId="0" fontId="80" fillId="21" borderId="78" xfId="0" applyFont="1" applyFill="1" applyBorder="1" applyAlignment="1">
      <alignment horizontal="center" vertical="center" textRotation="255" shrinkToFit="1"/>
    </xf>
    <xf numFmtId="0" fontId="80" fillId="21" borderId="111" xfId="0" applyFont="1" applyFill="1" applyBorder="1" applyAlignment="1">
      <alignment horizontal="center" vertical="center" textRotation="255" shrinkToFit="1"/>
    </xf>
    <xf numFmtId="0" fontId="5" fillId="0" borderId="39" xfId="0" applyFont="1" applyBorder="1" applyAlignment="1">
      <alignment horizontal="left" vertical="center" shrinkToFit="1"/>
    </xf>
    <xf numFmtId="0" fontId="5" fillId="0" borderId="2" xfId="0" applyFont="1" applyBorder="1" applyAlignment="1">
      <alignment horizontal="left" vertical="center" shrinkToFit="1"/>
    </xf>
    <xf numFmtId="0" fontId="96" fillId="0" borderId="272" xfId="0" applyFont="1" applyFill="1" applyBorder="1" applyAlignment="1">
      <alignment horizontal="center" vertical="center"/>
    </xf>
    <xf numFmtId="0" fontId="96" fillId="0" borderId="281" xfId="0" applyFont="1" applyFill="1" applyBorder="1" applyAlignment="1">
      <alignment horizontal="center" vertical="center"/>
    </xf>
    <xf numFmtId="0" fontId="84" fillId="0" borderId="3" xfId="0" applyFont="1" applyBorder="1" applyAlignment="1">
      <alignment horizontal="center" vertical="center"/>
    </xf>
    <xf numFmtId="0" fontId="80" fillId="0" borderId="3" xfId="0" applyFont="1" applyBorder="1" applyAlignment="1">
      <alignment horizontal="right" vertical="center"/>
    </xf>
    <xf numFmtId="38" fontId="80" fillId="0" borderId="149" xfId="0" applyNumberFormat="1" applyFont="1" applyBorder="1">
      <alignment vertical="center"/>
    </xf>
    <xf numFmtId="0" fontId="80" fillId="0" borderId="171" xfId="0" applyFont="1" applyBorder="1">
      <alignment vertical="center"/>
    </xf>
    <xf numFmtId="38" fontId="80" fillId="0" borderId="221" xfId="0" applyNumberFormat="1" applyFont="1" applyBorder="1">
      <alignment vertical="center"/>
    </xf>
    <xf numFmtId="0" fontId="80" fillId="0" borderId="296" xfId="0" applyFont="1" applyBorder="1">
      <alignment vertical="center"/>
    </xf>
    <xf numFmtId="38" fontId="80" fillId="0" borderId="222" xfId="0" applyNumberFormat="1" applyFont="1" applyBorder="1">
      <alignment vertical="center"/>
    </xf>
    <xf numFmtId="0" fontId="80" fillId="0" borderId="297" xfId="0" applyFont="1" applyBorder="1">
      <alignment vertical="center"/>
    </xf>
    <xf numFmtId="0" fontId="103" fillId="27" borderId="0" xfId="0" applyFont="1" applyFill="1" applyAlignment="1">
      <alignment vertical="center" wrapText="1"/>
    </xf>
    <xf numFmtId="0" fontId="95" fillId="0" borderId="264" xfId="0" applyFont="1" applyBorder="1" applyAlignment="1">
      <alignment horizontal="center" vertical="center"/>
    </xf>
    <xf numFmtId="0" fontId="95" fillId="0" borderId="265" xfId="0" applyFont="1" applyBorder="1" applyAlignment="1">
      <alignment horizontal="center" vertical="center"/>
    </xf>
    <xf numFmtId="0" fontId="95" fillId="0" borderId="282" xfId="0" applyFont="1" applyBorder="1" applyAlignment="1">
      <alignment horizontal="center" vertical="center"/>
    </xf>
    <xf numFmtId="0" fontId="95" fillId="0" borderId="266" xfId="0" applyFont="1" applyBorder="1" applyAlignment="1">
      <alignment horizontal="center" vertical="center"/>
    </xf>
    <xf numFmtId="0" fontId="96" fillId="0" borderId="270" xfId="0" applyFont="1" applyBorder="1" applyAlignment="1">
      <alignment horizontal="center" vertical="center" wrapText="1"/>
    </xf>
    <xf numFmtId="0" fontId="96" fillId="0" borderId="279" xfId="0" applyFont="1" applyBorder="1" applyAlignment="1">
      <alignment horizontal="center" vertical="center"/>
    </xf>
    <xf numFmtId="0" fontId="96" fillId="0" borderId="271" xfId="0" applyFont="1" applyBorder="1" applyAlignment="1">
      <alignment horizontal="center" vertical="center"/>
    </xf>
    <xf numFmtId="0" fontId="96" fillId="0" borderId="280" xfId="0" applyFont="1" applyBorder="1" applyAlignment="1">
      <alignment horizontal="center" vertical="center"/>
    </xf>
    <xf numFmtId="0" fontId="96" fillId="0" borderId="271" xfId="0" applyFont="1" applyBorder="1" applyAlignment="1">
      <alignment horizontal="center" vertical="center" shrinkToFit="1"/>
    </xf>
    <xf numFmtId="0" fontId="96" fillId="0" borderId="280" xfId="0" applyFont="1" applyBorder="1" applyAlignment="1">
      <alignment horizontal="center" vertical="center" shrinkToFit="1"/>
    </xf>
    <xf numFmtId="0" fontId="77" fillId="0" borderId="0" xfId="0" applyFont="1" applyAlignment="1">
      <alignment vertical="center" wrapText="1"/>
    </xf>
    <xf numFmtId="38" fontId="100" fillId="0" borderId="298" xfId="0" applyNumberFormat="1" applyFont="1" applyBorder="1" applyAlignment="1">
      <alignment horizontal="center" vertical="center"/>
    </xf>
    <xf numFmtId="38" fontId="100" fillId="0" borderId="299" xfId="0" applyNumberFormat="1" applyFont="1" applyBorder="1" applyAlignment="1">
      <alignment horizontal="center" vertical="center"/>
    </xf>
    <xf numFmtId="0" fontId="98" fillId="0" borderId="0" xfId="0" applyFont="1" applyAlignment="1">
      <alignment horizontal="right" vertical="center"/>
    </xf>
    <xf numFmtId="38" fontId="80" fillId="0" borderId="300" xfId="0" applyNumberFormat="1" applyFont="1" applyBorder="1" applyAlignment="1">
      <alignment horizontal="center" vertical="center"/>
    </xf>
    <xf numFmtId="0" fontId="80" fillId="0" borderId="300" xfId="0" applyFont="1" applyBorder="1" applyAlignment="1">
      <alignment horizontal="center" vertical="center"/>
    </xf>
    <xf numFmtId="38" fontId="80" fillId="0" borderId="0" xfId="0" applyNumberFormat="1" applyFont="1" applyAlignment="1">
      <alignment horizontal="center" vertical="center"/>
    </xf>
    <xf numFmtId="0" fontId="80" fillId="0" borderId="0" xfId="0" applyFont="1" applyAlignment="1">
      <alignment horizontal="center" vertical="center"/>
    </xf>
    <xf numFmtId="0" fontId="97" fillId="0" borderId="72" xfId="0" applyFont="1" applyBorder="1" applyAlignment="1" applyProtection="1">
      <alignment horizontal="center" vertical="center" shrinkToFit="1"/>
    </xf>
    <xf numFmtId="0" fontId="97" fillId="0" borderId="74" xfId="0" applyFont="1" applyBorder="1" applyAlignment="1" applyProtection="1">
      <alignment horizontal="center" vertical="center" shrinkToFit="1"/>
    </xf>
    <xf numFmtId="0" fontId="97" fillId="0" borderId="103" xfId="0" applyFont="1" applyBorder="1" applyAlignment="1" applyProtection="1">
      <alignment horizontal="center" vertical="center" shrinkToFit="1"/>
    </xf>
    <xf numFmtId="0" fontId="97" fillId="0" borderId="289" xfId="0" applyFont="1" applyBorder="1" applyAlignment="1" applyProtection="1">
      <alignment horizontal="center" vertical="center" shrinkToFit="1"/>
    </xf>
    <xf numFmtId="0" fontId="101" fillId="0" borderId="72" xfId="0" applyFont="1" applyBorder="1" applyAlignment="1" applyProtection="1">
      <alignment horizontal="distributed" vertical="center" shrinkToFit="1"/>
    </xf>
    <xf numFmtId="0" fontId="101" fillId="0" borderId="288" xfId="0" applyFont="1" applyBorder="1" applyAlignment="1" applyProtection="1">
      <alignment horizontal="distributed" vertical="center" shrinkToFit="1"/>
    </xf>
    <xf numFmtId="0" fontId="101" fillId="0" borderId="103" xfId="0" applyFont="1" applyBorder="1" applyAlignment="1" applyProtection="1">
      <alignment horizontal="distributed" vertical="center" shrinkToFit="1"/>
    </xf>
    <xf numFmtId="0" fontId="101" fillId="0" borderId="295" xfId="0" applyFont="1" applyBorder="1" applyAlignment="1" applyProtection="1">
      <alignment horizontal="distributed" vertical="center" shrinkToFit="1"/>
    </xf>
    <xf numFmtId="0" fontId="39" fillId="0" borderId="72" xfId="0" applyFont="1" applyBorder="1" applyAlignment="1" applyProtection="1">
      <alignment horizontal="right" vertical="center" shrinkToFit="1"/>
    </xf>
    <xf numFmtId="0" fontId="39" fillId="0" borderId="74" xfId="0" applyFont="1" applyBorder="1" applyAlignment="1" applyProtection="1">
      <alignment horizontal="right" vertical="center" shrinkToFit="1"/>
    </xf>
    <xf numFmtId="0" fontId="39" fillId="0" borderId="103" xfId="0" applyFont="1" applyBorder="1" applyAlignment="1" applyProtection="1">
      <alignment horizontal="right" vertical="center" shrinkToFit="1"/>
    </xf>
    <xf numFmtId="0" fontId="39" fillId="0" borderId="289" xfId="0" applyFont="1" applyBorder="1" applyAlignment="1" applyProtection="1">
      <alignment horizontal="right" vertical="center" shrinkToFit="1"/>
    </xf>
    <xf numFmtId="38" fontId="80" fillId="0" borderId="288" xfId="0" applyNumberFormat="1" applyFont="1" applyBorder="1">
      <alignment vertical="center"/>
    </xf>
    <xf numFmtId="0" fontId="80" fillId="0" borderId="295" xfId="0" applyFont="1" applyBorder="1">
      <alignment vertical="center"/>
    </xf>
    <xf numFmtId="3" fontId="59" fillId="8" borderId="0" xfId="0" applyNumberFormat="1" applyFont="1" applyFill="1" applyAlignment="1">
      <alignment vertical="center" textRotation="255"/>
    </xf>
    <xf numFmtId="3" fontId="59" fillId="8" borderId="115" xfId="0" applyNumberFormat="1" applyFont="1" applyFill="1" applyBorder="1" applyAlignment="1">
      <alignment vertical="center" shrinkToFit="1"/>
    </xf>
    <xf numFmtId="3" fontId="59" fillId="8" borderId="46" xfId="0" applyNumberFormat="1" applyFont="1" applyFill="1" applyBorder="1" applyAlignment="1">
      <alignment vertical="center" shrinkToFit="1"/>
    </xf>
    <xf numFmtId="3" fontId="59" fillId="8" borderId="38" xfId="0" applyNumberFormat="1" applyFont="1" applyFill="1" applyBorder="1" applyAlignment="1">
      <alignment vertical="center" shrinkToFit="1"/>
    </xf>
    <xf numFmtId="3" fontId="59" fillId="8" borderId="0" xfId="0" applyNumberFormat="1" applyFont="1" applyFill="1" applyBorder="1" applyAlignment="1">
      <alignment vertical="center" shrinkToFit="1"/>
    </xf>
    <xf numFmtId="3" fontId="66" fillId="9" borderId="8" xfId="0" applyNumberFormat="1" applyFont="1" applyFill="1" applyBorder="1" applyAlignment="1">
      <alignment horizontal="right" vertical="center" shrinkToFit="1"/>
    </xf>
    <xf numFmtId="3" fontId="66" fillId="9" borderId="7" xfId="0" applyNumberFormat="1" applyFont="1" applyFill="1" applyBorder="1" applyAlignment="1">
      <alignment horizontal="right" vertical="center" shrinkToFit="1"/>
    </xf>
    <xf numFmtId="3" fontId="60" fillId="15" borderId="0" xfId="0" applyNumberFormat="1" applyFont="1" applyFill="1" applyAlignment="1">
      <alignment vertical="distributed" textRotation="255"/>
    </xf>
    <xf numFmtId="3" fontId="61" fillId="15" borderId="0" xfId="0" applyNumberFormat="1" applyFont="1" applyFill="1" applyAlignment="1">
      <alignment vertical="distributed" textRotation="255"/>
    </xf>
    <xf numFmtId="3" fontId="65" fillId="15" borderId="32" xfId="0" applyNumberFormat="1" applyFont="1" applyFill="1" applyBorder="1" applyAlignment="1">
      <alignment horizontal="right" vertical="center"/>
    </xf>
    <xf numFmtId="3" fontId="65" fillId="15" borderId="22" xfId="0" applyNumberFormat="1" applyFont="1" applyFill="1" applyBorder="1" applyAlignment="1">
      <alignment horizontal="right" vertical="center"/>
    </xf>
    <xf numFmtId="3" fontId="65" fillId="15" borderId="27" xfId="0" applyNumberFormat="1" applyFont="1" applyFill="1" applyBorder="1" applyAlignment="1">
      <alignment horizontal="right" vertical="center"/>
    </xf>
    <xf numFmtId="3" fontId="65" fillId="15" borderId="35" xfId="0" applyNumberFormat="1" applyFont="1" applyFill="1" applyBorder="1" applyAlignment="1">
      <alignment horizontal="right" vertical="center"/>
    </xf>
    <xf numFmtId="3" fontId="65" fillId="15" borderId="36" xfId="0" applyNumberFormat="1" applyFont="1" applyFill="1" applyBorder="1" applyAlignment="1">
      <alignment horizontal="right" vertical="center"/>
    </xf>
    <xf numFmtId="3" fontId="65" fillId="15" borderId="24" xfId="0" applyNumberFormat="1" applyFont="1" applyFill="1" applyBorder="1" applyAlignment="1">
      <alignment horizontal="right" vertical="center"/>
    </xf>
    <xf numFmtId="3" fontId="63" fillId="15" borderId="115" xfId="0" applyNumberFormat="1" applyFont="1" applyFill="1" applyBorder="1" applyAlignment="1">
      <alignment vertical="center" wrapText="1" shrinkToFit="1"/>
    </xf>
    <xf numFmtId="3" fontId="63" fillId="15" borderId="46" xfId="0" applyNumberFormat="1" applyFont="1" applyFill="1" applyBorder="1" applyAlignment="1">
      <alignment vertical="center" wrapText="1" shrinkToFit="1"/>
    </xf>
    <xf numFmtId="3" fontId="67" fillId="15" borderId="0" xfId="0" applyNumberFormat="1" applyFont="1" applyFill="1" applyAlignment="1">
      <alignment vertical="distributed" textRotation="255"/>
    </xf>
    <xf numFmtId="3" fontId="67" fillId="15" borderId="148" xfId="0" applyNumberFormat="1" applyFont="1" applyFill="1" applyBorder="1" applyAlignment="1">
      <alignment vertical="center" shrinkToFit="1"/>
    </xf>
    <xf numFmtId="3" fontId="67" fillId="15" borderId="172" xfId="0" applyNumberFormat="1" applyFont="1" applyFill="1" applyBorder="1" applyAlignment="1">
      <alignment vertical="center" shrinkToFit="1"/>
    </xf>
    <xf numFmtId="0" fontId="0" fillId="0" borderId="3" xfId="0" applyBorder="1" applyAlignment="1">
      <alignment horizontal="center" vertical="center"/>
    </xf>
    <xf numFmtId="0" fontId="0" fillId="0" borderId="8" xfId="0" applyBorder="1" applyAlignment="1">
      <alignment horizontal="center"/>
    </xf>
    <xf numFmtId="0" fontId="0" fillId="0" borderId="7" xfId="0" applyBorder="1" applyAlignment="1">
      <alignment horizontal="center"/>
    </xf>
  </cellXfs>
  <cellStyles count="4">
    <cellStyle name="ハイパーリンク" xfId="3" builtinId="8"/>
    <cellStyle name="桁区切り" xfId="2" builtinId="6"/>
    <cellStyle name="標準" xfId="0" builtinId="0"/>
    <cellStyle name="標準 4 2" xfId="1" xr:uid="{9109D8DC-D6B2-453E-AE54-B9DBE6010293}"/>
  </cellStyles>
  <dxfs count="0"/>
  <tableStyles count="0" defaultTableStyle="TableStyleMedium2" defaultPivotStyle="PivotStyleLight16"/>
  <colors>
    <mruColors>
      <color rgb="FF0000FF"/>
      <color rgb="FFCC66FF"/>
      <color rgb="FFFFCCFF"/>
      <color rgb="FFFFFFFF"/>
      <color rgb="FFFF99FF"/>
      <color rgb="FFDDEBF7"/>
      <color rgb="FFCC0000"/>
      <color rgb="FFFF33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mat161108/Desktop/data/A_&#26989;&#21209;/10_&#21508;&#31278;&#27096;&#24335;/1_&#22996;&#35351;&#36027;&#12539;&#32102;&#20184;&#36027;&#31639;&#23450;&#12456;&#12463;&#12475;&#12523;/H31_&#35336;&#31639;&#26360;/1_&#24403;&#21021;/&#12304;R1&#19979;&#21322;&#26399;&#12305;&#22996;&#35351;&#36027;&#35336;&#31639;&#26360;Ver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青田作業用"/>
      <sheetName val="基本情報"/>
      <sheetName val="児童"/>
      <sheetName val="加算情報"/>
      <sheetName val="月途中入所情報"/>
      <sheetName val="月途中退所情報"/>
      <sheetName val="月途中入所"/>
      <sheetName val="月途中退所"/>
      <sheetName val="月初総額・内訳"/>
      <sheetName val="内訳計算"/>
      <sheetName val="自治体別内訳"/>
      <sheetName val="各月支給額"/>
      <sheetName val="青田作業進捗メモ"/>
      <sheetName val="分園調整"/>
      <sheetName val="土曜調整"/>
      <sheetName val="基本単価内訳"/>
      <sheetName val="休日内訳"/>
      <sheetName val="夜間内訳"/>
      <sheetName val="単価"/>
      <sheetName val="月別加算有無"/>
      <sheetName val="変動・３月単価"/>
      <sheetName val="（自治体１）月初内訳"/>
      <sheetName val="（自治体２）月初内訳"/>
      <sheetName val="（自治体３）月初内訳"/>
      <sheetName val="（自治体４）月初内訳"/>
      <sheetName val="（自治体５）月初内訳"/>
      <sheetName val="基本単価・加算１内訳一覧"/>
      <sheetName val="DD"/>
      <sheetName val="管理費・夜間・休日・３歳児配置"/>
      <sheetName val="恒常超過調整"/>
      <sheetName val="単価表 "/>
      <sheetName val="特定加算単価表"/>
      <sheetName val="整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8.cao.go.jp/shoushi/shinseido/law/kodomo3houan/pdf/r020730/shisetsu_kasan.pdf" TargetMode="External"/><Relationship Id="rId1" Type="http://schemas.openxmlformats.org/officeDocument/2006/relationships/hyperlink" Target="https://www8.cao.go.jp/shoushi/shinseido/law/kodomo3houan/pdf/r030331/r03-unei_hiyou.pdf"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FB22-FAEB-4B84-9FD5-AD9B40F4BED1}">
  <dimension ref="B1:AM53"/>
  <sheetViews>
    <sheetView showGridLines="0" zoomScaleNormal="100" workbookViewId="0">
      <selection activeCell="C3" sqref="C3:D3"/>
    </sheetView>
  </sheetViews>
  <sheetFormatPr defaultColWidth="7.25" defaultRowHeight="21.6" customHeight="1"/>
  <cols>
    <col min="1" max="1" width="0.75" style="13" customWidth="1"/>
    <col min="2" max="2" width="9.125" style="13" customWidth="1"/>
    <col min="3" max="3" width="10.75" style="13" customWidth="1"/>
    <col min="4" max="4" width="2.75" style="13" customWidth="1"/>
    <col min="5" max="5" width="10.75" style="13" customWidth="1"/>
    <col min="6" max="6" width="2.75" style="13" customWidth="1"/>
    <col min="7" max="7" width="7.625" style="13" customWidth="1"/>
    <col min="8" max="8" width="6.25" style="13" customWidth="1"/>
    <col min="9" max="9" width="2.125" style="13" customWidth="1"/>
    <col min="10" max="10" width="7.25" style="13"/>
    <col min="11" max="12" width="11.375" style="13" bestFit="1" customWidth="1"/>
    <col min="13" max="26" width="7.25" style="13"/>
    <col min="27" max="28" width="11.375" style="13" hidden="1" customWidth="1"/>
    <col min="29" max="29" width="10.5" style="13" hidden="1" customWidth="1"/>
    <col min="30" max="30" width="3.875" style="13" hidden="1" customWidth="1"/>
    <col min="31" max="39" width="7.25" style="13" hidden="1" customWidth="1"/>
    <col min="40" max="40" width="0" style="13" hidden="1" customWidth="1"/>
    <col min="41" max="16384" width="7.25" style="13"/>
  </cols>
  <sheetData>
    <row r="1" spans="2:37" ht="21.6" customHeight="1" thickBot="1">
      <c r="B1" s="12" t="s">
        <v>0</v>
      </c>
      <c r="G1" s="14"/>
    </row>
    <row r="2" spans="2:37" ht="21.6" customHeight="1" thickTop="1" thickBot="1">
      <c r="B2" s="15" t="s">
        <v>39</v>
      </c>
      <c r="C2" s="1134"/>
      <c r="D2" s="1135"/>
      <c r="E2" s="1135"/>
      <c r="F2" s="1135"/>
      <c r="G2" s="1135"/>
      <c r="H2" s="1136"/>
      <c r="I2" s="16"/>
      <c r="AH2" s="17"/>
      <c r="AK2" s="468"/>
    </row>
    <row r="3" spans="2:37" ht="21.6" customHeight="1" thickTop="1" thickBot="1">
      <c r="B3" s="15" t="s">
        <v>1</v>
      </c>
      <c r="C3" s="1139"/>
      <c r="D3" s="1140"/>
      <c r="E3" s="1123"/>
      <c r="F3" s="1124"/>
      <c r="G3" s="469"/>
      <c r="H3" s="469"/>
      <c r="I3" s="16"/>
      <c r="AA3" s="13" t="s">
        <v>326</v>
      </c>
      <c r="AB3" s="13" t="s">
        <v>327</v>
      </c>
      <c r="AC3" s="13" t="s">
        <v>352</v>
      </c>
      <c r="AE3" s="468">
        <v>1</v>
      </c>
      <c r="AF3" s="468" t="s">
        <v>328</v>
      </c>
      <c r="AH3" s="17"/>
      <c r="AI3" s="17" t="s">
        <v>56</v>
      </c>
      <c r="AJ3" s="17" t="s">
        <v>194</v>
      </c>
      <c r="AK3" s="468" t="s">
        <v>332</v>
      </c>
    </row>
    <row r="4" spans="2:37" ht="21.6" customHeight="1" thickTop="1">
      <c r="B4" s="1121" t="s">
        <v>10</v>
      </c>
      <c r="C4" s="1137" t="s">
        <v>2</v>
      </c>
      <c r="D4" s="1137"/>
      <c r="E4" s="1137" t="s">
        <v>3</v>
      </c>
      <c r="F4" s="1137"/>
      <c r="G4" s="1137" t="s">
        <v>4</v>
      </c>
      <c r="H4" s="1138"/>
      <c r="I4" s="12"/>
      <c r="AA4" s="13" t="str">
        <f>IF(ISERROR(VLOOKUP(ROUNDUP(C5,-1),AE3:AF53,2,TRUE)),"",VLOOKUP(ROUNDUP(C5,-1),AE3:AF53,2,TRUE))</f>
        <v/>
      </c>
      <c r="AB4" s="13" t="str">
        <f>IF(ISERROR(VLOOKUP(ROUNDUP(E5,-1),AE3:AF53,2,TRUE)),"",VLOOKUP(ROUNDUP(E5,-1),AE3:AF53,2,TRUE))</f>
        <v/>
      </c>
      <c r="AC4" s="13" t="str">
        <f>IF(ISERROR(VLOOKUP(ROUNDUP(C5+E5,-1),AE3:AF53,2,TRUE)),"",VLOOKUP(ROUNDUP(C5+E5,-1),AE3:AF53,2,TRUE))</f>
        <v/>
      </c>
      <c r="AE4" s="468">
        <v>2</v>
      </c>
      <c r="AF4" s="468" t="s">
        <v>328</v>
      </c>
      <c r="AI4" s="17"/>
      <c r="AJ4" s="17" t="s">
        <v>195</v>
      </c>
      <c r="AK4" s="468" t="s">
        <v>318</v>
      </c>
    </row>
    <row r="5" spans="2:37" ht="21.6" customHeight="1" thickBot="1">
      <c r="B5" s="1122"/>
      <c r="C5" s="21"/>
      <c r="D5" s="22" t="s">
        <v>5</v>
      </c>
      <c r="E5" s="21"/>
      <c r="F5" s="22" t="s">
        <v>5</v>
      </c>
      <c r="G5" s="23">
        <f>C5+E5</f>
        <v>0</v>
      </c>
      <c r="H5" s="24" t="s">
        <v>5</v>
      </c>
      <c r="I5" s="20"/>
      <c r="AE5" s="468">
        <v>3</v>
      </c>
      <c r="AF5" s="468" t="s">
        <v>328</v>
      </c>
      <c r="AJ5" s="17" t="s">
        <v>196</v>
      </c>
      <c r="AK5" s="468" t="s">
        <v>320</v>
      </c>
    </row>
    <row r="6" spans="2:37" ht="21.6" customHeight="1" thickTop="1">
      <c r="B6" s="1133" t="s">
        <v>114</v>
      </c>
      <c r="C6" s="1137" t="s">
        <v>115</v>
      </c>
      <c r="D6" s="1137"/>
      <c r="E6" s="1137" t="s">
        <v>116</v>
      </c>
      <c r="F6" s="1137"/>
      <c r="G6" s="1137" t="s">
        <v>36</v>
      </c>
      <c r="H6" s="1138"/>
      <c r="I6" s="20"/>
      <c r="AE6" s="468">
        <v>4</v>
      </c>
      <c r="AF6" s="468" t="s">
        <v>328</v>
      </c>
      <c r="AJ6" s="17" t="s">
        <v>197</v>
      </c>
      <c r="AK6" s="468" t="s">
        <v>321</v>
      </c>
    </row>
    <row r="7" spans="2:37" ht="21.6" customHeight="1" thickBot="1">
      <c r="B7" s="1122"/>
      <c r="C7" s="21"/>
      <c r="D7" s="22" t="s">
        <v>11</v>
      </c>
      <c r="E7" s="21"/>
      <c r="F7" s="22" t="s">
        <v>11</v>
      </c>
      <c r="G7" s="23">
        <f>C7+E7</f>
        <v>0</v>
      </c>
      <c r="H7" s="24" t="s">
        <v>11</v>
      </c>
      <c r="I7" s="20"/>
      <c r="AE7" s="468">
        <v>5</v>
      </c>
      <c r="AF7" s="468" t="s">
        <v>328</v>
      </c>
      <c r="AK7" s="468" t="s">
        <v>322</v>
      </c>
    </row>
    <row r="8" spans="2:37" ht="21.6" customHeight="1" thickTop="1" thickBot="1">
      <c r="B8" s="26" t="s">
        <v>58</v>
      </c>
      <c r="C8" s="16"/>
      <c r="D8" s="19"/>
      <c r="E8" s="19"/>
      <c r="F8" s="19"/>
      <c r="G8" s="19"/>
      <c r="H8" s="19"/>
      <c r="I8" s="25"/>
      <c r="AE8" s="468">
        <v>6</v>
      </c>
      <c r="AF8" s="468" t="s">
        <v>328</v>
      </c>
      <c r="AK8" s="468" t="s">
        <v>323</v>
      </c>
    </row>
    <row r="9" spans="2:37" ht="21.6" customHeight="1" thickTop="1" thickBot="1">
      <c r="B9" s="1129"/>
      <c r="C9" s="1130"/>
      <c r="D9" s="1130"/>
      <c r="E9" s="1131" t="s">
        <v>61</v>
      </c>
      <c r="F9" s="1132"/>
      <c r="G9" s="1141" t="s">
        <v>199</v>
      </c>
      <c r="H9" s="1142"/>
      <c r="I9" s="25"/>
      <c r="AE9" s="468">
        <v>7</v>
      </c>
      <c r="AF9" s="468" t="s">
        <v>328</v>
      </c>
      <c r="AK9" s="468" t="s">
        <v>324</v>
      </c>
    </row>
    <row r="10" spans="2:37" ht="21.6" customHeight="1" thickTop="1">
      <c r="B10" s="1162" t="s">
        <v>55</v>
      </c>
      <c r="C10" s="1163"/>
      <c r="D10" s="1163"/>
      <c r="E10" s="1158" t="str">
        <f>IF(E5="","",IF(E5=0,"","該当"))</f>
        <v/>
      </c>
      <c r="F10" s="1159"/>
      <c r="G10" s="56" t="str">
        <f>IF(E10="","",10)</f>
        <v/>
      </c>
      <c r="H10" s="29" t="s">
        <v>11</v>
      </c>
      <c r="I10" s="25"/>
      <c r="AE10" s="468">
        <v>8</v>
      </c>
      <c r="AF10" s="468" t="s">
        <v>328</v>
      </c>
      <c r="AK10" s="468" t="s">
        <v>325</v>
      </c>
    </row>
    <row r="11" spans="2:37" ht="21.6" customHeight="1">
      <c r="B11" s="1164" t="s">
        <v>57</v>
      </c>
      <c r="C11" s="1165"/>
      <c r="D11" s="1165"/>
      <c r="E11" s="1160"/>
      <c r="F11" s="1161"/>
      <c r="G11" s="27"/>
      <c r="H11" s="28"/>
      <c r="I11" s="658" t="str">
        <f>IF(E11="該当","加算と減算シートの32行目について、各月の該当状況を選択してください","")</f>
        <v/>
      </c>
      <c r="AE11" s="468">
        <v>9</v>
      </c>
      <c r="AF11" s="468" t="s">
        <v>328</v>
      </c>
    </row>
    <row r="12" spans="2:37" ht="21.6" customHeight="1">
      <c r="B12" s="1166" t="s">
        <v>59</v>
      </c>
      <c r="C12" s="1167"/>
      <c r="D12" s="1168"/>
      <c r="E12" s="1175"/>
      <c r="F12" s="1176"/>
      <c r="G12" s="640" t="s">
        <v>504</v>
      </c>
      <c r="H12" s="466" t="str">
        <f>IF(E12="１日",単価表!BB11*100,IF(E12="２日",単価表!BC11*100,IF(E12="３日",単価表!BD11*100,IF(E12="全て",単価表!BE11*100,""))))</f>
        <v/>
      </c>
      <c r="I12" s="19"/>
      <c r="J12" s="14"/>
      <c r="AE12" s="468">
        <v>10</v>
      </c>
      <c r="AF12" s="468" t="s">
        <v>328</v>
      </c>
    </row>
    <row r="13" spans="2:37" ht="21.6" customHeight="1">
      <c r="B13" s="1169"/>
      <c r="C13" s="1170"/>
      <c r="D13" s="1171"/>
      <c r="E13" s="1179"/>
      <c r="F13" s="1180"/>
      <c r="G13" s="640" t="s">
        <v>505</v>
      </c>
      <c r="H13" s="466" t="str">
        <f>IF(E12="１日",単価表!BB27*100,IF(E12="２日",単価表!BC27*100,IF(E12="３日",単価表!BD27*100,IF(E12="全て",単価表!BE27*100,""))))</f>
        <v/>
      </c>
      <c r="I13" s="19"/>
      <c r="J13" s="14"/>
      <c r="AE13" s="468"/>
      <c r="AF13" s="468"/>
    </row>
    <row r="14" spans="2:37" ht="21.6" customHeight="1">
      <c r="B14" s="1166" t="s">
        <v>60</v>
      </c>
      <c r="C14" s="1167"/>
      <c r="D14" s="1168"/>
      <c r="E14" s="1175"/>
      <c r="F14" s="1176"/>
      <c r="G14" s="640" t="s">
        <v>504</v>
      </c>
      <c r="H14" s="466" t="str">
        <f>IF(E14="該当",100-単価表!BF11*100,"")</f>
        <v/>
      </c>
      <c r="I14" s="19"/>
      <c r="J14" s="14"/>
      <c r="AE14" s="468"/>
      <c r="AF14" s="468"/>
    </row>
    <row r="15" spans="2:37" ht="21.6" customHeight="1" thickBot="1">
      <c r="B15" s="1172"/>
      <c r="C15" s="1173"/>
      <c r="D15" s="1174"/>
      <c r="E15" s="1177"/>
      <c r="F15" s="1178"/>
      <c r="G15" s="641" t="s">
        <v>505</v>
      </c>
      <c r="H15" s="467" t="str">
        <f>IF(E14="該当",100-単価表!BF27*100,"")</f>
        <v/>
      </c>
      <c r="I15" s="19"/>
      <c r="J15" s="14"/>
      <c r="AE15" s="468">
        <v>20</v>
      </c>
      <c r="AF15" s="468" t="s">
        <v>328</v>
      </c>
    </row>
    <row r="16" spans="2:37" ht="21.6" customHeight="1" thickTop="1" thickBot="1">
      <c r="B16" s="26" t="s">
        <v>63</v>
      </c>
      <c r="I16" s="16"/>
      <c r="AE16" s="468">
        <v>30</v>
      </c>
      <c r="AF16" s="468" t="s">
        <v>329</v>
      </c>
    </row>
    <row r="17" spans="2:39" ht="21.6" customHeight="1" thickTop="1">
      <c r="B17" s="1147" t="s">
        <v>64</v>
      </c>
      <c r="C17" s="1148"/>
      <c r="D17" s="1149"/>
      <c r="E17" s="1156"/>
      <c r="F17" s="1157"/>
      <c r="G17" s="14" t="s">
        <v>521</v>
      </c>
      <c r="AE17" s="468">
        <v>40</v>
      </c>
      <c r="AF17" s="468" t="s">
        <v>330</v>
      </c>
      <c r="AM17" s="13">
        <f>E17</f>
        <v>0</v>
      </c>
    </row>
    <row r="18" spans="2:39" ht="21.6" customHeight="1">
      <c r="B18" s="1150"/>
      <c r="C18" s="1151"/>
      <c r="D18" s="1152"/>
      <c r="E18" s="1125"/>
      <c r="F18" s="1126"/>
      <c r="G18" s="14" t="s">
        <v>521</v>
      </c>
      <c r="AE18" s="468">
        <v>50</v>
      </c>
      <c r="AF18" s="468" t="s">
        <v>331</v>
      </c>
      <c r="AM18" s="13">
        <f t="shared" ref="AM18:AM21" si="0">E18</f>
        <v>0</v>
      </c>
    </row>
    <row r="19" spans="2:39" ht="21.6" customHeight="1">
      <c r="B19" s="1150"/>
      <c r="C19" s="1151"/>
      <c r="D19" s="1152"/>
      <c r="E19" s="1127"/>
      <c r="F19" s="1128"/>
      <c r="G19" s="14" t="s">
        <v>521</v>
      </c>
      <c r="AE19" s="468">
        <v>60</v>
      </c>
      <c r="AF19" s="468" t="s">
        <v>302</v>
      </c>
      <c r="AM19" s="13">
        <f t="shared" si="0"/>
        <v>0</v>
      </c>
    </row>
    <row r="20" spans="2:39" ht="21.6" customHeight="1">
      <c r="B20" s="1150"/>
      <c r="C20" s="1151"/>
      <c r="D20" s="1152"/>
      <c r="E20" s="1143"/>
      <c r="F20" s="1144"/>
      <c r="G20" s="14" t="s">
        <v>521</v>
      </c>
      <c r="AE20" s="468">
        <v>70</v>
      </c>
      <c r="AF20" s="468" t="s">
        <v>304</v>
      </c>
      <c r="AM20" s="13">
        <f t="shared" si="0"/>
        <v>0</v>
      </c>
    </row>
    <row r="21" spans="2:39" ht="21.6" customHeight="1" thickBot="1">
      <c r="B21" s="1153"/>
      <c r="C21" s="1154"/>
      <c r="D21" s="1155"/>
      <c r="E21" s="1145"/>
      <c r="F21" s="1146"/>
      <c r="G21" s="14" t="s">
        <v>521</v>
      </c>
      <c r="AE21" s="468">
        <v>80</v>
      </c>
      <c r="AF21" s="468" t="s">
        <v>305</v>
      </c>
      <c r="AM21" s="13">
        <f t="shared" si="0"/>
        <v>0</v>
      </c>
    </row>
    <row r="22" spans="2:39" ht="21.6" customHeight="1" thickTop="1">
      <c r="AE22" s="468">
        <v>90</v>
      </c>
      <c r="AF22" s="468" t="s">
        <v>306</v>
      </c>
    </row>
    <row r="23" spans="2:39" ht="21.6" customHeight="1">
      <c r="AE23" s="468">
        <v>100</v>
      </c>
      <c r="AF23" s="468" t="s">
        <v>307</v>
      </c>
    </row>
    <row r="24" spans="2:39" ht="21.6" customHeight="1">
      <c r="AE24" s="468">
        <v>110</v>
      </c>
      <c r="AF24" s="468" t="s">
        <v>309</v>
      </c>
    </row>
    <row r="25" spans="2:39" ht="21.6" customHeight="1">
      <c r="AE25" s="468">
        <v>120</v>
      </c>
      <c r="AF25" s="468" t="s">
        <v>310</v>
      </c>
    </row>
    <row r="26" spans="2:39" ht="21.6" customHeight="1">
      <c r="AE26" s="468">
        <v>130</v>
      </c>
      <c r="AF26" s="468" t="s">
        <v>311</v>
      </c>
    </row>
    <row r="27" spans="2:39" ht="21.6" customHeight="1">
      <c r="AE27" s="468">
        <v>140</v>
      </c>
      <c r="AF27" s="468" t="s">
        <v>312</v>
      </c>
    </row>
    <row r="28" spans="2:39" ht="21.6" customHeight="1">
      <c r="AE28" s="468">
        <v>150</v>
      </c>
      <c r="AF28" s="468" t="s">
        <v>313</v>
      </c>
    </row>
    <row r="29" spans="2:39" ht="21.6" customHeight="1">
      <c r="AE29" s="468">
        <v>160</v>
      </c>
      <c r="AF29" s="468" t="s">
        <v>314</v>
      </c>
    </row>
    <row r="30" spans="2:39" ht="21.6" customHeight="1">
      <c r="AE30" s="468">
        <v>170</v>
      </c>
      <c r="AF30" s="468" t="s">
        <v>315</v>
      </c>
    </row>
    <row r="31" spans="2:39" ht="21.6" customHeight="1">
      <c r="AE31" s="468">
        <v>180</v>
      </c>
      <c r="AF31" s="468" t="s">
        <v>316</v>
      </c>
    </row>
    <row r="32" spans="2:39" ht="21.6" customHeight="1">
      <c r="AE32" s="468">
        <v>190</v>
      </c>
      <c r="AF32" s="468" t="s">
        <v>316</v>
      </c>
    </row>
    <row r="33" spans="31:32" ht="21.6" customHeight="1">
      <c r="AE33" s="468">
        <v>200</v>
      </c>
      <c r="AF33" s="468" t="s">
        <v>316</v>
      </c>
    </row>
    <row r="34" spans="31:32" ht="21.6" customHeight="1">
      <c r="AE34" s="468">
        <v>210</v>
      </c>
      <c r="AF34" s="468" t="s">
        <v>316</v>
      </c>
    </row>
    <row r="35" spans="31:32" ht="21.6" customHeight="1">
      <c r="AE35" s="468">
        <v>220</v>
      </c>
      <c r="AF35" s="468" t="s">
        <v>316</v>
      </c>
    </row>
    <row r="36" spans="31:32" ht="21.6" customHeight="1">
      <c r="AE36" s="468">
        <v>230</v>
      </c>
      <c r="AF36" s="468" t="s">
        <v>316</v>
      </c>
    </row>
    <row r="37" spans="31:32" ht="21.6" customHeight="1">
      <c r="AE37" s="468">
        <v>240</v>
      </c>
      <c r="AF37" s="468" t="s">
        <v>316</v>
      </c>
    </row>
    <row r="38" spans="31:32" ht="21.6" customHeight="1">
      <c r="AE38" s="468">
        <v>250</v>
      </c>
      <c r="AF38" s="468" t="s">
        <v>316</v>
      </c>
    </row>
    <row r="39" spans="31:32" ht="21.6" customHeight="1">
      <c r="AE39" s="468">
        <v>260</v>
      </c>
      <c r="AF39" s="468" t="s">
        <v>316</v>
      </c>
    </row>
    <row r="40" spans="31:32" ht="21.6" customHeight="1">
      <c r="AE40" s="468">
        <v>270</v>
      </c>
      <c r="AF40" s="468" t="s">
        <v>316</v>
      </c>
    </row>
    <row r="41" spans="31:32" ht="21.6" customHeight="1">
      <c r="AE41" s="468">
        <v>280</v>
      </c>
      <c r="AF41" s="468" t="s">
        <v>316</v>
      </c>
    </row>
    <row r="42" spans="31:32" ht="21.6" customHeight="1">
      <c r="AE42" s="468">
        <v>290</v>
      </c>
      <c r="AF42" s="468" t="s">
        <v>316</v>
      </c>
    </row>
    <row r="43" spans="31:32" ht="21.6" customHeight="1">
      <c r="AE43" s="468">
        <v>300</v>
      </c>
      <c r="AF43" s="468" t="s">
        <v>316</v>
      </c>
    </row>
    <row r="44" spans="31:32" ht="21.6" customHeight="1">
      <c r="AE44" s="468">
        <v>310</v>
      </c>
      <c r="AF44" s="468" t="s">
        <v>316</v>
      </c>
    </row>
    <row r="45" spans="31:32" ht="21.6" customHeight="1">
      <c r="AE45" s="468">
        <v>320</v>
      </c>
      <c r="AF45" s="468" t="s">
        <v>316</v>
      </c>
    </row>
    <row r="46" spans="31:32" ht="21.6" customHeight="1">
      <c r="AE46" s="468">
        <v>330</v>
      </c>
      <c r="AF46" s="468" t="s">
        <v>316</v>
      </c>
    </row>
    <row r="47" spans="31:32" ht="21.6" customHeight="1">
      <c r="AE47" s="468">
        <v>340</v>
      </c>
      <c r="AF47" s="468" t="s">
        <v>316</v>
      </c>
    </row>
    <row r="48" spans="31:32" ht="21.6" customHeight="1">
      <c r="AE48" s="468">
        <v>350</v>
      </c>
      <c r="AF48" s="468" t="s">
        <v>316</v>
      </c>
    </row>
    <row r="49" spans="31:32" ht="21.6" customHeight="1">
      <c r="AE49" s="468">
        <v>360</v>
      </c>
      <c r="AF49" s="468" t="s">
        <v>316</v>
      </c>
    </row>
    <row r="50" spans="31:32" ht="21.6" customHeight="1">
      <c r="AE50" s="468">
        <v>370</v>
      </c>
      <c r="AF50" s="468" t="s">
        <v>316</v>
      </c>
    </row>
    <row r="51" spans="31:32" ht="21.6" customHeight="1">
      <c r="AE51" s="468">
        <v>380</v>
      </c>
      <c r="AF51" s="468" t="s">
        <v>316</v>
      </c>
    </row>
    <row r="52" spans="31:32" ht="21.6" customHeight="1">
      <c r="AE52" s="468">
        <v>390</v>
      </c>
      <c r="AF52" s="468" t="s">
        <v>316</v>
      </c>
    </row>
    <row r="53" spans="31:32" ht="21.6" customHeight="1">
      <c r="AE53" s="468">
        <v>400</v>
      </c>
      <c r="AF53" s="468" t="s">
        <v>316</v>
      </c>
    </row>
  </sheetData>
  <sheetProtection algorithmName="SHA-512" hashValue="gTWKuSc1OYrf7y6NXCIZiN8M4cM+TY21Y1sxfmRcF5jR9pgvHhEerZ/vn2P5m5yl++fAa5nuNKfqwOyuVsAJqw==" saltValue="vgXDhsNNC3UonNO9UF1R0w==" spinCount="100000" sheet="1" objects="1" scenarios="1"/>
  <mergeCells count="28">
    <mergeCell ref="G9:H9"/>
    <mergeCell ref="E20:F20"/>
    <mergeCell ref="E21:F21"/>
    <mergeCell ref="B17:D21"/>
    <mergeCell ref="E17:F17"/>
    <mergeCell ref="E10:F10"/>
    <mergeCell ref="E11:F11"/>
    <mergeCell ref="B10:D10"/>
    <mergeCell ref="B11:D11"/>
    <mergeCell ref="B12:D13"/>
    <mergeCell ref="B14:D15"/>
    <mergeCell ref="E14:F15"/>
    <mergeCell ref="E12:F13"/>
    <mergeCell ref="C2:H2"/>
    <mergeCell ref="C6:D6"/>
    <mergeCell ref="G4:H4"/>
    <mergeCell ref="C4:D4"/>
    <mergeCell ref="E4:F4"/>
    <mergeCell ref="E6:F6"/>
    <mergeCell ref="G6:H6"/>
    <mergeCell ref="C3:D3"/>
    <mergeCell ref="B4:B5"/>
    <mergeCell ref="E3:F3"/>
    <mergeCell ref="E18:F18"/>
    <mergeCell ref="E19:F19"/>
    <mergeCell ref="B9:D9"/>
    <mergeCell ref="E9:F9"/>
    <mergeCell ref="B6:B7"/>
  </mergeCells>
  <phoneticPr fontId="2"/>
  <dataValidations count="3">
    <dataValidation type="list" allowBlank="1" showInputMessage="1" showErrorMessage="1" sqref="E14 E11" xr:uid="{1033EA0E-64AA-4C42-BD7C-2A7EF2A6EFB0}">
      <formula1>$AI$2:$AI$3</formula1>
    </dataValidation>
    <dataValidation type="list" allowBlank="1" showInputMessage="1" showErrorMessage="1" sqref="E12:F12" xr:uid="{49996AE8-93B5-4437-A6ED-424606269945}">
      <formula1>$AJ$2:$AJ$6</formula1>
    </dataValidation>
    <dataValidation type="list" allowBlank="1" showInputMessage="1" showErrorMessage="1" sqref="C3:D3" xr:uid="{ED9E407B-5C79-44F6-BB29-38FE5D67E490}">
      <formula1>$AK$2:$AK$10</formula1>
    </dataValidation>
  </dataValidations>
  <pageMargins left="0.7" right="0.7" top="0.75" bottom="0.75" header="0.3" footer="0.3"/>
  <pageSetup paperSize="9" orientation="portrait" horizontalDpi="4294967293"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F8E0513-A218-4F1D-9D63-673642FEA6C6}">
          <x14:formula1>
            <xm:f>'C:\Users\kmat161108\Desktop\data\A_業務\10_各種様式\1_委託費・給付費算定エクセル\H31_計算書\1_当初\[【R1下半期】委託費計算書Ver2.0.xlsx]DD'!#REF!</xm:f>
          </x14:formula1>
          <xm:sqref>D4 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870B-5AD8-4644-8556-B8C5DFE974DD}">
  <dimension ref="B1:BU91"/>
  <sheetViews>
    <sheetView zoomScale="70" zoomScaleNormal="70" zoomScaleSheetLayoutView="55" workbookViewId="0">
      <pane xSplit="4" ySplit="7" topLeftCell="E20" activePane="bottomRight" state="frozen"/>
      <selection activeCell="L12" sqref="L12"/>
      <selection pane="topRight" activeCell="L12" sqref="L12"/>
      <selection pane="bottomLeft" activeCell="L12" sqref="L12"/>
      <selection pane="bottomRight" activeCell="F30" sqref="F30"/>
    </sheetView>
  </sheetViews>
  <sheetFormatPr defaultRowHeight="18.75"/>
  <cols>
    <col min="1" max="1" width="0.875" style="480" customWidth="1"/>
    <col min="2" max="2" width="3.25" style="480" customWidth="1"/>
    <col min="3" max="3" width="1.125" style="480" customWidth="1"/>
    <col min="4" max="4" width="6.375" style="480" customWidth="1"/>
    <col min="5" max="15" width="7.125" style="480" customWidth="1"/>
    <col min="16" max="16" width="1.125" style="480" customWidth="1"/>
    <col min="17" max="28" width="7.125" style="480" customWidth="1"/>
    <col min="29" max="29" width="1.125" style="480" customWidth="1"/>
    <col min="30" max="33" width="7.125" style="480" customWidth="1"/>
    <col min="34" max="34" width="1.125" style="480" customWidth="1"/>
    <col min="35" max="46" width="7.125" style="480" customWidth="1"/>
    <col min="47" max="16384" width="9" style="480"/>
  </cols>
  <sheetData>
    <row r="1" spans="2:73" s="17" customFormat="1" ht="5.25" customHeight="1">
      <c r="D1" s="470"/>
    </row>
    <row r="2" spans="2:73" s="17" customFormat="1" ht="15" customHeight="1">
      <c r="B2" s="1199" t="s">
        <v>39</v>
      </c>
      <c r="C2" s="1200"/>
      <c r="D2" s="1199" t="str">
        <f>IF(基本情報!C2="","",基本情報!C2)</f>
        <v/>
      </c>
      <c r="E2" s="1201"/>
      <c r="F2" s="1200"/>
      <c r="H2" s="471"/>
      <c r="I2" s="14" t="s">
        <v>515</v>
      </c>
      <c r="J2" s="14"/>
      <c r="K2" s="14"/>
      <c r="L2" s="14"/>
      <c r="M2" s="14"/>
      <c r="N2" s="14"/>
      <c r="O2" s="14"/>
      <c r="AC2" s="14"/>
      <c r="AS2" s="14"/>
      <c r="BG2" s="14"/>
      <c r="BU2" s="14"/>
    </row>
    <row r="3" spans="2:73" s="17" customFormat="1" ht="4.1500000000000004" customHeight="1" thickBot="1">
      <c r="D3" s="470"/>
    </row>
    <row r="4" spans="2:73" s="472" customFormat="1" ht="31.5" customHeight="1" thickBot="1">
      <c r="B4" s="12"/>
      <c r="C4" s="17"/>
      <c r="D4" s="1202" t="s">
        <v>65</v>
      </c>
      <c r="E4" s="1203"/>
      <c r="F4" s="1203"/>
      <c r="G4" s="1203"/>
      <c r="H4" s="1203"/>
      <c r="I4" s="1203"/>
      <c r="J4" s="1203"/>
      <c r="K4" s="1203"/>
      <c r="L4" s="1203"/>
      <c r="M4" s="1203"/>
      <c r="N4" s="1203"/>
      <c r="O4" s="1204"/>
      <c r="P4" s="17"/>
      <c r="Q4" s="1205" t="s">
        <v>66</v>
      </c>
      <c r="R4" s="1206"/>
      <c r="S4" s="1206"/>
      <c r="T4" s="1206"/>
      <c r="U4" s="1206"/>
      <c r="V4" s="1206"/>
      <c r="W4" s="1206"/>
      <c r="X4" s="1206"/>
      <c r="Y4" s="1206"/>
      <c r="Z4" s="1206"/>
      <c r="AA4" s="1206"/>
      <c r="AB4" s="1207"/>
      <c r="AC4" s="17"/>
      <c r="AD4" s="1191" t="s">
        <v>174</v>
      </c>
      <c r="AE4" s="1192"/>
      <c r="AF4" s="1192"/>
      <c r="AG4" s="1192"/>
      <c r="AH4" s="17"/>
      <c r="AI4" s="1181" t="s">
        <v>67</v>
      </c>
      <c r="AJ4" s="1182"/>
      <c r="AK4" s="1182"/>
      <c r="AL4" s="1182"/>
      <c r="AM4" s="1182"/>
      <c r="AN4" s="1182"/>
      <c r="AO4" s="1182"/>
      <c r="AP4" s="1182"/>
      <c r="AQ4" s="1182"/>
      <c r="AR4" s="1182"/>
      <c r="AS4" s="1182"/>
      <c r="AT4" s="1183"/>
    </row>
    <row r="5" spans="2:73" s="479" customFormat="1" ht="4.1500000000000004" customHeight="1">
      <c r="B5" s="20"/>
      <c r="C5" s="375"/>
      <c r="D5" s="473"/>
      <c r="E5" s="473"/>
      <c r="F5" s="473"/>
      <c r="G5" s="473"/>
      <c r="H5" s="473"/>
      <c r="I5" s="473"/>
      <c r="J5" s="473"/>
      <c r="K5" s="473"/>
      <c r="L5" s="473"/>
      <c r="M5" s="473"/>
      <c r="N5" s="473"/>
      <c r="O5" s="474"/>
      <c r="P5" s="375"/>
      <c r="Q5" s="475"/>
      <c r="R5" s="475"/>
      <c r="S5" s="475"/>
      <c r="T5" s="475"/>
      <c r="U5" s="475"/>
      <c r="V5" s="475"/>
      <c r="W5" s="475"/>
      <c r="X5" s="475"/>
      <c r="Y5" s="475"/>
      <c r="Z5" s="475"/>
      <c r="AA5" s="475"/>
      <c r="AB5" s="476"/>
      <c r="AC5" s="375"/>
      <c r="AD5" s="1191"/>
      <c r="AE5" s="1192"/>
      <c r="AF5" s="1192"/>
      <c r="AG5" s="1192"/>
      <c r="AH5" s="375"/>
      <c r="AI5" s="477"/>
      <c r="AJ5" s="477"/>
      <c r="AK5" s="477"/>
      <c r="AL5" s="477"/>
      <c r="AM5" s="477"/>
      <c r="AN5" s="477"/>
      <c r="AO5" s="477"/>
      <c r="AP5" s="477"/>
      <c r="AQ5" s="477"/>
      <c r="AR5" s="477"/>
      <c r="AS5" s="477"/>
      <c r="AT5" s="478"/>
    </row>
    <row r="6" spans="2:73" ht="18" customHeight="1">
      <c r="B6" s="32"/>
      <c r="C6" s="17"/>
      <c r="D6" s="1211"/>
      <c r="E6" s="1184" t="s">
        <v>15</v>
      </c>
      <c r="F6" s="1184"/>
      <c r="G6" s="1184"/>
      <c r="H6" s="1184"/>
      <c r="I6" s="1184"/>
      <c r="J6" s="1184" t="s">
        <v>16</v>
      </c>
      <c r="K6" s="1184"/>
      <c r="L6" s="1184"/>
      <c r="M6" s="1184"/>
      <c r="N6" s="1184"/>
      <c r="O6" s="1209" t="s">
        <v>173</v>
      </c>
      <c r="P6" s="17"/>
      <c r="Q6" s="1211"/>
      <c r="R6" s="1184" t="s">
        <v>15</v>
      </c>
      <c r="S6" s="1184"/>
      <c r="T6" s="1184"/>
      <c r="U6" s="1184"/>
      <c r="V6" s="1184"/>
      <c r="W6" s="1184" t="s">
        <v>16</v>
      </c>
      <c r="X6" s="1184"/>
      <c r="Y6" s="1184"/>
      <c r="Z6" s="1184"/>
      <c r="AA6" s="1184"/>
      <c r="AB6" s="1209" t="s">
        <v>173</v>
      </c>
      <c r="AC6" s="17"/>
      <c r="AD6" s="1193"/>
      <c r="AE6" s="1193" t="s">
        <v>504</v>
      </c>
      <c r="AF6" s="1195" t="s">
        <v>505</v>
      </c>
      <c r="AG6" s="1195" t="s">
        <v>507</v>
      </c>
      <c r="AH6" s="17"/>
      <c r="AI6" s="1190"/>
      <c r="AJ6" s="1189" t="s">
        <v>15</v>
      </c>
      <c r="AK6" s="1189"/>
      <c r="AL6" s="1189"/>
      <c r="AM6" s="1189"/>
      <c r="AN6" s="1189"/>
      <c r="AO6" s="1189" t="s">
        <v>16</v>
      </c>
      <c r="AP6" s="1189"/>
      <c r="AQ6" s="1189"/>
      <c r="AR6" s="1189"/>
      <c r="AS6" s="1189"/>
      <c r="AT6" s="1185" t="s">
        <v>173</v>
      </c>
    </row>
    <row r="7" spans="2:73" ht="19.149999999999999" customHeight="1" thickBot="1">
      <c r="B7" s="32"/>
      <c r="C7" s="470"/>
      <c r="D7" s="1212"/>
      <c r="E7" s="481" t="s">
        <v>6</v>
      </c>
      <c r="F7" s="481" t="s">
        <v>7</v>
      </c>
      <c r="G7" s="481" t="s">
        <v>8</v>
      </c>
      <c r="H7" s="481" t="s">
        <v>9</v>
      </c>
      <c r="I7" s="482" t="s">
        <v>36</v>
      </c>
      <c r="J7" s="481" t="s">
        <v>6</v>
      </c>
      <c r="K7" s="481" t="s">
        <v>7</v>
      </c>
      <c r="L7" s="481" t="s">
        <v>8</v>
      </c>
      <c r="M7" s="481" t="s">
        <v>9</v>
      </c>
      <c r="N7" s="482" t="s">
        <v>36</v>
      </c>
      <c r="O7" s="1210"/>
      <c r="P7" s="470"/>
      <c r="Q7" s="1212"/>
      <c r="R7" s="481" t="s">
        <v>6</v>
      </c>
      <c r="S7" s="481" t="s">
        <v>7</v>
      </c>
      <c r="T7" s="481" t="s">
        <v>8</v>
      </c>
      <c r="U7" s="481" t="s">
        <v>9</v>
      </c>
      <c r="V7" s="482" t="s">
        <v>36</v>
      </c>
      <c r="W7" s="481" t="s">
        <v>6</v>
      </c>
      <c r="X7" s="481" t="s">
        <v>7</v>
      </c>
      <c r="Y7" s="481" t="s">
        <v>8</v>
      </c>
      <c r="Z7" s="481" t="s">
        <v>9</v>
      </c>
      <c r="AA7" s="482" t="s">
        <v>36</v>
      </c>
      <c r="AB7" s="1210"/>
      <c r="AC7" s="470"/>
      <c r="AD7" s="1194"/>
      <c r="AE7" s="1194"/>
      <c r="AF7" s="1195"/>
      <c r="AG7" s="1195"/>
      <c r="AH7" s="470"/>
      <c r="AI7" s="1190"/>
      <c r="AJ7" s="374" t="s">
        <v>6</v>
      </c>
      <c r="AK7" s="374" t="s">
        <v>7</v>
      </c>
      <c r="AL7" s="374" t="s">
        <v>8</v>
      </c>
      <c r="AM7" s="374" t="s">
        <v>9</v>
      </c>
      <c r="AN7" s="374" t="s">
        <v>36</v>
      </c>
      <c r="AO7" s="374" t="s">
        <v>6</v>
      </c>
      <c r="AP7" s="374" t="s">
        <v>7</v>
      </c>
      <c r="AQ7" s="374" t="s">
        <v>8</v>
      </c>
      <c r="AR7" s="374" t="s">
        <v>9</v>
      </c>
      <c r="AS7" s="374" t="s">
        <v>36</v>
      </c>
      <c r="AT7" s="1186"/>
    </row>
    <row r="8" spans="2:73" ht="19.5" thickBot="1">
      <c r="B8" s="1187" t="s">
        <v>45</v>
      </c>
      <c r="C8" s="17"/>
      <c r="D8" s="30" t="s">
        <v>24</v>
      </c>
      <c r="E8" s="483">
        <f t="shared" ref="E8:H19" si="0">E22+E36+E50+E64+E78</f>
        <v>0</v>
      </c>
      <c r="F8" s="483">
        <f t="shared" si="0"/>
        <v>0</v>
      </c>
      <c r="G8" s="483">
        <f t="shared" si="0"/>
        <v>0</v>
      </c>
      <c r="H8" s="483">
        <f t="shared" si="0"/>
        <v>0</v>
      </c>
      <c r="I8" s="483">
        <f t="shared" ref="I8:I20" si="1">SUM(E8:H8)</f>
        <v>0</v>
      </c>
      <c r="J8" s="483">
        <f t="shared" ref="J8:M19" si="2">J22+J36+J50+J64+J78</f>
        <v>0</v>
      </c>
      <c r="K8" s="483">
        <f t="shared" si="2"/>
        <v>0</v>
      </c>
      <c r="L8" s="483">
        <f t="shared" si="2"/>
        <v>0</v>
      </c>
      <c r="M8" s="483">
        <f t="shared" si="2"/>
        <v>0</v>
      </c>
      <c r="N8" s="483">
        <f t="shared" ref="N8:N20" si="3">SUM(J8:M8)</f>
        <v>0</v>
      </c>
      <c r="O8" s="484">
        <f t="shared" ref="O8:O20" si="4">I8+N8</f>
        <v>0</v>
      </c>
      <c r="P8" s="17"/>
      <c r="Q8" s="30" t="s">
        <v>24</v>
      </c>
      <c r="R8" s="483">
        <f t="shared" ref="R8:U19" si="5">R22+R36+R50+R64+R78</f>
        <v>0</v>
      </c>
      <c r="S8" s="483">
        <f t="shared" si="5"/>
        <v>0</v>
      </c>
      <c r="T8" s="483">
        <f t="shared" si="5"/>
        <v>0</v>
      </c>
      <c r="U8" s="483">
        <f t="shared" si="5"/>
        <v>0</v>
      </c>
      <c r="V8" s="483">
        <f t="shared" ref="V8:V20" si="6">SUM(R8:U8)</f>
        <v>0</v>
      </c>
      <c r="W8" s="483">
        <f t="shared" ref="W8:Z19" si="7">W22+W36+W50+W64+W78</f>
        <v>0</v>
      </c>
      <c r="X8" s="483">
        <f t="shared" si="7"/>
        <v>0</v>
      </c>
      <c r="Y8" s="483">
        <f t="shared" si="7"/>
        <v>0</v>
      </c>
      <c r="Z8" s="483">
        <f t="shared" si="7"/>
        <v>0</v>
      </c>
      <c r="AA8" s="483">
        <f t="shared" ref="AA8:AA20" si="8">SUM(W8:Z8)</f>
        <v>0</v>
      </c>
      <c r="AB8" s="484">
        <f t="shared" ref="AB8:AB20" si="9">V8+AA8</f>
        <v>0</v>
      </c>
      <c r="AC8" s="17"/>
      <c r="AD8" s="30" t="s">
        <v>24</v>
      </c>
      <c r="AE8" s="483">
        <f t="shared" ref="AE8:AF19" si="10">AE22+AE36+AE50+AE64+AE78</f>
        <v>0</v>
      </c>
      <c r="AF8" s="483">
        <f t="shared" si="10"/>
        <v>0</v>
      </c>
      <c r="AG8" s="483">
        <f>AE8+AF8</f>
        <v>0</v>
      </c>
      <c r="AH8" s="17"/>
      <c r="AI8" s="30" t="s">
        <v>24</v>
      </c>
      <c r="AJ8" s="483">
        <f t="shared" ref="AJ8:AM19" si="11">AJ22+AJ36+AJ50+AJ64+AJ78</f>
        <v>0</v>
      </c>
      <c r="AK8" s="483">
        <f t="shared" si="11"/>
        <v>0</v>
      </c>
      <c r="AL8" s="483">
        <f t="shared" si="11"/>
        <v>0</v>
      </c>
      <c r="AM8" s="483">
        <f t="shared" si="11"/>
        <v>0</v>
      </c>
      <c r="AN8" s="483">
        <f t="shared" ref="AN8:AN20" si="12">SUM(AJ8:AM8)</f>
        <v>0</v>
      </c>
      <c r="AO8" s="483">
        <f t="shared" ref="AO8:AR19" si="13">AO22+AO36+AO50+AO64+AO78</f>
        <v>0</v>
      </c>
      <c r="AP8" s="483">
        <f t="shared" si="13"/>
        <v>0</v>
      </c>
      <c r="AQ8" s="483">
        <f t="shared" si="13"/>
        <v>0</v>
      </c>
      <c r="AR8" s="483">
        <f t="shared" si="13"/>
        <v>0</v>
      </c>
      <c r="AS8" s="483">
        <f t="shared" ref="AS8:AS20" si="14">SUM(AO8:AR8)</f>
        <v>0</v>
      </c>
      <c r="AT8" s="484">
        <f t="shared" ref="AT8:AT20" si="15">AN8+AS8</f>
        <v>0</v>
      </c>
    </row>
    <row r="9" spans="2:73" ht="19.5" thickBot="1">
      <c r="B9" s="1187"/>
      <c r="C9" s="17"/>
      <c r="D9" s="30" t="s">
        <v>25</v>
      </c>
      <c r="E9" s="483">
        <f t="shared" si="0"/>
        <v>0</v>
      </c>
      <c r="F9" s="483">
        <f t="shared" si="0"/>
        <v>0</v>
      </c>
      <c r="G9" s="483">
        <f t="shared" si="0"/>
        <v>0</v>
      </c>
      <c r="H9" s="483">
        <f t="shared" si="0"/>
        <v>0</v>
      </c>
      <c r="I9" s="483">
        <f t="shared" si="1"/>
        <v>0</v>
      </c>
      <c r="J9" s="483">
        <f t="shared" si="2"/>
        <v>0</v>
      </c>
      <c r="K9" s="483">
        <f t="shared" si="2"/>
        <v>0</v>
      </c>
      <c r="L9" s="483">
        <f t="shared" si="2"/>
        <v>0</v>
      </c>
      <c r="M9" s="483">
        <f t="shared" si="2"/>
        <v>0</v>
      </c>
      <c r="N9" s="483">
        <f t="shared" si="3"/>
        <v>0</v>
      </c>
      <c r="O9" s="484">
        <f t="shared" si="4"/>
        <v>0</v>
      </c>
      <c r="P9" s="17"/>
      <c r="Q9" s="30" t="s">
        <v>25</v>
      </c>
      <c r="R9" s="483">
        <f t="shared" si="5"/>
        <v>0</v>
      </c>
      <c r="S9" s="483">
        <f t="shared" si="5"/>
        <v>0</v>
      </c>
      <c r="T9" s="483">
        <f t="shared" si="5"/>
        <v>0</v>
      </c>
      <c r="U9" s="483">
        <f t="shared" si="5"/>
        <v>0</v>
      </c>
      <c r="V9" s="483">
        <f t="shared" si="6"/>
        <v>0</v>
      </c>
      <c r="W9" s="483">
        <f t="shared" si="7"/>
        <v>0</v>
      </c>
      <c r="X9" s="483">
        <f t="shared" si="7"/>
        <v>0</v>
      </c>
      <c r="Y9" s="483">
        <f t="shared" si="7"/>
        <v>0</v>
      </c>
      <c r="Z9" s="483">
        <f t="shared" si="7"/>
        <v>0</v>
      </c>
      <c r="AA9" s="483">
        <f t="shared" si="8"/>
        <v>0</v>
      </c>
      <c r="AB9" s="484">
        <f t="shared" si="9"/>
        <v>0</v>
      </c>
      <c r="AC9" s="17"/>
      <c r="AD9" s="30" t="s">
        <v>25</v>
      </c>
      <c r="AE9" s="483">
        <f t="shared" si="10"/>
        <v>0</v>
      </c>
      <c r="AF9" s="483">
        <f t="shared" si="10"/>
        <v>0</v>
      </c>
      <c r="AG9" s="483">
        <f t="shared" ref="AG9:AG19" si="16">AE9+AF9</f>
        <v>0</v>
      </c>
      <c r="AH9" s="17"/>
      <c r="AI9" s="30" t="s">
        <v>25</v>
      </c>
      <c r="AJ9" s="483">
        <f t="shared" si="11"/>
        <v>0</v>
      </c>
      <c r="AK9" s="483">
        <f t="shared" si="11"/>
        <v>0</v>
      </c>
      <c r="AL9" s="483">
        <f t="shared" si="11"/>
        <v>0</v>
      </c>
      <c r="AM9" s="483">
        <f t="shared" si="11"/>
        <v>0</v>
      </c>
      <c r="AN9" s="483">
        <f t="shared" si="12"/>
        <v>0</v>
      </c>
      <c r="AO9" s="483">
        <f t="shared" si="13"/>
        <v>0</v>
      </c>
      <c r="AP9" s="483">
        <f t="shared" si="13"/>
        <v>0</v>
      </c>
      <c r="AQ9" s="483">
        <f t="shared" si="13"/>
        <v>0</v>
      </c>
      <c r="AR9" s="483">
        <f t="shared" si="13"/>
        <v>0</v>
      </c>
      <c r="AS9" s="483">
        <f t="shared" si="14"/>
        <v>0</v>
      </c>
      <c r="AT9" s="484">
        <f t="shared" si="15"/>
        <v>0</v>
      </c>
    </row>
    <row r="10" spans="2:73" ht="19.5" thickBot="1">
      <c r="B10" s="1187"/>
      <c r="C10" s="17"/>
      <c r="D10" s="30" t="s">
        <v>26</v>
      </c>
      <c r="E10" s="483">
        <f t="shared" si="0"/>
        <v>0</v>
      </c>
      <c r="F10" s="483">
        <f t="shared" si="0"/>
        <v>0</v>
      </c>
      <c r="G10" s="483">
        <f t="shared" si="0"/>
        <v>0</v>
      </c>
      <c r="H10" s="483">
        <f t="shared" si="0"/>
        <v>0</v>
      </c>
      <c r="I10" s="483">
        <f t="shared" si="1"/>
        <v>0</v>
      </c>
      <c r="J10" s="483">
        <f t="shared" si="2"/>
        <v>0</v>
      </c>
      <c r="K10" s="483">
        <f t="shared" si="2"/>
        <v>0</v>
      </c>
      <c r="L10" s="483">
        <f t="shared" si="2"/>
        <v>0</v>
      </c>
      <c r="M10" s="483">
        <f t="shared" si="2"/>
        <v>0</v>
      </c>
      <c r="N10" s="483">
        <f t="shared" si="3"/>
        <v>0</v>
      </c>
      <c r="O10" s="484">
        <f t="shared" si="4"/>
        <v>0</v>
      </c>
      <c r="P10" s="17"/>
      <c r="Q10" s="30" t="s">
        <v>26</v>
      </c>
      <c r="R10" s="483">
        <f t="shared" si="5"/>
        <v>0</v>
      </c>
      <c r="S10" s="483">
        <f t="shared" si="5"/>
        <v>0</v>
      </c>
      <c r="T10" s="483">
        <f t="shared" si="5"/>
        <v>0</v>
      </c>
      <c r="U10" s="483">
        <f t="shared" si="5"/>
        <v>0</v>
      </c>
      <c r="V10" s="483">
        <f t="shared" si="6"/>
        <v>0</v>
      </c>
      <c r="W10" s="483">
        <f t="shared" si="7"/>
        <v>0</v>
      </c>
      <c r="X10" s="483">
        <f t="shared" si="7"/>
        <v>0</v>
      </c>
      <c r="Y10" s="483">
        <f t="shared" si="7"/>
        <v>0</v>
      </c>
      <c r="Z10" s="483">
        <f t="shared" si="7"/>
        <v>0</v>
      </c>
      <c r="AA10" s="483">
        <f t="shared" si="8"/>
        <v>0</v>
      </c>
      <c r="AB10" s="484">
        <f t="shared" si="9"/>
        <v>0</v>
      </c>
      <c r="AC10" s="17"/>
      <c r="AD10" s="30" t="s">
        <v>26</v>
      </c>
      <c r="AE10" s="483">
        <f t="shared" si="10"/>
        <v>0</v>
      </c>
      <c r="AF10" s="483">
        <f t="shared" si="10"/>
        <v>0</v>
      </c>
      <c r="AG10" s="483">
        <f t="shared" si="16"/>
        <v>0</v>
      </c>
      <c r="AH10" s="17"/>
      <c r="AI10" s="30" t="s">
        <v>26</v>
      </c>
      <c r="AJ10" s="483">
        <f t="shared" si="11"/>
        <v>0</v>
      </c>
      <c r="AK10" s="483">
        <f t="shared" si="11"/>
        <v>0</v>
      </c>
      <c r="AL10" s="483">
        <f t="shared" si="11"/>
        <v>0</v>
      </c>
      <c r="AM10" s="483">
        <f t="shared" si="11"/>
        <v>0</v>
      </c>
      <c r="AN10" s="483">
        <f t="shared" si="12"/>
        <v>0</v>
      </c>
      <c r="AO10" s="483">
        <f t="shared" si="13"/>
        <v>0</v>
      </c>
      <c r="AP10" s="483">
        <f t="shared" si="13"/>
        <v>0</v>
      </c>
      <c r="AQ10" s="483">
        <f t="shared" si="13"/>
        <v>0</v>
      </c>
      <c r="AR10" s="483">
        <f t="shared" si="13"/>
        <v>0</v>
      </c>
      <c r="AS10" s="483">
        <f t="shared" si="14"/>
        <v>0</v>
      </c>
      <c r="AT10" s="484">
        <f t="shared" si="15"/>
        <v>0</v>
      </c>
    </row>
    <row r="11" spans="2:73" ht="19.5" thickBot="1">
      <c r="B11" s="1187"/>
      <c r="C11" s="17"/>
      <c r="D11" s="30" t="s">
        <v>27</v>
      </c>
      <c r="E11" s="483">
        <f t="shared" si="0"/>
        <v>0</v>
      </c>
      <c r="F11" s="483">
        <f t="shared" si="0"/>
        <v>0</v>
      </c>
      <c r="G11" s="483">
        <f t="shared" si="0"/>
        <v>0</v>
      </c>
      <c r="H11" s="483">
        <f t="shared" si="0"/>
        <v>0</v>
      </c>
      <c r="I11" s="483">
        <f t="shared" si="1"/>
        <v>0</v>
      </c>
      <c r="J11" s="483">
        <f t="shared" si="2"/>
        <v>0</v>
      </c>
      <c r="K11" s="483">
        <f t="shared" si="2"/>
        <v>0</v>
      </c>
      <c r="L11" s="483">
        <f t="shared" si="2"/>
        <v>0</v>
      </c>
      <c r="M11" s="483">
        <f t="shared" si="2"/>
        <v>0</v>
      </c>
      <c r="N11" s="483">
        <f t="shared" si="3"/>
        <v>0</v>
      </c>
      <c r="O11" s="484">
        <f t="shared" si="4"/>
        <v>0</v>
      </c>
      <c r="P11" s="17"/>
      <c r="Q11" s="30" t="s">
        <v>27</v>
      </c>
      <c r="R11" s="483">
        <f t="shared" si="5"/>
        <v>0</v>
      </c>
      <c r="S11" s="483">
        <f t="shared" si="5"/>
        <v>0</v>
      </c>
      <c r="T11" s="483">
        <f t="shared" si="5"/>
        <v>0</v>
      </c>
      <c r="U11" s="483">
        <f t="shared" si="5"/>
        <v>0</v>
      </c>
      <c r="V11" s="483">
        <f t="shared" si="6"/>
        <v>0</v>
      </c>
      <c r="W11" s="483">
        <f t="shared" si="7"/>
        <v>0</v>
      </c>
      <c r="X11" s="483">
        <f t="shared" si="7"/>
        <v>0</v>
      </c>
      <c r="Y11" s="483">
        <f t="shared" si="7"/>
        <v>0</v>
      </c>
      <c r="Z11" s="483">
        <f t="shared" si="7"/>
        <v>0</v>
      </c>
      <c r="AA11" s="483">
        <f t="shared" si="8"/>
        <v>0</v>
      </c>
      <c r="AB11" s="484">
        <f t="shared" si="9"/>
        <v>0</v>
      </c>
      <c r="AC11" s="17"/>
      <c r="AD11" s="30" t="s">
        <v>27</v>
      </c>
      <c r="AE11" s="483">
        <f t="shared" si="10"/>
        <v>0</v>
      </c>
      <c r="AF11" s="483">
        <f t="shared" si="10"/>
        <v>0</v>
      </c>
      <c r="AG11" s="483">
        <f t="shared" si="16"/>
        <v>0</v>
      </c>
      <c r="AH11" s="17"/>
      <c r="AI11" s="30" t="s">
        <v>27</v>
      </c>
      <c r="AJ11" s="483">
        <f t="shared" si="11"/>
        <v>0</v>
      </c>
      <c r="AK11" s="483">
        <f t="shared" si="11"/>
        <v>0</v>
      </c>
      <c r="AL11" s="483">
        <f t="shared" si="11"/>
        <v>0</v>
      </c>
      <c r="AM11" s="483">
        <f t="shared" si="11"/>
        <v>0</v>
      </c>
      <c r="AN11" s="483">
        <f t="shared" si="12"/>
        <v>0</v>
      </c>
      <c r="AO11" s="483">
        <f t="shared" si="13"/>
        <v>0</v>
      </c>
      <c r="AP11" s="483">
        <f t="shared" si="13"/>
        <v>0</v>
      </c>
      <c r="AQ11" s="483">
        <f t="shared" si="13"/>
        <v>0</v>
      </c>
      <c r="AR11" s="483">
        <f t="shared" si="13"/>
        <v>0</v>
      </c>
      <c r="AS11" s="483">
        <f t="shared" si="14"/>
        <v>0</v>
      </c>
      <c r="AT11" s="484">
        <f t="shared" si="15"/>
        <v>0</v>
      </c>
    </row>
    <row r="12" spans="2:73" ht="19.5" thickBot="1">
      <c r="B12" s="1187"/>
      <c r="C12" s="17"/>
      <c r="D12" s="30" t="s">
        <v>28</v>
      </c>
      <c r="E12" s="483">
        <f t="shared" si="0"/>
        <v>0</v>
      </c>
      <c r="F12" s="483">
        <f t="shared" si="0"/>
        <v>0</v>
      </c>
      <c r="G12" s="483">
        <f t="shared" si="0"/>
        <v>0</v>
      </c>
      <c r="H12" s="483">
        <f t="shared" si="0"/>
        <v>0</v>
      </c>
      <c r="I12" s="483">
        <f t="shared" si="1"/>
        <v>0</v>
      </c>
      <c r="J12" s="483">
        <f t="shared" si="2"/>
        <v>0</v>
      </c>
      <c r="K12" s="483">
        <f t="shared" si="2"/>
        <v>0</v>
      </c>
      <c r="L12" s="483">
        <f t="shared" si="2"/>
        <v>0</v>
      </c>
      <c r="M12" s="483">
        <f t="shared" si="2"/>
        <v>0</v>
      </c>
      <c r="N12" s="483">
        <f t="shared" si="3"/>
        <v>0</v>
      </c>
      <c r="O12" s="484">
        <f t="shared" si="4"/>
        <v>0</v>
      </c>
      <c r="P12" s="17"/>
      <c r="Q12" s="30" t="s">
        <v>28</v>
      </c>
      <c r="R12" s="483">
        <f t="shared" si="5"/>
        <v>0</v>
      </c>
      <c r="S12" s="483">
        <f t="shared" si="5"/>
        <v>0</v>
      </c>
      <c r="T12" s="483">
        <f t="shared" si="5"/>
        <v>0</v>
      </c>
      <c r="U12" s="483">
        <f t="shared" si="5"/>
        <v>0</v>
      </c>
      <c r="V12" s="483">
        <f t="shared" si="6"/>
        <v>0</v>
      </c>
      <c r="W12" s="483">
        <f t="shared" si="7"/>
        <v>0</v>
      </c>
      <c r="X12" s="483">
        <f t="shared" si="7"/>
        <v>0</v>
      </c>
      <c r="Y12" s="483">
        <f t="shared" si="7"/>
        <v>0</v>
      </c>
      <c r="Z12" s="483">
        <f t="shared" si="7"/>
        <v>0</v>
      </c>
      <c r="AA12" s="483">
        <f t="shared" si="8"/>
        <v>0</v>
      </c>
      <c r="AB12" s="484">
        <f t="shared" si="9"/>
        <v>0</v>
      </c>
      <c r="AC12" s="17"/>
      <c r="AD12" s="30" t="s">
        <v>28</v>
      </c>
      <c r="AE12" s="483">
        <f t="shared" si="10"/>
        <v>0</v>
      </c>
      <c r="AF12" s="483">
        <f t="shared" si="10"/>
        <v>0</v>
      </c>
      <c r="AG12" s="483">
        <f t="shared" si="16"/>
        <v>0</v>
      </c>
      <c r="AH12" s="17"/>
      <c r="AI12" s="30" t="s">
        <v>28</v>
      </c>
      <c r="AJ12" s="483">
        <f t="shared" si="11"/>
        <v>0</v>
      </c>
      <c r="AK12" s="483">
        <f t="shared" si="11"/>
        <v>0</v>
      </c>
      <c r="AL12" s="483">
        <f t="shared" si="11"/>
        <v>0</v>
      </c>
      <c r="AM12" s="483">
        <f t="shared" si="11"/>
        <v>0</v>
      </c>
      <c r="AN12" s="483">
        <f t="shared" si="12"/>
        <v>0</v>
      </c>
      <c r="AO12" s="483">
        <f t="shared" si="13"/>
        <v>0</v>
      </c>
      <c r="AP12" s="483">
        <f t="shared" si="13"/>
        <v>0</v>
      </c>
      <c r="AQ12" s="483">
        <f t="shared" si="13"/>
        <v>0</v>
      </c>
      <c r="AR12" s="483">
        <f t="shared" si="13"/>
        <v>0</v>
      </c>
      <c r="AS12" s="483">
        <f t="shared" si="14"/>
        <v>0</v>
      </c>
      <c r="AT12" s="484">
        <f t="shared" si="15"/>
        <v>0</v>
      </c>
    </row>
    <row r="13" spans="2:73" ht="19.5" thickBot="1">
      <c r="B13" s="1187"/>
      <c r="C13" s="17"/>
      <c r="D13" s="30" t="s">
        <v>29</v>
      </c>
      <c r="E13" s="483">
        <f t="shared" si="0"/>
        <v>0</v>
      </c>
      <c r="F13" s="483">
        <f t="shared" si="0"/>
        <v>0</v>
      </c>
      <c r="G13" s="483">
        <f t="shared" si="0"/>
        <v>0</v>
      </c>
      <c r="H13" s="483">
        <f t="shared" si="0"/>
        <v>0</v>
      </c>
      <c r="I13" s="483">
        <f t="shared" si="1"/>
        <v>0</v>
      </c>
      <c r="J13" s="483">
        <f t="shared" si="2"/>
        <v>0</v>
      </c>
      <c r="K13" s="483">
        <f t="shared" si="2"/>
        <v>0</v>
      </c>
      <c r="L13" s="483">
        <f t="shared" si="2"/>
        <v>0</v>
      </c>
      <c r="M13" s="483">
        <f t="shared" si="2"/>
        <v>0</v>
      </c>
      <c r="N13" s="483">
        <f t="shared" si="3"/>
        <v>0</v>
      </c>
      <c r="O13" s="484">
        <f t="shared" si="4"/>
        <v>0</v>
      </c>
      <c r="P13" s="17"/>
      <c r="Q13" s="30" t="s">
        <v>29</v>
      </c>
      <c r="R13" s="483">
        <f t="shared" si="5"/>
        <v>0</v>
      </c>
      <c r="S13" s="483">
        <f t="shared" si="5"/>
        <v>0</v>
      </c>
      <c r="T13" s="483">
        <f t="shared" si="5"/>
        <v>0</v>
      </c>
      <c r="U13" s="483">
        <f t="shared" si="5"/>
        <v>0</v>
      </c>
      <c r="V13" s="483">
        <f t="shared" si="6"/>
        <v>0</v>
      </c>
      <c r="W13" s="483">
        <f t="shared" si="7"/>
        <v>0</v>
      </c>
      <c r="X13" s="483">
        <f t="shared" si="7"/>
        <v>0</v>
      </c>
      <c r="Y13" s="483">
        <f t="shared" si="7"/>
        <v>0</v>
      </c>
      <c r="Z13" s="483">
        <f t="shared" si="7"/>
        <v>0</v>
      </c>
      <c r="AA13" s="483">
        <f t="shared" si="8"/>
        <v>0</v>
      </c>
      <c r="AB13" s="484">
        <f t="shared" si="9"/>
        <v>0</v>
      </c>
      <c r="AC13" s="17"/>
      <c r="AD13" s="30" t="s">
        <v>29</v>
      </c>
      <c r="AE13" s="483">
        <f t="shared" si="10"/>
        <v>0</v>
      </c>
      <c r="AF13" s="483">
        <f t="shared" si="10"/>
        <v>0</v>
      </c>
      <c r="AG13" s="483">
        <f t="shared" si="16"/>
        <v>0</v>
      </c>
      <c r="AH13" s="17"/>
      <c r="AI13" s="30" t="s">
        <v>29</v>
      </c>
      <c r="AJ13" s="483">
        <f t="shared" si="11"/>
        <v>0</v>
      </c>
      <c r="AK13" s="483">
        <f t="shared" si="11"/>
        <v>0</v>
      </c>
      <c r="AL13" s="483">
        <f t="shared" si="11"/>
        <v>0</v>
      </c>
      <c r="AM13" s="483">
        <f t="shared" si="11"/>
        <v>0</v>
      </c>
      <c r="AN13" s="483">
        <f t="shared" si="12"/>
        <v>0</v>
      </c>
      <c r="AO13" s="483">
        <f t="shared" si="13"/>
        <v>0</v>
      </c>
      <c r="AP13" s="483">
        <f t="shared" si="13"/>
        <v>0</v>
      </c>
      <c r="AQ13" s="483">
        <f t="shared" si="13"/>
        <v>0</v>
      </c>
      <c r="AR13" s="483">
        <f t="shared" si="13"/>
        <v>0</v>
      </c>
      <c r="AS13" s="483">
        <f t="shared" si="14"/>
        <v>0</v>
      </c>
      <c r="AT13" s="484">
        <f t="shared" si="15"/>
        <v>0</v>
      </c>
    </row>
    <row r="14" spans="2:73" ht="19.5" thickBot="1">
      <c r="B14" s="1187"/>
      <c r="C14" s="17"/>
      <c r="D14" s="30" t="s">
        <v>30</v>
      </c>
      <c r="E14" s="483">
        <f t="shared" si="0"/>
        <v>0</v>
      </c>
      <c r="F14" s="483">
        <f t="shared" si="0"/>
        <v>0</v>
      </c>
      <c r="G14" s="483">
        <f t="shared" si="0"/>
        <v>0</v>
      </c>
      <c r="H14" s="483">
        <f t="shared" si="0"/>
        <v>0</v>
      </c>
      <c r="I14" s="483">
        <f t="shared" si="1"/>
        <v>0</v>
      </c>
      <c r="J14" s="483">
        <f t="shared" si="2"/>
        <v>0</v>
      </c>
      <c r="K14" s="483">
        <f t="shared" si="2"/>
        <v>0</v>
      </c>
      <c r="L14" s="483">
        <f t="shared" si="2"/>
        <v>0</v>
      </c>
      <c r="M14" s="483">
        <f t="shared" si="2"/>
        <v>0</v>
      </c>
      <c r="N14" s="483">
        <f t="shared" si="3"/>
        <v>0</v>
      </c>
      <c r="O14" s="484">
        <f t="shared" si="4"/>
        <v>0</v>
      </c>
      <c r="P14" s="17"/>
      <c r="Q14" s="30" t="s">
        <v>30</v>
      </c>
      <c r="R14" s="483">
        <f t="shared" si="5"/>
        <v>0</v>
      </c>
      <c r="S14" s="483">
        <f t="shared" si="5"/>
        <v>0</v>
      </c>
      <c r="T14" s="483">
        <f t="shared" si="5"/>
        <v>0</v>
      </c>
      <c r="U14" s="483">
        <f t="shared" si="5"/>
        <v>0</v>
      </c>
      <c r="V14" s="483">
        <f t="shared" si="6"/>
        <v>0</v>
      </c>
      <c r="W14" s="483">
        <f t="shared" si="7"/>
        <v>0</v>
      </c>
      <c r="X14" s="483">
        <f t="shared" si="7"/>
        <v>0</v>
      </c>
      <c r="Y14" s="483">
        <f t="shared" si="7"/>
        <v>0</v>
      </c>
      <c r="Z14" s="483">
        <f t="shared" si="7"/>
        <v>0</v>
      </c>
      <c r="AA14" s="483">
        <f t="shared" si="8"/>
        <v>0</v>
      </c>
      <c r="AB14" s="484">
        <f t="shared" si="9"/>
        <v>0</v>
      </c>
      <c r="AC14" s="17"/>
      <c r="AD14" s="30" t="s">
        <v>30</v>
      </c>
      <c r="AE14" s="483">
        <f t="shared" si="10"/>
        <v>0</v>
      </c>
      <c r="AF14" s="483">
        <f t="shared" si="10"/>
        <v>0</v>
      </c>
      <c r="AG14" s="483">
        <f t="shared" si="16"/>
        <v>0</v>
      </c>
      <c r="AH14" s="17"/>
      <c r="AI14" s="30" t="s">
        <v>30</v>
      </c>
      <c r="AJ14" s="483">
        <f t="shared" si="11"/>
        <v>0</v>
      </c>
      <c r="AK14" s="483">
        <f t="shared" si="11"/>
        <v>0</v>
      </c>
      <c r="AL14" s="483">
        <f t="shared" si="11"/>
        <v>0</v>
      </c>
      <c r="AM14" s="483">
        <f t="shared" si="11"/>
        <v>0</v>
      </c>
      <c r="AN14" s="483">
        <f t="shared" si="12"/>
        <v>0</v>
      </c>
      <c r="AO14" s="483">
        <f t="shared" si="13"/>
        <v>0</v>
      </c>
      <c r="AP14" s="483">
        <f t="shared" si="13"/>
        <v>0</v>
      </c>
      <c r="AQ14" s="483">
        <f t="shared" si="13"/>
        <v>0</v>
      </c>
      <c r="AR14" s="483">
        <f t="shared" si="13"/>
        <v>0</v>
      </c>
      <c r="AS14" s="483">
        <f t="shared" si="14"/>
        <v>0</v>
      </c>
      <c r="AT14" s="484">
        <f t="shared" si="15"/>
        <v>0</v>
      </c>
    </row>
    <row r="15" spans="2:73" ht="19.5" thickBot="1">
      <c r="B15" s="1187"/>
      <c r="C15" s="17"/>
      <c r="D15" s="30" t="s">
        <v>31</v>
      </c>
      <c r="E15" s="483">
        <f t="shared" si="0"/>
        <v>0</v>
      </c>
      <c r="F15" s="483">
        <f t="shared" si="0"/>
        <v>0</v>
      </c>
      <c r="G15" s="483">
        <f t="shared" si="0"/>
        <v>0</v>
      </c>
      <c r="H15" s="483">
        <f t="shared" si="0"/>
        <v>0</v>
      </c>
      <c r="I15" s="483">
        <f t="shared" si="1"/>
        <v>0</v>
      </c>
      <c r="J15" s="483">
        <f t="shared" si="2"/>
        <v>0</v>
      </c>
      <c r="K15" s="483">
        <f t="shared" si="2"/>
        <v>0</v>
      </c>
      <c r="L15" s="483">
        <f t="shared" si="2"/>
        <v>0</v>
      </c>
      <c r="M15" s="483">
        <f t="shared" si="2"/>
        <v>0</v>
      </c>
      <c r="N15" s="483">
        <f t="shared" si="3"/>
        <v>0</v>
      </c>
      <c r="O15" s="484">
        <f t="shared" si="4"/>
        <v>0</v>
      </c>
      <c r="P15" s="17"/>
      <c r="Q15" s="30" t="s">
        <v>31</v>
      </c>
      <c r="R15" s="483">
        <f t="shared" si="5"/>
        <v>0</v>
      </c>
      <c r="S15" s="483">
        <f t="shared" si="5"/>
        <v>0</v>
      </c>
      <c r="T15" s="483">
        <f t="shared" si="5"/>
        <v>0</v>
      </c>
      <c r="U15" s="483">
        <f t="shared" si="5"/>
        <v>0</v>
      </c>
      <c r="V15" s="483">
        <f t="shared" si="6"/>
        <v>0</v>
      </c>
      <c r="W15" s="483">
        <f t="shared" si="7"/>
        <v>0</v>
      </c>
      <c r="X15" s="483">
        <f t="shared" si="7"/>
        <v>0</v>
      </c>
      <c r="Y15" s="483">
        <f t="shared" si="7"/>
        <v>0</v>
      </c>
      <c r="Z15" s="483">
        <f t="shared" si="7"/>
        <v>0</v>
      </c>
      <c r="AA15" s="483">
        <f t="shared" si="8"/>
        <v>0</v>
      </c>
      <c r="AB15" s="484">
        <f t="shared" si="9"/>
        <v>0</v>
      </c>
      <c r="AC15" s="17"/>
      <c r="AD15" s="30" t="s">
        <v>31</v>
      </c>
      <c r="AE15" s="483">
        <f t="shared" si="10"/>
        <v>0</v>
      </c>
      <c r="AF15" s="483">
        <f t="shared" si="10"/>
        <v>0</v>
      </c>
      <c r="AG15" s="483">
        <f t="shared" si="16"/>
        <v>0</v>
      </c>
      <c r="AH15" s="17"/>
      <c r="AI15" s="30" t="s">
        <v>31</v>
      </c>
      <c r="AJ15" s="483">
        <f t="shared" si="11"/>
        <v>0</v>
      </c>
      <c r="AK15" s="483">
        <f t="shared" si="11"/>
        <v>0</v>
      </c>
      <c r="AL15" s="483">
        <f t="shared" si="11"/>
        <v>0</v>
      </c>
      <c r="AM15" s="483">
        <f t="shared" si="11"/>
        <v>0</v>
      </c>
      <c r="AN15" s="483">
        <f t="shared" si="12"/>
        <v>0</v>
      </c>
      <c r="AO15" s="483">
        <f t="shared" si="13"/>
        <v>0</v>
      </c>
      <c r="AP15" s="483">
        <f t="shared" si="13"/>
        <v>0</v>
      </c>
      <c r="AQ15" s="483">
        <f t="shared" si="13"/>
        <v>0</v>
      </c>
      <c r="AR15" s="483">
        <f t="shared" si="13"/>
        <v>0</v>
      </c>
      <c r="AS15" s="483">
        <f t="shared" si="14"/>
        <v>0</v>
      </c>
      <c r="AT15" s="484">
        <f t="shared" si="15"/>
        <v>0</v>
      </c>
    </row>
    <row r="16" spans="2:73" ht="19.5" thickBot="1">
      <c r="B16" s="1187"/>
      <c r="C16" s="17"/>
      <c r="D16" s="30" t="s">
        <v>32</v>
      </c>
      <c r="E16" s="483">
        <f t="shared" si="0"/>
        <v>0</v>
      </c>
      <c r="F16" s="483">
        <f t="shared" si="0"/>
        <v>0</v>
      </c>
      <c r="G16" s="483">
        <f t="shared" si="0"/>
        <v>0</v>
      </c>
      <c r="H16" s="483">
        <f t="shared" si="0"/>
        <v>0</v>
      </c>
      <c r="I16" s="483">
        <f t="shared" si="1"/>
        <v>0</v>
      </c>
      <c r="J16" s="483">
        <f t="shared" si="2"/>
        <v>0</v>
      </c>
      <c r="K16" s="483">
        <f t="shared" si="2"/>
        <v>0</v>
      </c>
      <c r="L16" s="483">
        <f t="shared" si="2"/>
        <v>0</v>
      </c>
      <c r="M16" s="483">
        <f t="shared" si="2"/>
        <v>0</v>
      </c>
      <c r="N16" s="483">
        <f t="shared" si="3"/>
        <v>0</v>
      </c>
      <c r="O16" s="484">
        <f t="shared" si="4"/>
        <v>0</v>
      </c>
      <c r="P16" s="17"/>
      <c r="Q16" s="30" t="s">
        <v>32</v>
      </c>
      <c r="R16" s="483">
        <f t="shared" si="5"/>
        <v>0</v>
      </c>
      <c r="S16" s="483">
        <f t="shared" si="5"/>
        <v>0</v>
      </c>
      <c r="T16" s="483">
        <f t="shared" si="5"/>
        <v>0</v>
      </c>
      <c r="U16" s="483">
        <f t="shared" si="5"/>
        <v>0</v>
      </c>
      <c r="V16" s="483">
        <f t="shared" si="6"/>
        <v>0</v>
      </c>
      <c r="W16" s="483">
        <f t="shared" si="7"/>
        <v>0</v>
      </c>
      <c r="X16" s="483">
        <f t="shared" si="7"/>
        <v>0</v>
      </c>
      <c r="Y16" s="483">
        <f t="shared" si="7"/>
        <v>0</v>
      </c>
      <c r="Z16" s="483">
        <f t="shared" si="7"/>
        <v>0</v>
      </c>
      <c r="AA16" s="483">
        <f t="shared" si="8"/>
        <v>0</v>
      </c>
      <c r="AB16" s="484">
        <f t="shared" si="9"/>
        <v>0</v>
      </c>
      <c r="AC16" s="17"/>
      <c r="AD16" s="30" t="s">
        <v>32</v>
      </c>
      <c r="AE16" s="483">
        <f t="shared" si="10"/>
        <v>0</v>
      </c>
      <c r="AF16" s="483">
        <f t="shared" si="10"/>
        <v>0</v>
      </c>
      <c r="AG16" s="483">
        <f t="shared" si="16"/>
        <v>0</v>
      </c>
      <c r="AH16" s="17"/>
      <c r="AI16" s="30" t="s">
        <v>32</v>
      </c>
      <c r="AJ16" s="483">
        <f t="shared" si="11"/>
        <v>0</v>
      </c>
      <c r="AK16" s="483">
        <f t="shared" si="11"/>
        <v>0</v>
      </c>
      <c r="AL16" s="483">
        <f t="shared" si="11"/>
        <v>0</v>
      </c>
      <c r="AM16" s="483">
        <f t="shared" si="11"/>
        <v>0</v>
      </c>
      <c r="AN16" s="483">
        <f t="shared" si="12"/>
        <v>0</v>
      </c>
      <c r="AO16" s="483">
        <f t="shared" si="13"/>
        <v>0</v>
      </c>
      <c r="AP16" s="483">
        <f t="shared" si="13"/>
        <v>0</v>
      </c>
      <c r="AQ16" s="483">
        <f t="shared" si="13"/>
        <v>0</v>
      </c>
      <c r="AR16" s="483">
        <f t="shared" si="13"/>
        <v>0</v>
      </c>
      <c r="AS16" s="483">
        <f t="shared" si="14"/>
        <v>0</v>
      </c>
      <c r="AT16" s="484">
        <f t="shared" si="15"/>
        <v>0</v>
      </c>
    </row>
    <row r="17" spans="2:46" ht="19.5" thickBot="1">
      <c r="B17" s="1187"/>
      <c r="C17" s="17"/>
      <c r="D17" s="30" t="s">
        <v>33</v>
      </c>
      <c r="E17" s="483">
        <f t="shared" si="0"/>
        <v>0</v>
      </c>
      <c r="F17" s="483">
        <f t="shared" si="0"/>
        <v>0</v>
      </c>
      <c r="G17" s="483">
        <f t="shared" si="0"/>
        <v>0</v>
      </c>
      <c r="H17" s="483">
        <f t="shared" si="0"/>
        <v>0</v>
      </c>
      <c r="I17" s="483">
        <f t="shared" si="1"/>
        <v>0</v>
      </c>
      <c r="J17" s="483">
        <f t="shared" si="2"/>
        <v>0</v>
      </c>
      <c r="K17" s="483">
        <f t="shared" si="2"/>
        <v>0</v>
      </c>
      <c r="L17" s="483">
        <f t="shared" si="2"/>
        <v>0</v>
      </c>
      <c r="M17" s="483">
        <f t="shared" si="2"/>
        <v>0</v>
      </c>
      <c r="N17" s="483">
        <f t="shared" si="3"/>
        <v>0</v>
      </c>
      <c r="O17" s="484">
        <f t="shared" si="4"/>
        <v>0</v>
      </c>
      <c r="P17" s="17"/>
      <c r="Q17" s="30" t="s">
        <v>33</v>
      </c>
      <c r="R17" s="483">
        <f t="shared" si="5"/>
        <v>0</v>
      </c>
      <c r="S17" s="483">
        <f t="shared" si="5"/>
        <v>0</v>
      </c>
      <c r="T17" s="483">
        <f t="shared" si="5"/>
        <v>0</v>
      </c>
      <c r="U17" s="483">
        <f t="shared" si="5"/>
        <v>0</v>
      </c>
      <c r="V17" s="483">
        <f t="shared" si="6"/>
        <v>0</v>
      </c>
      <c r="W17" s="483">
        <f t="shared" si="7"/>
        <v>0</v>
      </c>
      <c r="X17" s="483">
        <f t="shared" si="7"/>
        <v>0</v>
      </c>
      <c r="Y17" s="483">
        <f t="shared" si="7"/>
        <v>0</v>
      </c>
      <c r="Z17" s="483">
        <f t="shared" si="7"/>
        <v>0</v>
      </c>
      <c r="AA17" s="483">
        <f t="shared" si="8"/>
        <v>0</v>
      </c>
      <c r="AB17" s="484">
        <f t="shared" si="9"/>
        <v>0</v>
      </c>
      <c r="AC17" s="17"/>
      <c r="AD17" s="30" t="s">
        <v>33</v>
      </c>
      <c r="AE17" s="483">
        <f t="shared" si="10"/>
        <v>0</v>
      </c>
      <c r="AF17" s="483">
        <f t="shared" si="10"/>
        <v>0</v>
      </c>
      <c r="AG17" s="483">
        <f t="shared" si="16"/>
        <v>0</v>
      </c>
      <c r="AH17" s="17"/>
      <c r="AI17" s="30" t="s">
        <v>33</v>
      </c>
      <c r="AJ17" s="483">
        <f t="shared" si="11"/>
        <v>0</v>
      </c>
      <c r="AK17" s="483">
        <f t="shared" si="11"/>
        <v>0</v>
      </c>
      <c r="AL17" s="483">
        <f t="shared" si="11"/>
        <v>0</v>
      </c>
      <c r="AM17" s="483">
        <f t="shared" si="11"/>
        <v>0</v>
      </c>
      <c r="AN17" s="483">
        <f t="shared" si="12"/>
        <v>0</v>
      </c>
      <c r="AO17" s="483">
        <f t="shared" si="13"/>
        <v>0</v>
      </c>
      <c r="AP17" s="483">
        <f t="shared" si="13"/>
        <v>0</v>
      </c>
      <c r="AQ17" s="483">
        <f t="shared" si="13"/>
        <v>0</v>
      </c>
      <c r="AR17" s="483">
        <f t="shared" si="13"/>
        <v>0</v>
      </c>
      <c r="AS17" s="483">
        <f t="shared" si="14"/>
        <v>0</v>
      </c>
      <c r="AT17" s="484">
        <f t="shared" si="15"/>
        <v>0</v>
      </c>
    </row>
    <row r="18" spans="2:46" ht="19.5" thickBot="1">
      <c r="B18" s="1187"/>
      <c r="C18" s="17"/>
      <c r="D18" s="30" t="s">
        <v>34</v>
      </c>
      <c r="E18" s="483">
        <f t="shared" si="0"/>
        <v>0</v>
      </c>
      <c r="F18" s="483">
        <f t="shared" si="0"/>
        <v>0</v>
      </c>
      <c r="G18" s="483">
        <f t="shared" si="0"/>
        <v>0</v>
      </c>
      <c r="H18" s="483">
        <f t="shared" si="0"/>
        <v>0</v>
      </c>
      <c r="I18" s="483">
        <f t="shared" si="1"/>
        <v>0</v>
      </c>
      <c r="J18" s="483">
        <f t="shared" si="2"/>
        <v>0</v>
      </c>
      <c r="K18" s="483">
        <f t="shared" si="2"/>
        <v>0</v>
      </c>
      <c r="L18" s="483">
        <f t="shared" si="2"/>
        <v>0</v>
      </c>
      <c r="M18" s="483">
        <f t="shared" si="2"/>
        <v>0</v>
      </c>
      <c r="N18" s="483">
        <f t="shared" si="3"/>
        <v>0</v>
      </c>
      <c r="O18" s="484">
        <f t="shared" si="4"/>
        <v>0</v>
      </c>
      <c r="P18" s="17"/>
      <c r="Q18" s="30" t="s">
        <v>522</v>
      </c>
      <c r="R18" s="483">
        <f t="shared" si="5"/>
        <v>0</v>
      </c>
      <c r="S18" s="483">
        <f t="shared" si="5"/>
        <v>0</v>
      </c>
      <c r="T18" s="483">
        <f t="shared" si="5"/>
        <v>0</v>
      </c>
      <c r="U18" s="483">
        <f t="shared" si="5"/>
        <v>0</v>
      </c>
      <c r="V18" s="483">
        <f t="shared" si="6"/>
        <v>0</v>
      </c>
      <c r="W18" s="483">
        <f t="shared" si="7"/>
        <v>0</v>
      </c>
      <c r="X18" s="483">
        <f t="shared" si="7"/>
        <v>0</v>
      </c>
      <c r="Y18" s="483">
        <f t="shared" si="7"/>
        <v>0</v>
      </c>
      <c r="Z18" s="483">
        <f t="shared" si="7"/>
        <v>0</v>
      </c>
      <c r="AA18" s="483">
        <f t="shared" si="8"/>
        <v>0</v>
      </c>
      <c r="AB18" s="484">
        <f t="shared" si="9"/>
        <v>0</v>
      </c>
      <c r="AC18" s="17"/>
      <c r="AD18" s="30" t="s">
        <v>34</v>
      </c>
      <c r="AE18" s="483">
        <f t="shared" si="10"/>
        <v>0</v>
      </c>
      <c r="AF18" s="483">
        <f t="shared" si="10"/>
        <v>0</v>
      </c>
      <c r="AG18" s="483">
        <f t="shared" si="16"/>
        <v>0</v>
      </c>
      <c r="AH18" s="17"/>
      <c r="AI18" s="30" t="s">
        <v>34</v>
      </c>
      <c r="AJ18" s="483">
        <f t="shared" si="11"/>
        <v>0</v>
      </c>
      <c r="AK18" s="483">
        <f t="shared" si="11"/>
        <v>0</v>
      </c>
      <c r="AL18" s="483">
        <f t="shared" si="11"/>
        <v>0</v>
      </c>
      <c r="AM18" s="483">
        <f t="shared" si="11"/>
        <v>0</v>
      </c>
      <c r="AN18" s="483">
        <f t="shared" si="12"/>
        <v>0</v>
      </c>
      <c r="AO18" s="483">
        <f t="shared" si="13"/>
        <v>0</v>
      </c>
      <c r="AP18" s="483">
        <f t="shared" si="13"/>
        <v>0</v>
      </c>
      <c r="AQ18" s="483">
        <f t="shared" si="13"/>
        <v>0</v>
      </c>
      <c r="AR18" s="483">
        <f t="shared" si="13"/>
        <v>0</v>
      </c>
      <c r="AS18" s="483">
        <f t="shared" si="14"/>
        <v>0</v>
      </c>
      <c r="AT18" s="484">
        <f t="shared" si="15"/>
        <v>0</v>
      </c>
    </row>
    <row r="19" spans="2:46" ht="19.5" thickBot="1">
      <c r="B19" s="1187"/>
      <c r="C19" s="17"/>
      <c r="D19" s="30" t="s">
        <v>35</v>
      </c>
      <c r="E19" s="483">
        <f t="shared" si="0"/>
        <v>0</v>
      </c>
      <c r="F19" s="483">
        <f t="shared" si="0"/>
        <v>0</v>
      </c>
      <c r="G19" s="483">
        <f t="shared" si="0"/>
        <v>0</v>
      </c>
      <c r="H19" s="483">
        <f t="shared" si="0"/>
        <v>0</v>
      </c>
      <c r="I19" s="483">
        <f t="shared" si="1"/>
        <v>0</v>
      </c>
      <c r="J19" s="483">
        <f t="shared" si="2"/>
        <v>0</v>
      </c>
      <c r="K19" s="483">
        <f t="shared" si="2"/>
        <v>0</v>
      </c>
      <c r="L19" s="483">
        <f t="shared" si="2"/>
        <v>0</v>
      </c>
      <c r="M19" s="483">
        <f t="shared" si="2"/>
        <v>0</v>
      </c>
      <c r="N19" s="483">
        <f t="shared" si="3"/>
        <v>0</v>
      </c>
      <c r="O19" s="484">
        <f t="shared" si="4"/>
        <v>0</v>
      </c>
      <c r="P19" s="17"/>
      <c r="Q19" s="30" t="s">
        <v>35</v>
      </c>
      <c r="R19" s="483">
        <f t="shared" si="5"/>
        <v>0</v>
      </c>
      <c r="S19" s="483">
        <f t="shared" si="5"/>
        <v>0</v>
      </c>
      <c r="T19" s="483">
        <f t="shared" si="5"/>
        <v>0</v>
      </c>
      <c r="U19" s="483">
        <f t="shared" si="5"/>
        <v>0</v>
      </c>
      <c r="V19" s="483">
        <f t="shared" si="6"/>
        <v>0</v>
      </c>
      <c r="W19" s="483">
        <f t="shared" si="7"/>
        <v>0</v>
      </c>
      <c r="X19" s="483">
        <f t="shared" si="7"/>
        <v>0</v>
      </c>
      <c r="Y19" s="483">
        <f t="shared" si="7"/>
        <v>0</v>
      </c>
      <c r="Z19" s="483">
        <f t="shared" si="7"/>
        <v>0</v>
      </c>
      <c r="AA19" s="483">
        <f t="shared" si="8"/>
        <v>0</v>
      </c>
      <c r="AB19" s="484">
        <f t="shared" si="9"/>
        <v>0</v>
      </c>
      <c r="AC19" s="17"/>
      <c r="AD19" s="30" t="s">
        <v>35</v>
      </c>
      <c r="AE19" s="483">
        <f t="shared" si="10"/>
        <v>0</v>
      </c>
      <c r="AF19" s="483">
        <f>AF33+AF47+AF61+AF75+AF89</f>
        <v>0</v>
      </c>
      <c r="AG19" s="483">
        <f t="shared" si="16"/>
        <v>0</v>
      </c>
      <c r="AH19" s="17"/>
      <c r="AI19" s="30" t="s">
        <v>35</v>
      </c>
      <c r="AJ19" s="483">
        <f t="shared" si="11"/>
        <v>0</v>
      </c>
      <c r="AK19" s="483">
        <f t="shared" si="11"/>
        <v>0</v>
      </c>
      <c r="AL19" s="483">
        <f t="shared" si="11"/>
        <v>0</v>
      </c>
      <c r="AM19" s="483">
        <f t="shared" si="11"/>
        <v>0</v>
      </c>
      <c r="AN19" s="483">
        <f t="shared" si="12"/>
        <v>0</v>
      </c>
      <c r="AO19" s="483">
        <f t="shared" si="13"/>
        <v>0</v>
      </c>
      <c r="AP19" s="483">
        <f t="shared" si="13"/>
        <v>0</v>
      </c>
      <c r="AQ19" s="483">
        <f t="shared" si="13"/>
        <v>0</v>
      </c>
      <c r="AR19" s="483">
        <f t="shared" si="13"/>
        <v>0</v>
      </c>
      <c r="AS19" s="483">
        <f t="shared" si="14"/>
        <v>0</v>
      </c>
      <c r="AT19" s="484">
        <f t="shared" si="15"/>
        <v>0</v>
      </c>
    </row>
    <row r="20" spans="2:46" ht="19.5" thickBot="1">
      <c r="B20" s="1187"/>
      <c r="C20" s="17"/>
      <c r="D20" s="30" t="s">
        <v>36</v>
      </c>
      <c r="E20" s="483">
        <f>SUM(E8:E19)</f>
        <v>0</v>
      </c>
      <c r="F20" s="483">
        <f>SUM(F8:F19)</f>
        <v>0</v>
      </c>
      <c r="G20" s="483">
        <f>SUM(G8:G19)</f>
        <v>0</v>
      </c>
      <c r="H20" s="483">
        <f>SUM(H8:H19)</f>
        <v>0</v>
      </c>
      <c r="I20" s="483">
        <f t="shared" si="1"/>
        <v>0</v>
      </c>
      <c r="J20" s="483">
        <f>SUM(J8:J19)</f>
        <v>0</v>
      </c>
      <c r="K20" s="483">
        <f>SUM(K8:K19)</f>
        <v>0</v>
      </c>
      <c r="L20" s="483">
        <f>SUM(L8:L19)</f>
        <v>0</v>
      </c>
      <c r="M20" s="483">
        <f>SUM(M8:M19)</f>
        <v>0</v>
      </c>
      <c r="N20" s="483">
        <f t="shared" si="3"/>
        <v>0</v>
      </c>
      <c r="O20" s="484">
        <f t="shared" si="4"/>
        <v>0</v>
      </c>
      <c r="P20" s="17"/>
      <c r="Q20" s="30" t="s">
        <v>36</v>
      </c>
      <c r="R20" s="483">
        <f>SUM(R8:R19)</f>
        <v>0</v>
      </c>
      <c r="S20" s="483">
        <f>SUM(S8:S19)</f>
        <v>0</v>
      </c>
      <c r="T20" s="483">
        <f>SUM(T8:T19)</f>
        <v>0</v>
      </c>
      <c r="U20" s="483">
        <f>SUM(U8:U19)</f>
        <v>0</v>
      </c>
      <c r="V20" s="483">
        <f t="shared" si="6"/>
        <v>0</v>
      </c>
      <c r="W20" s="483">
        <f>SUM(W8:W19)</f>
        <v>0</v>
      </c>
      <c r="X20" s="483">
        <f>SUM(X8:X19)</f>
        <v>0</v>
      </c>
      <c r="Y20" s="483">
        <f>SUM(Y8:Y19)</f>
        <v>0</v>
      </c>
      <c r="Z20" s="483">
        <f>SUM(Z8:Z19)</f>
        <v>0</v>
      </c>
      <c r="AA20" s="483">
        <f t="shared" si="8"/>
        <v>0</v>
      </c>
      <c r="AB20" s="484">
        <f t="shared" si="9"/>
        <v>0</v>
      </c>
      <c r="AC20" s="17"/>
      <c r="AD20" s="30" t="s">
        <v>36</v>
      </c>
      <c r="AE20" s="483">
        <f>SUM(AE8:AE19)</f>
        <v>0</v>
      </c>
      <c r="AF20" s="483">
        <f>SUM(AF8:AF19)</f>
        <v>0</v>
      </c>
      <c r="AG20" s="485">
        <f>SUM(AG8:AG19)</f>
        <v>0</v>
      </c>
      <c r="AH20" s="17"/>
      <c r="AI20" s="30" t="s">
        <v>36</v>
      </c>
      <c r="AJ20" s="483">
        <f>SUM(AJ8:AJ19)</f>
        <v>0</v>
      </c>
      <c r="AK20" s="483">
        <f>SUM(AK8:AK19)</f>
        <v>0</v>
      </c>
      <c r="AL20" s="483">
        <f>SUM(AL8:AL19)</f>
        <v>0</v>
      </c>
      <c r="AM20" s="483">
        <f>SUM(AM8:AM19)</f>
        <v>0</v>
      </c>
      <c r="AN20" s="483">
        <f t="shared" si="12"/>
        <v>0</v>
      </c>
      <c r="AO20" s="483">
        <f>SUM(AO8:AO19)</f>
        <v>0</v>
      </c>
      <c r="AP20" s="483">
        <f>SUM(AP8:AP19)</f>
        <v>0</v>
      </c>
      <c r="AQ20" s="483">
        <f>SUM(AQ8:AQ19)</f>
        <v>0</v>
      </c>
      <c r="AR20" s="483">
        <f>SUM(AR8:AR19)</f>
        <v>0</v>
      </c>
      <c r="AS20" s="483">
        <f t="shared" si="14"/>
        <v>0</v>
      </c>
      <c r="AT20" s="484">
        <f t="shared" si="15"/>
        <v>0</v>
      </c>
    </row>
    <row r="21" spans="2:46" s="489" customFormat="1" ht="4.1500000000000004" customHeight="1" thickBot="1">
      <c r="B21" s="486"/>
      <c r="C21" s="375"/>
      <c r="D21" s="375"/>
      <c r="E21" s="487"/>
      <c r="F21" s="487"/>
      <c r="G21" s="487"/>
      <c r="H21" s="487"/>
      <c r="I21" s="487"/>
      <c r="J21" s="487"/>
      <c r="K21" s="487"/>
      <c r="L21" s="487"/>
      <c r="M21" s="487"/>
      <c r="N21" s="487"/>
      <c r="O21" s="488"/>
      <c r="P21" s="375"/>
      <c r="Q21" s="375"/>
      <c r="R21" s="487"/>
      <c r="S21" s="487"/>
      <c r="T21" s="487"/>
      <c r="U21" s="487"/>
      <c r="V21" s="487"/>
      <c r="W21" s="487"/>
      <c r="X21" s="487"/>
      <c r="Y21" s="487"/>
      <c r="Z21" s="487"/>
      <c r="AA21" s="487"/>
      <c r="AB21" s="488"/>
      <c r="AC21" s="375"/>
      <c r="AD21" s="375"/>
      <c r="AE21" s="487"/>
      <c r="AF21" s="487"/>
      <c r="AG21" s="487"/>
      <c r="AH21" s="375"/>
      <c r="AI21" s="375"/>
      <c r="AJ21" s="487"/>
      <c r="AK21" s="487"/>
      <c r="AL21" s="487"/>
      <c r="AM21" s="487"/>
      <c r="AN21" s="487"/>
      <c r="AO21" s="487"/>
      <c r="AP21" s="487"/>
      <c r="AQ21" s="487"/>
      <c r="AR21" s="487"/>
      <c r="AS21" s="487"/>
      <c r="AT21" s="488"/>
    </row>
    <row r="22" spans="2:46" ht="19.5" thickBot="1">
      <c r="B22" s="1188" t="str">
        <f>IF(基本情報!E17="","",基本情報!E17)</f>
        <v/>
      </c>
      <c r="C22" s="17"/>
      <c r="D22" s="30" t="s">
        <v>24</v>
      </c>
      <c r="E22" s="31"/>
      <c r="F22" s="31"/>
      <c r="G22" s="31"/>
      <c r="H22" s="31"/>
      <c r="I22" s="483">
        <f t="shared" ref="I22:I34" si="17">SUM(E22:H22)</f>
        <v>0</v>
      </c>
      <c r="J22" s="31"/>
      <c r="K22" s="31"/>
      <c r="L22" s="31"/>
      <c r="M22" s="31"/>
      <c r="N22" s="483">
        <f t="shared" ref="N22:N34" si="18">SUM(J22:M22)</f>
        <v>0</v>
      </c>
      <c r="O22" s="484">
        <f t="shared" ref="O22:O34" si="19">I22+N22</f>
        <v>0</v>
      </c>
      <c r="P22" s="17"/>
      <c r="Q22" s="30" t="s">
        <v>24</v>
      </c>
      <c r="R22" s="31"/>
      <c r="S22" s="31"/>
      <c r="T22" s="31"/>
      <c r="U22" s="31"/>
      <c r="V22" s="483">
        <f t="shared" ref="V22:V34" si="20">SUM(R22:U22)</f>
        <v>0</v>
      </c>
      <c r="W22" s="31"/>
      <c r="X22" s="31"/>
      <c r="Y22" s="31"/>
      <c r="Z22" s="31"/>
      <c r="AA22" s="483">
        <f t="shared" ref="AA22:AA34" si="21">SUM(W22:Z22)</f>
        <v>0</v>
      </c>
      <c r="AB22" s="484">
        <f t="shared" ref="AB22:AB34" si="22">V22+AA22</f>
        <v>0</v>
      </c>
      <c r="AC22" s="17"/>
      <c r="AD22" s="30" t="s">
        <v>24</v>
      </c>
      <c r="AE22" s="31"/>
      <c r="AF22" s="31"/>
      <c r="AG22" s="485">
        <f>AE22+AF22</f>
        <v>0</v>
      </c>
      <c r="AH22" s="17"/>
      <c r="AI22" s="30" t="s">
        <v>24</v>
      </c>
      <c r="AJ22" s="490">
        <f t="shared" ref="AJ22:AJ33" si="23">E22+R22</f>
        <v>0</v>
      </c>
      <c r="AK22" s="490">
        <f t="shared" ref="AK22:AK33" si="24">F22+S22</f>
        <v>0</v>
      </c>
      <c r="AL22" s="490">
        <f t="shared" ref="AL22:AL33" si="25">G22+T22</f>
        <v>0</v>
      </c>
      <c r="AM22" s="490">
        <f t="shared" ref="AM22:AM33" si="26">H22+U22</f>
        <v>0</v>
      </c>
      <c r="AN22" s="483">
        <f t="shared" ref="AN22:AN34" si="27">SUM(AJ22:AM22)</f>
        <v>0</v>
      </c>
      <c r="AO22" s="490">
        <f t="shared" ref="AO22:AO33" si="28">J22+W22</f>
        <v>0</v>
      </c>
      <c r="AP22" s="490">
        <f t="shared" ref="AP22:AP33" si="29">K22+X22</f>
        <v>0</v>
      </c>
      <c r="AQ22" s="490">
        <f t="shared" ref="AQ22:AQ33" si="30">L22+Y22</f>
        <v>0</v>
      </c>
      <c r="AR22" s="490">
        <f t="shared" ref="AR22:AR33" si="31">M22+Z22</f>
        <v>0</v>
      </c>
      <c r="AS22" s="483">
        <f t="shared" ref="AS22:AS34" si="32">SUM(AO22:AR22)</f>
        <v>0</v>
      </c>
      <c r="AT22" s="484">
        <f t="shared" ref="AT22:AT34" si="33">AN22+AS22</f>
        <v>0</v>
      </c>
    </row>
    <row r="23" spans="2:46" ht="19.5" thickBot="1">
      <c r="B23" s="1188"/>
      <c r="C23" s="17"/>
      <c r="D23" s="30" t="s">
        <v>25</v>
      </c>
      <c r="E23" s="31"/>
      <c r="F23" s="31"/>
      <c r="G23" s="31"/>
      <c r="H23" s="31"/>
      <c r="I23" s="483">
        <f t="shared" si="17"/>
        <v>0</v>
      </c>
      <c r="J23" s="31"/>
      <c r="K23" s="31"/>
      <c r="L23" s="31"/>
      <c r="M23" s="31"/>
      <c r="N23" s="483">
        <f t="shared" si="18"/>
        <v>0</v>
      </c>
      <c r="O23" s="484">
        <f t="shared" si="19"/>
        <v>0</v>
      </c>
      <c r="P23" s="17"/>
      <c r="Q23" s="30" t="s">
        <v>25</v>
      </c>
      <c r="R23" s="31"/>
      <c r="S23" s="31"/>
      <c r="T23" s="31"/>
      <c r="U23" s="31"/>
      <c r="V23" s="483">
        <f t="shared" si="20"/>
        <v>0</v>
      </c>
      <c r="W23" s="31"/>
      <c r="X23" s="31"/>
      <c r="Y23" s="31"/>
      <c r="Z23" s="31"/>
      <c r="AA23" s="483">
        <f t="shared" si="21"/>
        <v>0</v>
      </c>
      <c r="AB23" s="484">
        <f t="shared" si="22"/>
        <v>0</v>
      </c>
      <c r="AC23" s="17"/>
      <c r="AD23" s="30" t="s">
        <v>25</v>
      </c>
      <c r="AE23" s="31"/>
      <c r="AF23" s="31"/>
      <c r="AG23" s="485">
        <f>AE23+AF23</f>
        <v>0</v>
      </c>
      <c r="AH23" s="17"/>
      <c r="AI23" s="30" t="s">
        <v>25</v>
      </c>
      <c r="AJ23" s="490">
        <f t="shared" si="23"/>
        <v>0</v>
      </c>
      <c r="AK23" s="490">
        <f t="shared" si="24"/>
        <v>0</v>
      </c>
      <c r="AL23" s="490">
        <f t="shared" si="25"/>
        <v>0</v>
      </c>
      <c r="AM23" s="490">
        <f t="shared" si="26"/>
        <v>0</v>
      </c>
      <c r="AN23" s="483">
        <f t="shared" si="27"/>
        <v>0</v>
      </c>
      <c r="AO23" s="490">
        <f t="shared" si="28"/>
        <v>0</v>
      </c>
      <c r="AP23" s="490">
        <f t="shared" si="29"/>
        <v>0</v>
      </c>
      <c r="AQ23" s="490">
        <f t="shared" si="30"/>
        <v>0</v>
      </c>
      <c r="AR23" s="490">
        <f t="shared" si="31"/>
        <v>0</v>
      </c>
      <c r="AS23" s="483">
        <f t="shared" si="32"/>
        <v>0</v>
      </c>
      <c r="AT23" s="484">
        <f t="shared" si="33"/>
        <v>0</v>
      </c>
    </row>
    <row r="24" spans="2:46" ht="19.5" thickBot="1">
      <c r="B24" s="1188"/>
      <c r="C24" s="17"/>
      <c r="D24" s="30" t="s">
        <v>26</v>
      </c>
      <c r="E24" s="31"/>
      <c r="F24" s="31"/>
      <c r="G24" s="31"/>
      <c r="H24" s="31"/>
      <c r="I24" s="483">
        <f t="shared" si="17"/>
        <v>0</v>
      </c>
      <c r="J24" s="31"/>
      <c r="K24" s="31"/>
      <c r="L24" s="31"/>
      <c r="M24" s="31"/>
      <c r="N24" s="483">
        <f t="shared" si="18"/>
        <v>0</v>
      </c>
      <c r="O24" s="484">
        <f t="shared" si="19"/>
        <v>0</v>
      </c>
      <c r="P24" s="17"/>
      <c r="Q24" s="30" t="s">
        <v>26</v>
      </c>
      <c r="R24" s="31"/>
      <c r="S24" s="31"/>
      <c r="T24" s="31"/>
      <c r="U24" s="31"/>
      <c r="V24" s="483">
        <f t="shared" si="20"/>
        <v>0</v>
      </c>
      <c r="W24" s="31"/>
      <c r="X24" s="31"/>
      <c r="Y24" s="31"/>
      <c r="Z24" s="31"/>
      <c r="AA24" s="483">
        <f t="shared" si="21"/>
        <v>0</v>
      </c>
      <c r="AB24" s="484">
        <f t="shared" si="22"/>
        <v>0</v>
      </c>
      <c r="AC24" s="17"/>
      <c r="AD24" s="30" t="s">
        <v>26</v>
      </c>
      <c r="AE24" s="31"/>
      <c r="AF24" s="31"/>
      <c r="AG24" s="485">
        <f t="shared" ref="AG24:AG33" si="34">AE24+AF24</f>
        <v>0</v>
      </c>
      <c r="AH24" s="17"/>
      <c r="AI24" s="30" t="s">
        <v>26</v>
      </c>
      <c r="AJ24" s="490">
        <f t="shared" si="23"/>
        <v>0</v>
      </c>
      <c r="AK24" s="490">
        <f t="shared" si="24"/>
        <v>0</v>
      </c>
      <c r="AL24" s="490">
        <f t="shared" si="25"/>
        <v>0</v>
      </c>
      <c r="AM24" s="490">
        <f t="shared" si="26"/>
        <v>0</v>
      </c>
      <c r="AN24" s="483">
        <f t="shared" si="27"/>
        <v>0</v>
      </c>
      <c r="AO24" s="490">
        <f t="shared" si="28"/>
        <v>0</v>
      </c>
      <c r="AP24" s="490">
        <f t="shared" si="29"/>
        <v>0</v>
      </c>
      <c r="AQ24" s="490">
        <f t="shared" si="30"/>
        <v>0</v>
      </c>
      <c r="AR24" s="490">
        <f t="shared" si="31"/>
        <v>0</v>
      </c>
      <c r="AS24" s="483">
        <f t="shared" si="32"/>
        <v>0</v>
      </c>
      <c r="AT24" s="484">
        <f t="shared" si="33"/>
        <v>0</v>
      </c>
    </row>
    <row r="25" spans="2:46" ht="19.5" thickBot="1">
      <c r="B25" s="1188"/>
      <c r="C25" s="17"/>
      <c r="D25" s="30" t="s">
        <v>27</v>
      </c>
      <c r="E25" s="31"/>
      <c r="F25" s="31"/>
      <c r="G25" s="31"/>
      <c r="H25" s="31"/>
      <c r="I25" s="483">
        <f t="shared" si="17"/>
        <v>0</v>
      </c>
      <c r="J25" s="31"/>
      <c r="K25" s="31"/>
      <c r="L25" s="31"/>
      <c r="M25" s="31"/>
      <c r="N25" s="483">
        <f t="shared" si="18"/>
        <v>0</v>
      </c>
      <c r="O25" s="484">
        <f t="shared" si="19"/>
        <v>0</v>
      </c>
      <c r="P25" s="17"/>
      <c r="Q25" s="30" t="s">
        <v>27</v>
      </c>
      <c r="R25" s="31"/>
      <c r="S25" s="31"/>
      <c r="T25" s="31"/>
      <c r="U25" s="31"/>
      <c r="V25" s="483">
        <f t="shared" si="20"/>
        <v>0</v>
      </c>
      <c r="W25" s="31"/>
      <c r="X25" s="31"/>
      <c r="Y25" s="31"/>
      <c r="Z25" s="31"/>
      <c r="AA25" s="483">
        <f t="shared" si="21"/>
        <v>0</v>
      </c>
      <c r="AB25" s="484">
        <f t="shared" si="22"/>
        <v>0</v>
      </c>
      <c r="AC25" s="17"/>
      <c r="AD25" s="30" t="s">
        <v>27</v>
      </c>
      <c r="AE25" s="31"/>
      <c r="AF25" s="31"/>
      <c r="AG25" s="485">
        <f t="shared" si="34"/>
        <v>0</v>
      </c>
      <c r="AH25" s="17"/>
      <c r="AI25" s="30" t="s">
        <v>27</v>
      </c>
      <c r="AJ25" s="490">
        <f t="shared" si="23"/>
        <v>0</v>
      </c>
      <c r="AK25" s="490">
        <f t="shared" si="24"/>
        <v>0</v>
      </c>
      <c r="AL25" s="490">
        <f t="shared" si="25"/>
        <v>0</v>
      </c>
      <c r="AM25" s="490">
        <f t="shared" si="26"/>
        <v>0</v>
      </c>
      <c r="AN25" s="483">
        <f t="shared" si="27"/>
        <v>0</v>
      </c>
      <c r="AO25" s="490">
        <f t="shared" si="28"/>
        <v>0</v>
      </c>
      <c r="AP25" s="490">
        <f t="shared" si="29"/>
        <v>0</v>
      </c>
      <c r="AQ25" s="490">
        <f t="shared" si="30"/>
        <v>0</v>
      </c>
      <c r="AR25" s="490">
        <f t="shared" si="31"/>
        <v>0</v>
      </c>
      <c r="AS25" s="483">
        <f t="shared" si="32"/>
        <v>0</v>
      </c>
      <c r="AT25" s="484">
        <f t="shared" si="33"/>
        <v>0</v>
      </c>
    </row>
    <row r="26" spans="2:46" ht="19.5" thickBot="1">
      <c r="B26" s="1188"/>
      <c r="C26" s="17"/>
      <c r="D26" s="30" t="s">
        <v>28</v>
      </c>
      <c r="E26" s="31"/>
      <c r="F26" s="31"/>
      <c r="G26" s="31"/>
      <c r="H26" s="31"/>
      <c r="I26" s="483">
        <f t="shared" si="17"/>
        <v>0</v>
      </c>
      <c r="J26" s="31"/>
      <c r="K26" s="31"/>
      <c r="L26" s="31"/>
      <c r="M26" s="31"/>
      <c r="N26" s="483">
        <f t="shared" si="18"/>
        <v>0</v>
      </c>
      <c r="O26" s="484">
        <f t="shared" si="19"/>
        <v>0</v>
      </c>
      <c r="P26" s="17"/>
      <c r="Q26" s="30" t="s">
        <v>28</v>
      </c>
      <c r="R26" s="31"/>
      <c r="S26" s="31"/>
      <c r="T26" s="31"/>
      <c r="U26" s="31"/>
      <c r="V26" s="483">
        <f t="shared" si="20"/>
        <v>0</v>
      </c>
      <c r="W26" s="31"/>
      <c r="X26" s="31"/>
      <c r="Y26" s="31"/>
      <c r="Z26" s="31"/>
      <c r="AA26" s="483">
        <f t="shared" si="21"/>
        <v>0</v>
      </c>
      <c r="AB26" s="484">
        <f t="shared" si="22"/>
        <v>0</v>
      </c>
      <c r="AC26" s="17"/>
      <c r="AD26" s="30" t="s">
        <v>28</v>
      </c>
      <c r="AE26" s="31"/>
      <c r="AF26" s="31"/>
      <c r="AG26" s="485">
        <f t="shared" si="34"/>
        <v>0</v>
      </c>
      <c r="AH26" s="17"/>
      <c r="AI26" s="30" t="s">
        <v>28</v>
      </c>
      <c r="AJ26" s="490">
        <f t="shared" si="23"/>
        <v>0</v>
      </c>
      <c r="AK26" s="490">
        <f t="shared" si="24"/>
        <v>0</v>
      </c>
      <c r="AL26" s="490">
        <f t="shared" si="25"/>
        <v>0</v>
      </c>
      <c r="AM26" s="490">
        <f t="shared" si="26"/>
        <v>0</v>
      </c>
      <c r="AN26" s="483">
        <f t="shared" si="27"/>
        <v>0</v>
      </c>
      <c r="AO26" s="490">
        <f t="shared" si="28"/>
        <v>0</v>
      </c>
      <c r="AP26" s="490">
        <f t="shared" si="29"/>
        <v>0</v>
      </c>
      <c r="AQ26" s="490">
        <f t="shared" si="30"/>
        <v>0</v>
      </c>
      <c r="AR26" s="490">
        <f t="shared" si="31"/>
        <v>0</v>
      </c>
      <c r="AS26" s="483">
        <f t="shared" si="32"/>
        <v>0</v>
      </c>
      <c r="AT26" s="484">
        <f t="shared" si="33"/>
        <v>0</v>
      </c>
    </row>
    <row r="27" spans="2:46" ht="19.5" thickBot="1">
      <c r="B27" s="1188"/>
      <c r="C27" s="17"/>
      <c r="D27" s="30" t="s">
        <v>29</v>
      </c>
      <c r="E27" s="31"/>
      <c r="F27" s="31"/>
      <c r="G27" s="31"/>
      <c r="H27" s="31"/>
      <c r="I27" s="483">
        <f t="shared" si="17"/>
        <v>0</v>
      </c>
      <c r="J27" s="31"/>
      <c r="K27" s="31"/>
      <c r="L27" s="31"/>
      <c r="M27" s="31"/>
      <c r="N27" s="483">
        <f t="shared" si="18"/>
        <v>0</v>
      </c>
      <c r="O27" s="484">
        <f t="shared" si="19"/>
        <v>0</v>
      </c>
      <c r="P27" s="17"/>
      <c r="Q27" s="30" t="s">
        <v>29</v>
      </c>
      <c r="R27" s="31"/>
      <c r="S27" s="31"/>
      <c r="T27" s="31"/>
      <c r="U27" s="31"/>
      <c r="V27" s="483">
        <f t="shared" si="20"/>
        <v>0</v>
      </c>
      <c r="W27" s="31"/>
      <c r="X27" s="31"/>
      <c r="Y27" s="31"/>
      <c r="Z27" s="31"/>
      <c r="AA27" s="483">
        <f t="shared" si="21"/>
        <v>0</v>
      </c>
      <c r="AB27" s="484">
        <f t="shared" si="22"/>
        <v>0</v>
      </c>
      <c r="AC27" s="17"/>
      <c r="AD27" s="30" t="s">
        <v>29</v>
      </c>
      <c r="AE27" s="31"/>
      <c r="AF27" s="31"/>
      <c r="AG27" s="485">
        <f t="shared" si="34"/>
        <v>0</v>
      </c>
      <c r="AH27" s="17"/>
      <c r="AI27" s="30" t="s">
        <v>29</v>
      </c>
      <c r="AJ27" s="490">
        <f t="shared" si="23"/>
        <v>0</v>
      </c>
      <c r="AK27" s="490">
        <f t="shared" si="24"/>
        <v>0</v>
      </c>
      <c r="AL27" s="490">
        <f t="shared" si="25"/>
        <v>0</v>
      </c>
      <c r="AM27" s="490">
        <f t="shared" si="26"/>
        <v>0</v>
      </c>
      <c r="AN27" s="483">
        <f t="shared" si="27"/>
        <v>0</v>
      </c>
      <c r="AO27" s="490">
        <f t="shared" si="28"/>
        <v>0</v>
      </c>
      <c r="AP27" s="490">
        <f t="shared" si="29"/>
        <v>0</v>
      </c>
      <c r="AQ27" s="490">
        <f t="shared" si="30"/>
        <v>0</v>
      </c>
      <c r="AR27" s="490">
        <f t="shared" si="31"/>
        <v>0</v>
      </c>
      <c r="AS27" s="483">
        <f t="shared" si="32"/>
        <v>0</v>
      </c>
      <c r="AT27" s="484">
        <f t="shared" si="33"/>
        <v>0</v>
      </c>
    </row>
    <row r="28" spans="2:46" ht="19.5" thickBot="1">
      <c r="B28" s="1188"/>
      <c r="C28" s="17"/>
      <c r="D28" s="30" t="s">
        <v>30</v>
      </c>
      <c r="E28" s="31"/>
      <c r="F28" s="31"/>
      <c r="G28" s="31"/>
      <c r="H28" s="31"/>
      <c r="I28" s="483">
        <f t="shared" si="17"/>
        <v>0</v>
      </c>
      <c r="J28" s="31"/>
      <c r="K28" s="31"/>
      <c r="L28" s="31"/>
      <c r="M28" s="31"/>
      <c r="N28" s="483">
        <f t="shared" si="18"/>
        <v>0</v>
      </c>
      <c r="O28" s="484">
        <f t="shared" si="19"/>
        <v>0</v>
      </c>
      <c r="P28" s="17"/>
      <c r="Q28" s="30" t="s">
        <v>30</v>
      </c>
      <c r="R28" s="31"/>
      <c r="S28" s="31"/>
      <c r="T28" s="31"/>
      <c r="U28" s="31"/>
      <c r="V28" s="483">
        <f t="shared" si="20"/>
        <v>0</v>
      </c>
      <c r="W28" s="31"/>
      <c r="X28" s="31"/>
      <c r="Y28" s="31"/>
      <c r="Z28" s="31"/>
      <c r="AA28" s="483">
        <f t="shared" si="21"/>
        <v>0</v>
      </c>
      <c r="AB28" s="484">
        <f t="shared" si="22"/>
        <v>0</v>
      </c>
      <c r="AC28" s="17"/>
      <c r="AD28" s="30" t="s">
        <v>30</v>
      </c>
      <c r="AE28" s="31"/>
      <c r="AF28" s="31"/>
      <c r="AG28" s="485">
        <f t="shared" si="34"/>
        <v>0</v>
      </c>
      <c r="AH28" s="17"/>
      <c r="AI28" s="30" t="s">
        <v>30</v>
      </c>
      <c r="AJ28" s="490">
        <f t="shared" si="23"/>
        <v>0</v>
      </c>
      <c r="AK28" s="490">
        <f t="shared" si="24"/>
        <v>0</v>
      </c>
      <c r="AL28" s="490">
        <f t="shared" si="25"/>
        <v>0</v>
      </c>
      <c r="AM28" s="490">
        <f t="shared" si="26"/>
        <v>0</v>
      </c>
      <c r="AN28" s="483">
        <f t="shared" si="27"/>
        <v>0</v>
      </c>
      <c r="AO28" s="490">
        <f t="shared" si="28"/>
        <v>0</v>
      </c>
      <c r="AP28" s="490">
        <f t="shared" si="29"/>
        <v>0</v>
      </c>
      <c r="AQ28" s="490">
        <f t="shared" si="30"/>
        <v>0</v>
      </c>
      <c r="AR28" s="490">
        <f t="shared" si="31"/>
        <v>0</v>
      </c>
      <c r="AS28" s="483">
        <f t="shared" si="32"/>
        <v>0</v>
      </c>
      <c r="AT28" s="484">
        <f t="shared" si="33"/>
        <v>0</v>
      </c>
    </row>
    <row r="29" spans="2:46" ht="19.5" thickBot="1">
      <c r="B29" s="1188"/>
      <c r="C29" s="17"/>
      <c r="D29" s="30" t="s">
        <v>31</v>
      </c>
      <c r="E29" s="31"/>
      <c r="F29" s="31"/>
      <c r="G29" s="31"/>
      <c r="H29" s="31"/>
      <c r="I29" s="483">
        <f t="shared" si="17"/>
        <v>0</v>
      </c>
      <c r="J29" s="31"/>
      <c r="K29" s="31"/>
      <c r="L29" s="31"/>
      <c r="M29" s="31"/>
      <c r="N29" s="483">
        <f t="shared" si="18"/>
        <v>0</v>
      </c>
      <c r="O29" s="484">
        <f t="shared" si="19"/>
        <v>0</v>
      </c>
      <c r="P29" s="17"/>
      <c r="Q29" s="30" t="s">
        <v>31</v>
      </c>
      <c r="R29" s="31"/>
      <c r="S29" s="31"/>
      <c r="T29" s="31"/>
      <c r="U29" s="31"/>
      <c r="V29" s="483">
        <f t="shared" si="20"/>
        <v>0</v>
      </c>
      <c r="W29" s="31"/>
      <c r="X29" s="31"/>
      <c r="Y29" s="31"/>
      <c r="Z29" s="31"/>
      <c r="AA29" s="483">
        <f t="shared" si="21"/>
        <v>0</v>
      </c>
      <c r="AB29" s="484">
        <f t="shared" si="22"/>
        <v>0</v>
      </c>
      <c r="AC29" s="17"/>
      <c r="AD29" s="30" t="s">
        <v>31</v>
      </c>
      <c r="AE29" s="31"/>
      <c r="AF29" s="31"/>
      <c r="AG29" s="485">
        <f t="shared" si="34"/>
        <v>0</v>
      </c>
      <c r="AH29" s="17"/>
      <c r="AI29" s="30" t="s">
        <v>31</v>
      </c>
      <c r="AJ29" s="490">
        <f t="shared" si="23"/>
        <v>0</v>
      </c>
      <c r="AK29" s="490">
        <f t="shared" si="24"/>
        <v>0</v>
      </c>
      <c r="AL29" s="490">
        <f t="shared" si="25"/>
        <v>0</v>
      </c>
      <c r="AM29" s="490">
        <f t="shared" si="26"/>
        <v>0</v>
      </c>
      <c r="AN29" s="483">
        <f t="shared" si="27"/>
        <v>0</v>
      </c>
      <c r="AO29" s="490">
        <f t="shared" si="28"/>
        <v>0</v>
      </c>
      <c r="AP29" s="490">
        <f t="shared" si="29"/>
        <v>0</v>
      </c>
      <c r="AQ29" s="490">
        <f t="shared" si="30"/>
        <v>0</v>
      </c>
      <c r="AR29" s="490">
        <f t="shared" si="31"/>
        <v>0</v>
      </c>
      <c r="AS29" s="483">
        <f t="shared" si="32"/>
        <v>0</v>
      </c>
      <c r="AT29" s="484">
        <f t="shared" si="33"/>
        <v>0</v>
      </c>
    </row>
    <row r="30" spans="2:46" ht="19.5" thickBot="1">
      <c r="B30" s="1188"/>
      <c r="C30" s="17"/>
      <c r="D30" s="30" t="s">
        <v>32</v>
      </c>
      <c r="E30" s="31"/>
      <c r="F30" s="31"/>
      <c r="G30" s="31"/>
      <c r="H30" s="31"/>
      <c r="I30" s="483">
        <f t="shared" si="17"/>
        <v>0</v>
      </c>
      <c r="J30" s="31"/>
      <c r="K30" s="31"/>
      <c r="L30" s="31"/>
      <c r="M30" s="31"/>
      <c r="N30" s="483">
        <f t="shared" si="18"/>
        <v>0</v>
      </c>
      <c r="O30" s="484">
        <f t="shared" si="19"/>
        <v>0</v>
      </c>
      <c r="P30" s="17"/>
      <c r="Q30" s="30" t="s">
        <v>32</v>
      </c>
      <c r="R30" s="31"/>
      <c r="S30" s="31"/>
      <c r="T30" s="31"/>
      <c r="U30" s="31"/>
      <c r="V30" s="483">
        <f t="shared" si="20"/>
        <v>0</v>
      </c>
      <c r="W30" s="31"/>
      <c r="X30" s="31"/>
      <c r="Y30" s="31"/>
      <c r="Z30" s="31"/>
      <c r="AA30" s="483">
        <f t="shared" si="21"/>
        <v>0</v>
      </c>
      <c r="AB30" s="484">
        <f t="shared" si="22"/>
        <v>0</v>
      </c>
      <c r="AC30" s="17"/>
      <c r="AD30" s="30" t="s">
        <v>32</v>
      </c>
      <c r="AE30" s="31"/>
      <c r="AF30" s="31"/>
      <c r="AG30" s="485">
        <f t="shared" si="34"/>
        <v>0</v>
      </c>
      <c r="AH30" s="17"/>
      <c r="AI30" s="30" t="s">
        <v>32</v>
      </c>
      <c r="AJ30" s="490">
        <f t="shared" si="23"/>
        <v>0</v>
      </c>
      <c r="AK30" s="490">
        <f t="shared" si="24"/>
        <v>0</v>
      </c>
      <c r="AL30" s="490">
        <f t="shared" si="25"/>
        <v>0</v>
      </c>
      <c r="AM30" s="490">
        <f t="shared" si="26"/>
        <v>0</v>
      </c>
      <c r="AN30" s="483">
        <f t="shared" si="27"/>
        <v>0</v>
      </c>
      <c r="AO30" s="490">
        <f t="shared" si="28"/>
        <v>0</v>
      </c>
      <c r="AP30" s="490">
        <f t="shared" si="29"/>
        <v>0</v>
      </c>
      <c r="AQ30" s="490">
        <f t="shared" si="30"/>
        <v>0</v>
      </c>
      <c r="AR30" s="490">
        <f t="shared" si="31"/>
        <v>0</v>
      </c>
      <c r="AS30" s="483">
        <f t="shared" si="32"/>
        <v>0</v>
      </c>
      <c r="AT30" s="484">
        <f t="shared" si="33"/>
        <v>0</v>
      </c>
    </row>
    <row r="31" spans="2:46" ht="19.5" thickBot="1">
      <c r="B31" s="1188"/>
      <c r="C31" s="17"/>
      <c r="D31" s="30" t="s">
        <v>33</v>
      </c>
      <c r="E31" s="31"/>
      <c r="F31" s="31"/>
      <c r="G31" s="31"/>
      <c r="H31" s="31"/>
      <c r="I31" s="483">
        <f t="shared" si="17"/>
        <v>0</v>
      </c>
      <c r="J31" s="31"/>
      <c r="K31" s="31"/>
      <c r="L31" s="31"/>
      <c r="M31" s="31"/>
      <c r="N31" s="483">
        <f t="shared" si="18"/>
        <v>0</v>
      </c>
      <c r="O31" s="484">
        <f t="shared" si="19"/>
        <v>0</v>
      </c>
      <c r="P31" s="17"/>
      <c r="Q31" s="30" t="s">
        <v>33</v>
      </c>
      <c r="R31" s="31"/>
      <c r="S31" s="31"/>
      <c r="T31" s="31"/>
      <c r="U31" s="31"/>
      <c r="V31" s="483">
        <f t="shared" si="20"/>
        <v>0</v>
      </c>
      <c r="W31" s="31"/>
      <c r="X31" s="31"/>
      <c r="Y31" s="31"/>
      <c r="Z31" s="31"/>
      <c r="AA31" s="483">
        <f t="shared" si="21"/>
        <v>0</v>
      </c>
      <c r="AB31" s="484">
        <f t="shared" si="22"/>
        <v>0</v>
      </c>
      <c r="AC31" s="17"/>
      <c r="AD31" s="30" t="s">
        <v>33</v>
      </c>
      <c r="AE31" s="31"/>
      <c r="AF31" s="31"/>
      <c r="AG31" s="485">
        <f t="shared" si="34"/>
        <v>0</v>
      </c>
      <c r="AH31" s="17"/>
      <c r="AI31" s="30" t="s">
        <v>33</v>
      </c>
      <c r="AJ31" s="490">
        <f t="shared" si="23"/>
        <v>0</v>
      </c>
      <c r="AK31" s="490">
        <f t="shared" si="24"/>
        <v>0</v>
      </c>
      <c r="AL31" s="490">
        <f t="shared" si="25"/>
        <v>0</v>
      </c>
      <c r="AM31" s="490">
        <f t="shared" si="26"/>
        <v>0</v>
      </c>
      <c r="AN31" s="483">
        <f t="shared" si="27"/>
        <v>0</v>
      </c>
      <c r="AO31" s="490">
        <f t="shared" si="28"/>
        <v>0</v>
      </c>
      <c r="AP31" s="490">
        <f t="shared" si="29"/>
        <v>0</v>
      </c>
      <c r="AQ31" s="490">
        <f t="shared" si="30"/>
        <v>0</v>
      </c>
      <c r="AR31" s="490">
        <f t="shared" si="31"/>
        <v>0</v>
      </c>
      <c r="AS31" s="483">
        <f t="shared" si="32"/>
        <v>0</v>
      </c>
      <c r="AT31" s="484">
        <f t="shared" si="33"/>
        <v>0</v>
      </c>
    </row>
    <row r="32" spans="2:46" ht="19.5" thickBot="1">
      <c r="B32" s="1188"/>
      <c r="C32" s="17"/>
      <c r="D32" s="30" t="s">
        <v>34</v>
      </c>
      <c r="E32" s="31"/>
      <c r="F32" s="31"/>
      <c r="G32" s="31"/>
      <c r="H32" s="31"/>
      <c r="I32" s="483">
        <f t="shared" si="17"/>
        <v>0</v>
      </c>
      <c r="J32" s="31"/>
      <c r="K32" s="31"/>
      <c r="L32" s="31"/>
      <c r="M32" s="31"/>
      <c r="N32" s="483">
        <f t="shared" si="18"/>
        <v>0</v>
      </c>
      <c r="O32" s="484">
        <f t="shared" si="19"/>
        <v>0</v>
      </c>
      <c r="P32" s="17"/>
      <c r="Q32" s="30" t="s">
        <v>34</v>
      </c>
      <c r="R32" s="31"/>
      <c r="S32" s="31"/>
      <c r="T32" s="31"/>
      <c r="U32" s="31"/>
      <c r="V32" s="483">
        <f t="shared" si="20"/>
        <v>0</v>
      </c>
      <c r="W32" s="31"/>
      <c r="X32" s="31"/>
      <c r="Y32" s="31"/>
      <c r="Z32" s="31"/>
      <c r="AA32" s="483">
        <f t="shared" si="21"/>
        <v>0</v>
      </c>
      <c r="AB32" s="484">
        <f t="shared" si="22"/>
        <v>0</v>
      </c>
      <c r="AC32" s="17"/>
      <c r="AD32" s="30" t="s">
        <v>34</v>
      </c>
      <c r="AE32" s="31"/>
      <c r="AF32" s="31"/>
      <c r="AG32" s="485">
        <f t="shared" si="34"/>
        <v>0</v>
      </c>
      <c r="AH32" s="17"/>
      <c r="AI32" s="30" t="s">
        <v>34</v>
      </c>
      <c r="AJ32" s="490">
        <f t="shared" si="23"/>
        <v>0</v>
      </c>
      <c r="AK32" s="490">
        <f t="shared" si="24"/>
        <v>0</v>
      </c>
      <c r="AL32" s="490">
        <f t="shared" si="25"/>
        <v>0</v>
      </c>
      <c r="AM32" s="490">
        <f t="shared" si="26"/>
        <v>0</v>
      </c>
      <c r="AN32" s="483">
        <f t="shared" si="27"/>
        <v>0</v>
      </c>
      <c r="AO32" s="490">
        <f t="shared" si="28"/>
        <v>0</v>
      </c>
      <c r="AP32" s="490">
        <f t="shared" si="29"/>
        <v>0</v>
      </c>
      <c r="AQ32" s="490">
        <f t="shared" si="30"/>
        <v>0</v>
      </c>
      <c r="AR32" s="490">
        <f t="shared" si="31"/>
        <v>0</v>
      </c>
      <c r="AS32" s="483">
        <f t="shared" si="32"/>
        <v>0</v>
      </c>
      <c r="AT32" s="484">
        <f t="shared" si="33"/>
        <v>0</v>
      </c>
    </row>
    <row r="33" spans="2:46" ht="19.5" thickBot="1">
      <c r="B33" s="1188"/>
      <c r="C33" s="17"/>
      <c r="D33" s="30" t="s">
        <v>35</v>
      </c>
      <c r="E33" s="31"/>
      <c r="F33" s="31"/>
      <c r="G33" s="31"/>
      <c r="H33" s="31"/>
      <c r="I33" s="483">
        <f t="shared" si="17"/>
        <v>0</v>
      </c>
      <c r="J33" s="31"/>
      <c r="K33" s="31"/>
      <c r="L33" s="31"/>
      <c r="M33" s="31"/>
      <c r="N33" s="483">
        <f t="shared" si="18"/>
        <v>0</v>
      </c>
      <c r="O33" s="484">
        <f t="shared" si="19"/>
        <v>0</v>
      </c>
      <c r="P33" s="17"/>
      <c r="Q33" s="30" t="s">
        <v>35</v>
      </c>
      <c r="R33" s="31"/>
      <c r="S33" s="31"/>
      <c r="T33" s="31"/>
      <c r="U33" s="31"/>
      <c r="V33" s="483">
        <f t="shared" si="20"/>
        <v>0</v>
      </c>
      <c r="W33" s="31"/>
      <c r="X33" s="31"/>
      <c r="Y33" s="31"/>
      <c r="Z33" s="31"/>
      <c r="AA33" s="483">
        <f t="shared" si="21"/>
        <v>0</v>
      </c>
      <c r="AB33" s="484">
        <f t="shared" si="22"/>
        <v>0</v>
      </c>
      <c r="AC33" s="17"/>
      <c r="AD33" s="30" t="s">
        <v>35</v>
      </c>
      <c r="AE33" s="31"/>
      <c r="AF33" s="31"/>
      <c r="AG33" s="485">
        <f t="shared" si="34"/>
        <v>0</v>
      </c>
      <c r="AH33" s="17"/>
      <c r="AI33" s="30" t="s">
        <v>35</v>
      </c>
      <c r="AJ33" s="490">
        <f t="shared" si="23"/>
        <v>0</v>
      </c>
      <c r="AK33" s="490">
        <f t="shared" si="24"/>
        <v>0</v>
      </c>
      <c r="AL33" s="490">
        <f t="shared" si="25"/>
        <v>0</v>
      </c>
      <c r="AM33" s="490">
        <f t="shared" si="26"/>
        <v>0</v>
      </c>
      <c r="AN33" s="483">
        <f t="shared" si="27"/>
        <v>0</v>
      </c>
      <c r="AO33" s="490">
        <f t="shared" si="28"/>
        <v>0</v>
      </c>
      <c r="AP33" s="490">
        <f t="shared" si="29"/>
        <v>0</v>
      </c>
      <c r="AQ33" s="490">
        <f t="shared" si="30"/>
        <v>0</v>
      </c>
      <c r="AR33" s="490">
        <f t="shared" si="31"/>
        <v>0</v>
      </c>
      <c r="AS33" s="483">
        <f t="shared" si="32"/>
        <v>0</v>
      </c>
      <c r="AT33" s="484">
        <f t="shared" si="33"/>
        <v>0</v>
      </c>
    </row>
    <row r="34" spans="2:46" ht="19.5" thickBot="1">
      <c r="B34" s="1188"/>
      <c r="C34" s="17"/>
      <c r="D34" s="30" t="s">
        <v>36</v>
      </c>
      <c r="E34" s="483">
        <f>SUM(E22:E33)</f>
        <v>0</v>
      </c>
      <c r="F34" s="483">
        <f>SUM(F22:F33)</f>
        <v>0</v>
      </c>
      <c r="G34" s="483">
        <f>SUM(G22:G33)</f>
        <v>0</v>
      </c>
      <c r="H34" s="483">
        <f>SUM(H22:H33)</f>
        <v>0</v>
      </c>
      <c r="I34" s="483">
        <f t="shared" si="17"/>
        <v>0</v>
      </c>
      <c r="J34" s="483">
        <f>SUM(J22:J33)</f>
        <v>0</v>
      </c>
      <c r="K34" s="483">
        <f>SUM(K22:K33)</f>
        <v>0</v>
      </c>
      <c r="L34" s="483">
        <f>SUM(L22:L33)</f>
        <v>0</v>
      </c>
      <c r="M34" s="483">
        <f>SUM(M22:M33)</f>
        <v>0</v>
      </c>
      <c r="N34" s="483">
        <f t="shared" si="18"/>
        <v>0</v>
      </c>
      <c r="O34" s="484">
        <f t="shared" si="19"/>
        <v>0</v>
      </c>
      <c r="P34" s="17"/>
      <c r="Q34" s="30" t="s">
        <v>36</v>
      </c>
      <c r="R34" s="483">
        <f>SUM(R22:R33)</f>
        <v>0</v>
      </c>
      <c r="S34" s="483">
        <f>SUM(S22:S33)</f>
        <v>0</v>
      </c>
      <c r="T34" s="483">
        <f>SUM(T22:T33)</f>
        <v>0</v>
      </c>
      <c r="U34" s="483">
        <f>SUM(U22:U33)</f>
        <v>0</v>
      </c>
      <c r="V34" s="483">
        <f t="shared" si="20"/>
        <v>0</v>
      </c>
      <c r="W34" s="483">
        <f>SUM(W22:W33)</f>
        <v>0</v>
      </c>
      <c r="X34" s="483">
        <f>SUM(X22:X33)</f>
        <v>0</v>
      </c>
      <c r="Y34" s="483">
        <f>SUM(Y22:Y33)</f>
        <v>0</v>
      </c>
      <c r="Z34" s="483">
        <f>SUM(Z22:Z33)</f>
        <v>0</v>
      </c>
      <c r="AA34" s="483">
        <f t="shared" si="21"/>
        <v>0</v>
      </c>
      <c r="AB34" s="484">
        <f t="shared" si="22"/>
        <v>0</v>
      </c>
      <c r="AC34" s="17"/>
      <c r="AD34" s="30" t="s">
        <v>36</v>
      </c>
      <c r="AE34" s="483">
        <f>SUM(AE22:AE33)</f>
        <v>0</v>
      </c>
      <c r="AF34" s="483">
        <f>SUM(AF22:AF33)</f>
        <v>0</v>
      </c>
      <c r="AG34" s="485">
        <f>SUM(AG22:AG33)</f>
        <v>0</v>
      </c>
      <c r="AH34" s="17"/>
      <c r="AI34" s="30" t="s">
        <v>36</v>
      </c>
      <c r="AJ34" s="483">
        <f>SUM(AJ22:AJ33)</f>
        <v>0</v>
      </c>
      <c r="AK34" s="483">
        <f>SUM(AK22:AK33)</f>
        <v>0</v>
      </c>
      <c r="AL34" s="483">
        <f>SUM(AL22:AL33)</f>
        <v>0</v>
      </c>
      <c r="AM34" s="483">
        <f>SUM(AM22:AM33)</f>
        <v>0</v>
      </c>
      <c r="AN34" s="483">
        <f t="shared" si="27"/>
        <v>0</v>
      </c>
      <c r="AO34" s="483">
        <f>SUM(AO22:AO33)</f>
        <v>0</v>
      </c>
      <c r="AP34" s="483">
        <f>SUM(AP22:AP33)</f>
        <v>0</v>
      </c>
      <c r="AQ34" s="483">
        <f>SUM(AQ22:AQ33)</f>
        <v>0</v>
      </c>
      <c r="AR34" s="483">
        <f>SUM(AR22:AR33)</f>
        <v>0</v>
      </c>
      <c r="AS34" s="483">
        <f t="shared" si="32"/>
        <v>0</v>
      </c>
      <c r="AT34" s="484">
        <f t="shared" si="33"/>
        <v>0</v>
      </c>
    </row>
    <row r="35" spans="2:46" ht="4.1500000000000004" customHeight="1" thickBot="1">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491"/>
      <c r="AH35" s="17"/>
      <c r="AI35" s="17"/>
      <c r="AJ35" s="17"/>
      <c r="AK35" s="17"/>
      <c r="AL35" s="17"/>
      <c r="AM35" s="17"/>
      <c r="AN35" s="17"/>
      <c r="AO35" s="17"/>
      <c r="AP35" s="17"/>
      <c r="AQ35" s="17"/>
      <c r="AR35" s="17"/>
      <c r="AS35" s="17"/>
      <c r="AT35" s="17"/>
    </row>
    <row r="36" spans="2:46" ht="19.5" thickBot="1">
      <c r="B36" s="1208" t="str">
        <f>IF(基本情報!E18="","",基本情報!E18)</f>
        <v/>
      </c>
      <c r="C36" s="17"/>
      <c r="D36" s="30" t="s">
        <v>24</v>
      </c>
      <c r="E36" s="31"/>
      <c r="F36" s="31"/>
      <c r="G36" s="31"/>
      <c r="H36" s="31"/>
      <c r="I36" s="483">
        <f t="shared" ref="I36:I48" si="35">SUM(E36:H36)</f>
        <v>0</v>
      </c>
      <c r="J36" s="31"/>
      <c r="K36" s="31"/>
      <c r="L36" s="31"/>
      <c r="M36" s="31"/>
      <c r="N36" s="483">
        <f t="shared" ref="N36:N48" si="36">SUM(J36:M36)</f>
        <v>0</v>
      </c>
      <c r="O36" s="484">
        <f t="shared" ref="O36:O48" si="37">I36+N36</f>
        <v>0</v>
      </c>
      <c r="P36" s="17"/>
      <c r="Q36" s="30" t="s">
        <v>24</v>
      </c>
      <c r="R36" s="31"/>
      <c r="S36" s="31"/>
      <c r="T36" s="31"/>
      <c r="U36" s="31"/>
      <c r="V36" s="483">
        <f t="shared" ref="V36:V48" si="38">SUM(R36:U36)</f>
        <v>0</v>
      </c>
      <c r="W36" s="31"/>
      <c r="X36" s="31"/>
      <c r="Y36" s="31"/>
      <c r="Z36" s="31"/>
      <c r="AA36" s="483">
        <f t="shared" ref="AA36:AA48" si="39">SUM(W36:Z36)</f>
        <v>0</v>
      </c>
      <c r="AB36" s="484">
        <f t="shared" ref="AB36:AB48" si="40">V36+AA36</f>
        <v>0</v>
      </c>
      <c r="AC36" s="17"/>
      <c r="AD36" s="30" t="s">
        <v>24</v>
      </c>
      <c r="AE36" s="31"/>
      <c r="AF36" s="31"/>
      <c r="AG36" s="485">
        <f>AE36+AF36</f>
        <v>0</v>
      </c>
      <c r="AH36" s="17"/>
      <c r="AI36" s="30" t="s">
        <v>24</v>
      </c>
      <c r="AJ36" s="490">
        <f t="shared" ref="AJ36:AJ47" si="41">E36+R36</f>
        <v>0</v>
      </c>
      <c r="AK36" s="490">
        <f t="shared" ref="AK36:AK47" si="42">F36+S36</f>
        <v>0</v>
      </c>
      <c r="AL36" s="490">
        <f t="shared" ref="AL36:AL47" si="43">G36+T36</f>
        <v>0</v>
      </c>
      <c r="AM36" s="490">
        <f t="shared" ref="AM36:AM47" si="44">H36+U36</f>
        <v>0</v>
      </c>
      <c r="AN36" s="483">
        <f t="shared" ref="AN36:AN48" si="45">SUM(AJ36:AM36)</f>
        <v>0</v>
      </c>
      <c r="AO36" s="490">
        <f t="shared" ref="AO36:AO47" si="46">J36+W36</f>
        <v>0</v>
      </c>
      <c r="AP36" s="490">
        <f t="shared" ref="AP36:AP47" si="47">K36+X36</f>
        <v>0</v>
      </c>
      <c r="AQ36" s="490">
        <f t="shared" ref="AQ36:AQ47" si="48">L36+Y36</f>
        <v>0</v>
      </c>
      <c r="AR36" s="490">
        <f t="shared" ref="AR36:AR47" si="49">M36+Z36</f>
        <v>0</v>
      </c>
      <c r="AS36" s="483">
        <f t="shared" ref="AS36:AS48" si="50">SUM(AO36:AR36)</f>
        <v>0</v>
      </c>
      <c r="AT36" s="484">
        <f t="shared" ref="AT36:AT48" si="51">AN36+AS36</f>
        <v>0</v>
      </c>
    </row>
    <row r="37" spans="2:46" ht="19.5" thickBot="1">
      <c r="B37" s="1208"/>
      <c r="C37" s="17"/>
      <c r="D37" s="30" t="s">
        <v>25</v>
      </c>
      <c r="E37" s="31"/>
      <c r="F37" s="31"/>
      <c r="G37" s="31"/>
      <c r="H37" s="31"/>
      <c r="I37" s="483">
        <f t="shared" si="35"/>
        <v>0</v>
      </c>
      <c r="J37" s="31"/>
      <c r="K37" s="31"/>
      <c r="L37" s="31"/>
      <c r="M37" s="31"/>
      <c r="N37" s="483">
        <f t="shared" si="36"/>
        <v>0</v>
      </c>
      <c r="O37" s="484">
        <f t="shared" si="37"/>
        <v>0</v>
      </c>
      <c r="P37" s="17"/>
      <c r="Q37" s="30" t="s">
        <v>25</v>
      </c>
      <c r="R37" s="31"/>
      <c r="S37" s="31"/>
      <c r="T37" s="31"/>
      <c r="U37" s="31"/>
      <c r="V37" s="483">
        <f t="shared" si="38"/>
        <v>0</v>
      </c>
      <c r="W37" s="31"/>
      <c r="X37" s="31"/>
      <c r="Y37" s="31"/>
      <c r="Z37" s="31"/>
      <c r="AA37" s="483">
        <f t="shared" si="39"/>
        <v>0</v>
      </c>
      <c r="AB37" s="484">
        <f t="shared" si="40"/>
        <v>0</v>
      </c>
      <c r="AC37" s="17"/>
      <c r="AD37" s="30" t="s">
        <v>25</v>
      </c>
      <c r="AE37" s="31"/>
      <c r="AF37" s="31"/>
      <c r="AG37" s="485">
        <f>AE37+AF37</f>
        <v>0</v>
      </c>
      <c r="AH37" s="17"/>
      <c r="AI37" s="30" t="s">
        <v>25</v>
      </c>
      <c r="AJ37" s="490">
        <f t="shared" si="41"/>
        <v>0</v>
      </c>
      <c r="AK37" s="490">
        <f t="shared" si="42"/>
        <v>0</v>
      </c>
      <c r="AL37" s="490">
        <f t="shared" si="43"/>
        <v>0</v>
      </c>
      <c r="AM37" s="490">
        <f t="shared" si="44"/>
        <v>0</v>
      </c>
      <c r="AN37" s="483">
        <f t="shared" si="45"/>
        <v>0</v>
      </c>
      <c r="AO37" s="490">
        <f t="shared" si="46"/>
        <v>0</v>
      </c>
      <c r="AP37" s="490">
        <f t="shared" si="47"/>
        <v>0</v>
      </c>
      <c r="AQ37" s="490">
        <f t="shared" si="48"/>
        <v>0</v>
      </c>
      <c r="AR37" s="490">
        <f t="shared" si="49"/>
        <v>0</v>
      </c>
      <c r="AS37" s="483">
        <f t="shared" si="50"/>
        <v>0</v>
      </c>
      <c r="AT37" s="484">
        <f t="shared" si="51"/>
        <v>0</v>
      </c>
    </row>
    <row r="38" spans="2:46" ht="19.5" thickBot="1">
      <c r="B38" s="1208"/>
      <c r="C38" s="17"/>
      <c r="D38" s="30" t="s">
        <v>26</v>
      </c>
      <c r="E38" s="31"/>
      <c r="F38" s="31"/>
      <c r="G38" s="31"/>
      <c r="H38" s="31"/>
      <c r="I38" s="483">
        <f t="shared" si="35"/>
        <v>0</v>
      </c>
      <c r="J38" s="31"/>
      <c r="K38" s="31"/>
      <c r="L38" s="31"/>
      <c r="M38" s="31"/>
      <c r="N38" s="483">
        <f t="shared" si="36"/>
        <v>0</v>
      </c>
      <c r="O38" s="484">
        <f t="shared" si="37"/>
        <v>0</v>
      </c>
      <c r="P38" s="17"/>
      <c r="Q38" s="30" t="s">
        <v>26</v>
      </c>
      <c r="R38" s="31"/>
      <c r="S38" s="31"/>
      <c r="T38" s="31"/>
      <c r="U38" s="31"/>
      <c r="V38" s="483">
        <f t="shared" si="38"/>
        <v>0</v>
      </c>
      <c r="W38" s="31"/>
      <c r="X38" s="31"/>
      <c r="Y38" s="31"/>
      <c r="Z38" s="31"/>
      <c r="AA38" s="483">
        <f t="shared" si="39"/>
        <v>0</v>
      </c>
      <c r="AB38" s="484">
        <f t="shared" si="40"/>
        <v>0</v>
      </c>
      <c r="AC38" s="17"/>
      <c r="AD38" s="30" t="s">
        <v>26</v>
      </c>
      <c r="AE38" s="31"/>
      <c r="AF38" s="31"/>
      <c r="AG38" s="485">
        <f t="shared" ref="AG38:AG47" si="52">AE38+AF38</f>
        <v>0</v>
      </c>
      <c r="AH38" s="17"/>
      <c r="AI38" s="30" t="s">
        <v>26</v>
      </c>
      <c r="AJ38" s="490">
        <f t="shared" si="41"/>
        <v>0</v>
      </c>
      <c r="AK38" s="490">
        <f t="shared" si="42"/>
        <v>0</v>
      </c>
      <c r="AL38" s="490">
        <f t="shared" si="43"/>
        <v>0</v>
      </c>
      <c r="AM38" s="490">
        <f t="shared" si="44"/>
        <v>0</v>
      </c>
      <c r="AN38" s="483">
        <f t="shared" si="45"/>
        <v>0</v>
      </c>
      <c r="AO38" s="490">
        <f t="shared" si="46"/>
        <v>0</v>
      </c>
      <c r="AP38" s="490">
        <f t="shared" si="47"/>
        <v>0</v>
      </c>
      <c r="AQ38" s="490">
        <f t="shared" si="48"/>
        <v>0</v>
      </c>
      <c r="AR38" s="490">
        <f t="shared" si="49"/>
        <v>0</v>
      </c>
      <c r="AS38" s="483">
        <f t="shared" si="50"/>
        <v>0</v>
      </c>
      <c r="AT38" s="484">
        <f t="shared" si="51"/>
        <v>0</v>
      </c>
    </row>
    <row r="39" spans="2:46" ht="19.5" thickBot="1">
      <c r="B39" s="1208"/>
      <c r="C39" s="17"/>
      <c r="D39" s="30" t="s">
        <v>27</v>
      </c>
      <c r="E39" s="31"/>
      <c r="F39" s="31"/>
      <c r="G39" s="31"/>
      <c r="H39" s="31"/>
      <c r="I39" s="483">
        <f t="shared" si="35"/>
        <v>0</v>
      </c>
      <c r="J39" s="31"/>
      <c r="K39" s="31"/>
      <c r="L39" s="31"/>
      <c r="M39" s="31"/>
      <c r="N39" s="483">
        <f t="shared" si="36"/>
        <v>0</v>
      </c>
      <c r="O39" s="484">
        <f t="shared" si="37"/>
        <v>0</v>
      </c>
      <c r="P39" s="17"/>
      <c r="Q39" s="30" t="s">
        <v>27</v>
      </c>
      <c r="R39" s="31"/>
      <c r="S39" s="31"/>
      <c r="T39" s="31"/>
      <c r="U39" s="31"/>
      <c r="V39" s="483">
        <f t="shared" si="38"/>
        <v>0</v>
      </c>
      <c r="W39" s="31"/>
      <c r="X39" s="31"/>
      <c r="Y39" s="31"/>
      <c r="Z39" s="31"/>
      <c r="AA39" s="483">
        <f t="shared" si="39"/>
        <v>0</v>
      </c>
      <c r="AB39" s="484">
        <f t="shared" si="40"/>
        <v>0</v>
      </c>
      <c r="AC39" s="17"/>
      <c r="AD39" s="30" t="s">
        <v>27</v>
      </c>
      <c r="AE39" s="31"/>
      <c r="AF39" s="31"/>
      <c r="AG39" s="485">
        <f t="shared" si="52"/>
        <v>0</v>
      </c>
      <c r="AH39" s="17"/>
      <c r="AI39" s="30" t="s">
        <v>27</v>
      </c>
      <c r="AJ39" s="490">
        <f t="shared" si="41"/>
        <v>0</v>
      </c>
      <c r="AK39" s="490">
        <f t="shared" si="42"/>
        <v>0</v>
      </c>
      <c r="AL39" s="490">
        <f t="shared" si="43"/>
        <v>0</v>
      </c>
      <c r="AM39" s="490">
        <f t="shared" si="44"/>
        <v>0</v>
      </c>
      <c r="AN39" s="483">
        <f t="shared" si="45"/>
        <v>0</v>
      </c>
      <c r="AO39" s="490">
        <f t="shared" si="46"/>
        <v>0</v>
      </c>
      <c r="AP39" s="490">
        <f t="shared" si="47"/>
        <v>0</v>
      </c>
      <c r="AQ39" s="490">
        <f t="shared" si="48"/>
        <v>0</v>
      </c>
      <c r="AR39" s="490">
        <f t="shared" si="49"/>
        <v>0</v>
      </c>
      <c r="AS39" s="483">
        <f t="shared" si="50"/>
        <v>0</v>
      </c>
      <c r="AT39" s="484">
        <f t="shared" si="51"/>
        <v>0</v>
      </c>
    </row>
    <row r="40" spans="2:46" ht="19.5" thickBot="1">
      <c r="B40" s="1208"/>
      <c r="C40" s="17"/>
      <c r="D40" s="30" t="s">
        <v>28</v>
      </c>
      <c r="E40" s="31"/>
      <c r="F40" s="31"/>
      <c r="G40" s="31"/>
      <c r="H40" s="31"/>
      <c r="I40" s="483">
        <f t="shared" si="35"/>
        <v>0</v>
      </c>
      <c r="J40" s="31"/>
      <c r="K40" s="31"/>
      <c r="L40" s="31"/>
      <c r="M40" s="31"/>
      <c r="N40" s="483">
        <f t="shared" si="36"/>
        <v>0</v>
      </c>
      <c r="O40" s="484">
        <f t="shared" si="37"/>
        <v>0</v>
      </c>
      <c r="P40" s="17"/>
      <c r="Q40" s="30" t="s">
        <v>28</v>
      </c>
      <c r="R40" s="31"/>
      <c r="S40" s="31"/>
      <c r="T40" s="31"/>
      <c r="U40" s="31"/>
      <c r="V40" s="483">
        <f t="shared" si="38"/>
        <v>0</v>
      </c>
      <c r="W40" s="31"/>
      <c r="X40" s="31"/>
      <c r="Y40" s="31"/>
      <c r="Z40" s="31"/>
      <c r="AA40" s="483">
        <f t="shared" si="39"/>
        <v>0</v>
      </c>
      <c r="AB40" s="484">
        <f t="shared" si="40"/>
        <v>0</v>
      </c>
      <c r="AC40" s="17"/>
      <c r="AD40" s="30" t="s">
        <v>28</v>
      </c>
      <c r="AE40" s="31"/>
      <c r="AF40" s="31"/>
      <c r="AG40" s="485">
        <f t="shared" si="52"/>
        <v>0</v>
      </c>
      <c r="AH40" s="17"/>
      <c r="AI40" s="30" t="s">
        <v>28</v>
      </c>
      <c r="AJ40" s="490">
        <f t="shared" si="41"/>
        <v>0</v>
      </c>
      <c r="AK40" s="490">
        <f t="shared" si="42"/>
        <v>0</v>
      </c>
      <c r="AL40" s="490">
        <f t="shared" si="43"/>
        <v>0</v>
      </c>
      <c r="AM40" s="490">
        <f t="shared" si="44"/>
        <v>0</v>
      </c>
      <c r="AN40" s="483">
        <f t="shared" si="45"/>
        <v>0</v>
      </c>
      <c r="AO40" s="490">
        <f t="shared" si="46"/>
        <v>0</v>
      </c>
      <c r="AP40" s="490">
        <f t="shared" si="47"/>
        <v>0</v>
      </c>
      <c r="AQ40" s="490">
        <f t="shared" si="48"/>
        <v>0</v>
      </c>
      <c r="AR40" s="490">
        <f t="shared" si="49"/>
        <v>0</v>
      </c>
      <c r="AS40" s="483">
        <f t="shared" si="50"/>
        <v>0</v>
      </c>
      <c r="AT40" s="484">
        <f t="shared" si="51"/>
        <v>0</v>
      </c>
    </row>
    <row r="41" spans="2:46" ht="19.5" thickBot="1">
      <c r="B41" s="1208"/>
      <c r="C41" s="17"/>
      <c r="D41" s="30" t="s">
        <v>29</v>
      </c>
      <c r="E41" s="31"/>
      <c r="F41" s="31"/>
      <c r="G41" s="31"/>
      <c r="H41" s="31"/>
      <c r="I41" s="483">
        <f t="shared" si="35"/>
        <v>0</v>
      </c>
      <c r="J41" s="31"/>
      <c r="K41" s="31"/>
      <c r="L41" s="31"/>
      <c r="M41" s="31"/>
      <c r="N41" s="483">
        <f t="shared" si="36"/>
        <v>0</v>
      </c>
      <c r="O41" s="484">
        <f t="shared" si="37"/>
        <v>0</v>
      </c>
      <c r="P41" s="17"/>
      <c r="Q41" s="30" t="s">
        <v>29</v>
      </c>
      <c r="R41" s="31"/>
      <c r="S41" s="31"/>
      <c r="T41" s="31"/>
      <c r="U41" s="31"/>
      <c r="V41" s="483">
        <f t="shared" si="38"/>
        <v>0</v>
      </c>
      <c r="W41" s="31"/>
      <c r="X41" s="31"/>
      <c r="Y41" s="31"/>
      <c r="Z41" s="31"/>
      <c r="AA41" s="483">
        <f t="shared" si="39"/>
        <v>0</v>
      </c>
      <c r="AB41" s="484">
        <f t="shared" si="40"/>
        <v>0</v>
      </c>
      <c r="AC41" s="17"/>
      <c r="AD41" s="30" t="s">
        <v>29</v>
      </c>
      <c r="AE41" s="31"/>
      <c r="AF41" s="31"/>
      <c r="AG41" s="485">
        <f t="shared" si="52"/>
        <v>0</v>
      </c>
      <c r="AH41" s="17"/>
      <c r="AI41" s="30" t="s">
        <v>29</v>
      </c>
      <c r="AJ41" s="490">
        <f t="shared" si="41"/>
        <v>0</v>
      </c>
      <c r="AK41" s="490">
        <f t="shared" si="42"/>
        <v>0</v>
      </c>
      <c r="AL41" s="490">
        <f t="shared" si="43"/>
        <v>0</v>
      </c>
      <c r="AM41" s="490">
        <f t="shared" si="44"/>
        <v>0</v>
      </c>
      <c r="AN41" s="483">
        <f t="shared" si="45"/>
        <v>0</v>
      </c>
      <c r="AO41" s="490">
        <f t="shared" si="46"/>
        <v>0</v>
      </c>
      <c r="AP41" s="490">
        <f t="shared" si="47"/>
        <v>0</v>
      </c>
      <c r="AQ41" s="490">
        <f t="shared" si="48"/>
        <v>0</v>
      </c>
      <c r="AR41" s="490">
        <f t="shared" si="49"/>
        <v>0</v>
      </c>
      <c r="AS41" s="483">
        <f t="shared" si="50"/>
        <v>0</v>
      </c>
      <c r="AT41" s="484">
        <f t="shared" si="51"/>
        <v>0</v>
      </c>
    </row>
    <row r="42" spans="2:46" ht="19.5" thickBot="1">
      <c r="B42" s="1208"/>
      <c r="C42" s="17"/>
      <c r="D42" s="30" t="s">
        <v>30</v>
      </c>
      <c r="E42" s="31"/>
      <c r="F42" s="31"/>
      <c r="G42" s="31"/>
      <c r="H42" s="31"/>
      <c r="I42" s="483">
        <f t="shared" si="35"/>
        <v>0</v>
      </c>
      <c r="J42" s="31"/>
      <c r="K42" s="31"/>
      <c r="L42" s="31"/>
      <c r="M42" s="31"/>
      <c r="N42" s="483">
        <f t="shared" si="36"/>
        <v>0</v>
      </c>
      <c r="O42" s="484">
        <f t="shared" si="37"/>
        <v>0</v>
      </c>
      <c r="P42" s="17"/>
      <c r="Q42" s="30" t="s">
        <v>30</v>
      </c>
      <c r="R42" s="31"/>
      <c r="S42" s="31"/>
      <c r="T42" s="31"/>
      <c r="U42" s="31"/>
      <c r="V42" s="483">
        <f t="shared" si="38"/>
        <v>0</v>
      </c>
      <c r="W42" s="31"/>
      <c r="X42" s="31"/>
      <c r="Y42" s="31"/>
      <c r="Z42" s="31"/>
      <c r="AA42" s="483">
        <f t="shared" si="39"/>
        <v>0</v>
      </c>
      <c r="AB42" s="484">
        <f t="shared" si="40"/>
        <v>0</v>
      </c>
      <c r="AC42" s="17"/>
      <c r="AD42" s="30" t="s">
        <v>30</v>
      </c>
      <c r="AE42" s="31"/>
      <c r="AF42" s="31"/>
      <c r="AG42" s="485">
        <f t="shared" si="52"/>
        <v>0</v>
      </c>
      <c r="AH42" s="17"/>
      <c r="AI42" s="30" t="s">
        <v>30</v>
      </c>
      <c r="AJ42" s="490">
        <f t="shared" si="41"/>
        <v>0</v>
      </c>
      <c r="AK42" s="490">
        <f t="shared" si="42"/>
        <v>0</v>
      </c>
      <c r="AL42" s="490">
        <f t="shared" si="43"/>
        <v>0</v>
      </c>
      <c r="AM42" s="490">
        <f t="shared" si="44"/>
        <v>0</v>
      </c>
      <c r="AN42" s="483">
        <f t="shared" si="45"/>
        <v>0</v>
      </c>
      <c r="AO42" s="490">
        <f t="shared" si="46"/>
        <v>0</v>
      </c>
      <c r="AP42" s="490">
        <f t="shared" si="47"/>
        <v>0</v>
      </c>
      <c r="AQ42" s="490">
        <f t="shared" si="48"/>
        <v>0</v>
      </c>
      <c r="AR42" s="490">
        <f t="shared" si="49"/>
        <v>0</v>
      </c>
      <c r="AS42" s="483">
        <f t="shared" si="50"/>
        <v>0</v>
      </c>
      <c r="AT42" s="484">
        <f t="shared" si="51"/>
        <v>0</v>
      </c>
    </row>
    <row r="43" spans="2:46" ht="19.5" thickBot="1">
      <c r="B43" s="1208"/>
      <c r="C43" s="17"/>
      <c r="D43" s="30" t="s">
        <v>31</v>
      </c>
      <c r="E43" s="31"/>
      <c r="F43" s="31"/>
      <c r="G43" s="31"/>
      <c r="H43" s="31"/>
      <c r="I43" s="483">
        <f t="shared" si="35"/>
        <v>0</v>
      </c>
      <c r="J43" s="31"/>
      <c r="K43" s="31"/>
      <c r="L43" s="31"/>
      <c r="M43" s="31"/>
      <c r="N43" s="483">
        <f t="shared" si="36"/>
        <v>0</v>
      </c>
      <c r="O43" s="484">
        <f t="shared" si="37"/>
        <v>0</v>
      </c>
      <c r="P43" s="17"/>
      <c r="Q43" s="30" t="s">
        <v>31</v>
      </c>
      <c r="R43" s="31"/>
      <c r="S43" s="31"/>
      <c r="T43" s="31"/>
      <c r="U43" s="31"/>
      <c r="V43" s="483">
        <f t="shared" si="38"/>
        <v>0</v>
      </c>
      <c r="W43" s="31"/>
      <c r="X43" s="31"/>
      <c r="Y43" s="31"/>
      <c r="Z43" s="31"/>
      <c r="AA43" s="483">
        <f t="shared" si="39"/>
        <v>0</v>
      </c>
      <c r="AB43" s="484">
        <f t="shared" si="40"/>
        <v>0</v>
      </c>
      <c r="AC43" s="17"/>
      <c r="AD43" s="30" t="s">
        <v>31</v>
      </c>
      <c r="AE43" s="31"/>
      <c r="AF43" s="31"/>
      <c r="AG43" s="485">
        <f t="shared" si="52"/>
        <v>0</v>
      </c>
      <c r="AH43" s="17"/>
      <c r="AI43" s="30" t="s">
        <v>31</v>
      </c>
      <c r="AJ43" s="490">
        <f t="shared" si="41"/>
        <v>0</v>
      </c>
      <c r="AK43" s="490">
        <f t="shared" si="42"/>
        <v>0</v>
      </c>
      <c r="AL43" s="490">
        <f t="shared" si="43"/>
        <v>0</v>
      </c>
      <c r="AM43" s="490">
        <f t="shared" si="44"/>
        <v>0</v>
      </c>
      <c r="AN43" s="483">
        <f t="shared" si="45"/>
        <v>0</v>
      </c>
      <c r="AO43" s="490">
        <f t="shared" si="46"/>
        <v>0</v>
      </c>
      <c r="AP43" s="490">
        <f t="shared" si="47"/>
        <v>0</v>
      </c>
      <c r="AQ43" s="490">
        <f t="shared" si="48"/>
        <v>0</v>
      </c>
      <c r="AR43" s="490">
        <f t="shared" si="49"/>
        <v>0</v>
      </c>
      <c r="AS43" s="483">
        <f t="shared" si="50"/>
        <v>0</v>
      </c>
      <c r="AT43" s="484">
        <f t="shared" si="51"/>
        <v>0</v>
      </c>
    </row>
    <row r="44" spans="2:46" ht="19.5" thickBot="1">
      <c r="B44" s="1208"/>
      <c r="C44" s="17"/>
      <c r="D44" s="30" t="s">
        <v>32</v>
      </c>
      <c r="E44" s="31"/>
      <c r="F44" s="31"/>
      <c r="G44" s="31"/>
      <c r="H44" s="31"/>
      <c r="I44" s="483">
        <f t="shared" si="35"/>
        <v>0</v>
      </c>
      <c r="J44" s="31"/>
      <c r="K44" s="31"/>
      <c r="L44" s="31"/>
      <c r="M44" s="31"/>
      <c r="N44" s="483">
        <f t="shared" si="36"/>
        <v>0</v>
      </c>
      <c r="O44" s="484">
        <f t="shared" si="37"/>
        <v>0</v>
      </c>
      <c r="P44" s="17"/>
      <c r="Q44" s="30" t="s">
        <v>32</v>
      </c>
      <c r="R44" s="31"/>
      <c r="S44" s="31"/>
      <c r="T44" s="31"/>
      <c r="U44" s="31"/>
      <c r="V44" s="483">
        <f t="shared" si="38"/>
        <v>0</v>
      </c>
      <c r="W44" s="31"/>
      <c r="X44" s="31"/>
      <c r="Y44" s="31"/>
      <c r="Z44" s="31"/>
      <c r="AA44" s="483">
        <f t="shared" si="39"/>
        <v>0</v>
      </c>
      <c r="AB44" s="484">
        <f t="shared" si="40"/>
        <v>0</v>
      </c>
      <c r="AC44" s="17"/>
      <c r="AD44" s="30" t="s">
        <v>32</v>
      </c>
      <c r="AE44" s="31"/>
      <c r="AF44" s="31"/>
      <c r="AG44" s="485">
        <f t="shared" si="52"/>
        <v>0</v>
      </c>
      <c r="AH44" s="17"/>
      <c r="AI44" s="30" t="s">
        <v>32</v>
      </c>
      <c r="AJ44" s="490">
        <f t="shared" si="41"/>
        <v>0</v>
      </c>
      <c r="AK44" s="490">
        <f t="shared" si="42"/>
        <v>0</v>
      </c>
      <c r="AL44" s="490">
        <f t="shared" si="43"/>
        <v>0</v>
      </c>
      <c r="AM44" s="490">
        <f t="shared" si="44"/>
        <v>0</v>
      </c>
      <c r="AN44" s="483">
        <f t="shared" si="45"/>
        <v>0</v>
      </c>
      <c r="AO44" s="490">
        <f t="shared" si="46"/>
        <v>0</v>
      </c>
      <c r="AP44" s="490">
        <f t="shared" si="47"/>
        <v>0</v>
      </c>
      <c r="AQ44" s="490">
        <f t="shared" si="48"/>
        <v>0</v>
      </c>
      <c r="AR44" s="490">
        <f t="shared" si="49"/>
        <v>0</v>
      </c>
      <c r="AS44" s="483">
        <f t="shared" si="50"/>
        <v>0</v>
      </c>
      <c r="AT44" s="484">
        <f t="shared" si="51"/>
        <v>0</v>
      </c>
    </row>
    <row r="45" spans="2:46" ht="19.5" thickBot="1">
      <c r="B45" s="1208"/>
      <c r="C45" s="17"/>
      <c r="D45" s="30" t="s">
        <v>33</v>
      </c>
      <c r="E45" s="31"/>
      <c r="F45" s="31"/>
      <c r="G45" s="31"/>
      <c r="H45" s="31"/>
      <c r="I45" s="483">
        <f t="shared" si="35"/>
        <v>0</v>
      </c>
      <c r="J45" s="31"/>
      <c r="K45" s="31"/>
      <c r="L45" s="31"/>
      <c r="M45" s="31"/>
      <c r="N45" s="483">
        <f t="shared" si="36"/>
        <v>0</v>
      </c>
      <c r="O45" s="484">
        <f t="shared" si="37"/>
        <v>0</v>
      </c>
      <c r="P45" s="17"/>
      <c r="Q45" s="30" t="s">
        <v>33</v>
      </c>
      <c r="R45" s="31"/>
      <c r="S45" s="31"/>
      <c r="T45" s="31"/>
      <c r="U45" s="31"/>
      <c r="V45" s="483">
        <f t="shared" si="38"/>
        <v>0</v>
      </c>
      <c r="W45" s="31"/>
      <c r="X45" s="31"/>
      <c r="Y45" s="31"/>
      <c r="Z45" s="31"/>
      <c r="AA45" s="483">
        <f t="shared" si="39"/>
        <v>0</v>
      </c>
      <c r="AB45" s="484">
        <f t="shared" si="40"/>
        <v>0</v>
      </c>
      <c r="AC45" s="17"/>
      <c r="AD45" s="30" t="s">
        <v>33</v>
      </c>
      <c r="AE45" s="31"/>
      <c r="AF45" s="31"/>
      <c r="AG45" s="485">
        <f t="shared" si="52"/>
        <v>0</v>
      </c>
      <c r="AH45" s="17"/>
      <c r="AI45" s="30" t="s">
        <v>33</v>
      </c>
      <c r="AJ45" s="490">
        <f t="shared" si="41"/>
        <v>0</v>
      </c>
      <c r="AK45" s="490">
        <f t="shared" si="42"/>
        <v>0</v>
      </c>
      <c r="AL45" s="490">
        <f t="shared" si="43"/>
        <v>0</v>
      </c>
      <c r="AM45" s="490">
        <f t="shared" si="44"/>
        <v>0</v>
      </c>
      <c r="AN45" s="483">
        <f t="shared" si="45"/>
        <v>0</v>
      </c>
      <c r="AO45" s="490">
        <f t="shared" si="46"/>
        <v>0</v>
      </c>
      <c r="AP45" s="490">
        <f t="shared" si="47"/>
        <v>0</v>
      </c>
      <c r="AQ45" s="490">
        <f t="shared" si="48"/>
        <v>0</v>
      </c>
      <c r="AR45" s="490">
        <f t="shared" si="49"/>
        <v>0</v>
      </c>
      <c r="AS45" s="483">
        <f t="shared" si="50"/>
        <v>0</v>
      </c>
      <c r="AT45" s="484">
        <f t="shared" si="51"/>
        <v>0</v>
      </c>
    </row>
    <row r="46" spans="2:46" ht="19.5" thickBot="1">
      <c r="B46" s="1208"/>
      <c r="C46" s="17"/>
      <c r="D46" s="30" t="s">
        <v>34</v>
      </c>
      <c r="E46" s="31"/>
      <c r="F46" s="31"/>
      <c r="G46" s="31"/>
      <c r="H46" s="31"/>
      <c r="I46" s="483">
        <f t="shared" si="35"/>
        <v>0</v>
      </c>
      <c r="J46" s="31"/>
      <c r="K46" s="31"/>
      <c r="L46" s="31"/>
      <c r="M46" s="31"/>
      <c r="N46" s="483">
        <f t="shared" si="36"/>
        <v>0</v>
      </c>
      <c r="O46" s="484">
        <f t="shared" si="37"/>
        <v>0</v>
      </c>
      <c r="P46" s="17"/>
      <c r="Q46" s="30" t="s">
        <v>34</v>
      </c>
      <c r="R46" s="31"/>
      <c r="S46" s="31"/>
      <c r="T46" s="31"/>
      <c r="U46" s="31"/>
      <c r="V46" s="483">
        <f t="shared" si="38"/>
        <v>0</v>
      </c>
      <c r="W46" s="31"/>
      <c r="X46" s="31"/>
      <c r="Y46" s="31"/>
      <c r="Z46" s="31"/>
      <c r="AA46" s="483">
        <f t="shared" si="39"/>
        <v>0</v>
      </c>
      <c r="AB46" s="484">
        <f t="shared" si="40"/>
        <v>0</v>
      </c>
      <c r="AC46" s="17"/>
      <c r="AD46" s="30" t="s">
        <v>34</v>
      </c>
      <c r="AE46" s="31"/>
      <c r="AF46" s="31"/>
      <c r="AG46" s="485">
        <f t="shared" si="52"/>
        <v>0</v>
      </c>
      <c r="AH46" s="17"/>
      <c r="AI46" s="30" t="s">
        <v>34</v>
      </c>
      <c r="AJ46" s="490">
        <f t="shared" si="41"/>
        <v>0</v>
      </c>
      <c r="AK46" s="490">
        <f t="shared" si="42"/>
        <v>0</v>
      </c>
      <c r="AL46" s="490">
        <f t="shared" si="43"/>
        <v>0</v>
      </c>
      <c r="AM46" s="490">
        <f t="shared" si="44"/>
        <v>0</v>
      </c>
      <c r="AN46" s="483">
        <f t="shared" si="45"/>
        <v>0</v>
      </c>
      <c r="AO46" s="490">
        <f t="shared" si="46"/>
        <v>0</v>
      </c>
      <c r="AP46" s="490">
        <f t="shared" si="47"/>
        <v>0</v>
      </c>
      <c r="AQ46" s="490">
        <f t="shared" si="48"/>
        <v>0</v>
      </c>
      <c r="AR46" s="490">
        <f t="shared" si="49"/>
        <v>0</v>
      </c>
      <c r="AS46" s="483">
        <f t="shared" si="50"/>
        <v>0</v>
      </c>
      <c r="AT46" s="484">
        <f t="shared" si="51"/>
        <v>0</v>
      </c>
    </row>
    <row r="47" spans="2:46" ht="19.5" thickBot="1">
      <c r="B47" s="1208"/>
      <c r="C47" s="17"/>
      <c r="D47" s="30" t="s">
        <v>35</v>
      </c>
      <c r="E47" s="31"/>
      <c r="F47" s="31"/>
      <c r="G47" s="31"/>
      <c r="H47" s="31"/>
      <c r="I47" s="483">
        <f t="shared" si="35"/>
        <v>0</v>
      </c>
      <c r="J47" s="31"/>
      <c r="K47" s="31"/>
      <c r="L47" s="31"/>
      <c r="M47" s="31"/>
      <c r="N47" s="483">
        <f t="shared" si="36"/>
        <v>0</v>
      </c>
      <c r="O47" s="484">
        <f t="shared" si="37"/>
        <v>0</v>
      </c>
      <c r="P47" s="17"/>
      <c r="Q47" s="30" t="s">
        <v>35</v>
      </c>
      <c r="R47" s="31"/>
      <c r="S47" s="31"/>
      <c r="T47" s="31"/>
      <c r="U47" s="31"/>
      <c r="V47" s="483">
        <f t="shared" si="38"/>
        <v>0</v>
      </c>
      <c r="W47" s="31"/>
      <c r="X47" s="31"/>
      <c r="Y47" s="31"/>
      <c r="Z47" s="31"/>
      <c r="AA47" s="483">
        <f t="shared" si="39"/>
        <v>0</v>
      </c>
      <c r="AB47" s="484">
        <f t="shared" si="40"/>
        <v>0</v>
      </c>
      <c r="AC47" s="17"/>
      <c r="AD47" s="30" t="s">
        <v>35</v>
      </c>
      <c r="AE47" s="31"/>
      <c r="AF47" s="31"/>
      <c r="AG47" s="485">
        <f t="shared" si="52"/>
        <v>0</v>
      </c>
      <c r="AH47" s="17"/>
      <c r="AI47" s="30" t="s">
        <v>35</v>
      </c>
      <c r="AJ47" s="490">
        <f t="shared" si="41"/>
        <v>0</v>
      </c>
      <c r="AK47" s="490">
        <f t="shared" si="42"/>
        <v>0</v>
      </c>
      <c r="AL47" s="490">
        <f t="shared" si="43"/>
        <v>0</v>
      </c>
      <c r="AM47" s="490">
        <f t="shared" si="44"/>
        <v>0</v>
      </c>
      <c r="AN47" s="483">
        <f t="shared" si="45"/>
        <v>0</v>
      </c>
      <c r="AO47" s="490">
        <f t="shared" si="46"/>
        <v>0</v>
      </c>
      <c r="AP47" s="490">
        <f t="shared" si="47"/>
        <v>0</v>
      </c>
      <c r="AQ47" s="490">
        <f t="shared" si="48"/>
        <v>0</v>
      </c>
      <c r="AR47" s="490">
        <f t="shared" si="49"/>
        <v>0</v>
      </c>
      <c r="AS47" s="483">
        <f t="shared" si="50"/>
        <v>0</v>
      </c>
      <c r="AT47" s="484">
        <f t="shared" si="51"/>
        <v>0</v>
      </c>
    </row>
    <row r="48" spans="2:46" ht="19.5" thickBot="1">
      <c r="B48" s="1208"/>
      <c r="C48" s="17"/>
      <c r="D48" s="30" t="s">
        <v>36</v>
      </c>
      <c r="E48" s="483">
        <f>SUM(E36:E47)</f>
        <v>0</v>
      </c>
      <c r="F48" s="483">
        <f>SUM(F36:F47)</f>
        <v>0</v>
      </c>
      <c r="G48" s="483">
        <f>SUM(G36:G47)</f>
        <v>0</v>
      </c>
      <c r="H48" s="483">
        <f>SUM(H36:H47)</f>
        <v>0</v>
      </c>
      <c r="I48" s="483">
        <f t="shared" si="35"/>
        <v>0</v>
      </c>
      <c r="J48" s="483">
        <f>SUM(J36:J47)</f>
        <v>0</v>
      </c>
      <c r="K48" s="483">
        <f>SUM(K36:K47)</f>
        <v>0</v>
      </c>
      <c r="L48" s="483">
        <f>SUM(L36:L47)</f>
        <v>0</v>
      </c>
      <c r="M48" s="483">
        <f>SUM(M36:M47)</f>
        <v>0</v>
      </c>
      <c r="N48" s="483">
        <f t="shared" si="36"/>
        <v>0</v>
      </c>
      <c r="O48" s="484">
        <f t="shared" si="37"/>
        <v>0</v>
      </c>
      <c r="P48" s="17"/>
      <c r="Q48" s="30" t="s">
        <v>36</v>
      </c>
      <c r="R48" s="483">
        <f>SUM(R36:R47)</f>
        <v>0</v>
      </c>
      <c r="S48" s="483">
        <f>SUM(S36:S47)</f>
        <v>0</v>
      </c>
      <c r="T48" s="483">
        <f>SUM(T36:T47)</f>
        <v>0</v>
      </c>
      <c r="U48" s="483">
        <f>SUM(U36:U47)</f>
        <v>0</v>
      </c>
      <c r="V48" s="483">
        <f t="shared" si="38"/>
        <v>0</v>
      </c>
      <c r="W48" s="483">
        <f>SUM(W36:W47)</f>
        <v>0</v>
      </c>
      <c r="X48" s="483">
        <f>SUM(X36:X47)</f>
        <v>0</v>
      </c>
      <c r="Y48" s="483">
        <f>SUM(Y36:Y47)</f>
        <v>0</v>
      </c>
      <c r="Z48" s="483">
        <f>SUM(Z36:Z47)</f>
        <v>0</v>
      </c>
      <c r="AA48" s="483">
        <f t="shared" si="39"/>
        <v>0</v>
      </c>
      <c r="AB48" s="484">
        <f t="shared" si="40"/>
        <v>0</v>
      </c>
      <c r="AC48" s="17"/>
      <c r="AD48" s="30" t="s">
        <v>36</v>
      </c>
      <c r="AE48" s="483">
        <f>SUM(AE36:AE47)</f>
        <v>0</v>
      </c>
      <c r="AF48" s="483">
        <f>SUM(AF36:AF47)</f>
        <v>0</v>
      </c>
      <c r="AG48" s="485">
        <f>SUM(AG36:AG47)</f>
        <v>0</v>
      </c>
      <c r="AH48" s="17"/>
      <c r="AI48" s="30" t="s">
        <v>36</v>
      </c>
      <c r="AJ48" s="483">
        <f>SUM(AJ36:AJ47)</f>
        <v>0</v>
      </c>
      <c r="AK48" s="483">
        <f>SUM(AK36:AK47)</f>
        <v>0</v>
      </c>
      <c r="AL48" s="483">
        <f>SUM(AL36:AL47)</f>
        <v>0</v>
      </c>
      <c r="AM48" s="483">
        <f>SUM(AM36:AM47)</f>
        <v>0</v>
      </c>
      <c r="AN48" s="483">
        <f t="shared" si="45"/>
        <v>0</v>
      </c>
      <c r="AO48" s="483">
        <f>SUM(AO36:AO47)</f>
        <v>0</v>
      </c>
      <c r="AP48" s="483">
        <f>SUM(AP36:AP47)</f>
        <v>0</v>
      </c>
      <c r="AQ48" s="483">
        <f>SUM(AQ36:AQ47)</f>
        <v>0</v>
      </c>
      <c r="AR48" s="483">
        <f>SUM(AR36:AR47)</f>
        <v>0</v>
      </c>
      <c r="AS48" s="483">
        <f t="shared" si="50"/>
        <v>0</v>
      </c>
      <c r="AT48" s="484">
        <f t="shared" si="51"/>
        <v>0</v>
      </c>
    </row>
    <row r="49" spans="2:46" ht="4.1500000000000004" customHeight="1" thickBot="1">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491"/>
      <c r="AH49" s="17"/>
      <c r="AI49" s="17"/>
      <c r="AJ49" s="17"/>
      <c r="AK49" s="17"/>
      <c r="AL49" s="17"/>
      <c r="AM49" s="17"/>
      <c r="AN49" s="17"/>
      <c r="AO49" s="17"/>
      <c r="AP49" s="17"/>
      <c r="AQ49" s="17"/>
      <c r="AR49" s="17"/>
      <c r="AS49" s="17"/>
      <c r="AT49" s="17"/>
    </row>
    <row r="50" spans="2:46" ht="19.5" thickBot="1">
      <c r="B50" s="1196" t="str">
        <f>IF(基本情報!E19="","",基本情報!E19)</f>
        <v/>
      </c>
      <c r="C50" s="17"/>
      <c r="D50" s="30" t="s">
        <v>24</v>
      </c>
      <c r="E50" s="31"/>
      <c r="F50" s="31"/>
      <c r="G50" s="31"/>
      <c r="H50" s="31"/>
      <c r="I50" s="483">
        <f t="shared" ref="I50:I62" si="53">SUM(E50:H50)</f>
        <v>0</v>
      </c>
      <c r="J50" s="31"/>
      <c r="K50" s="31"/>
      <c r="L50" s="31"/>
      <c r="M50" s="31"/>
      <c r="N50" s="483">
        <f t="shared" ref="N50:N62" si="54">SUM(J50:M50)</f>
        <v>0</v>
      </c>
      <c r="O50" s="484">
        <f t="shared" ref="O50:O62" si="55">I50+N50</f>
        <v>0</v>
      </c>
      <c r="P50" s="17"/>
      <c r="Q50" s="30" t="s">
        <v>24</v>
      </c>
      <c r="R50" s="31"/>
      <c r="S50" s="31"/>
      <c r="T50" s="31"/>
      <c r="U50" s="31"/>
      <c r="V50" s="483">
        <f t="shared" ref="V50:V62" si="56">SUM(R50:U50)</f>
        <v>0</v>
      </c>
      <c r="W50" s="31"/>
      <c r="X50" s="31"/>
      <c r="Y50" s="31"/>
      <c r="Z50" s="31"/>
      <c r="AA50" s="483">
        <f t="shared" ref="AA50:AA62" si="57">SUM(W50:Z50)</f>
        <v>0</v>
      </c>
      <c r="AB50" s="484">
        <f t="shared" ref="AB50:AB62" si="58">V50+AA50</f>
        <v>0</v>
      </c>
      <c r="AC50" s="17"/>
      <c r="AD50" s="30" t="s">
        <v>24</v>
      </c>
      <c r="AE50" s="31"/>
      <c r="AF50" s="31"/>
      <c r="AG50" s="485">
        <f>AE50+AF50</f>
        <v>0</v>
      </c>
      <c r="AH50" s="17"/>
      <c r="AI50" s="30" t="s">
        <v>24</v>
      </c>
      <c r="AJ50" s="490">
        <f t="shared" ref="AJ50:AJ61" si="59">E50+R50</f>
        <v>0</v>
      </c>
      <c r="AK50" s="490">
        <f t="shared" ref="AK50:AK61" si="60">F50+S50</f>
        <v>0</v>
      </c>
      <c r="AL50" s="490">
        <f t="shared" ref="AL50:AL61" si="61">G50+T50</f>
        <v>0</v>
      </c>
      <c r="AM50" s="490">
        <f t="shared" ref="AM50:AM61" si="62">H50+U50</f>
        <v>0</v>
      </c>
      <c r="AN50" s="483">
        <f t="shared" ref="AN50:AN62" si="63">SUM(AJ50:AM50)</f>
        <v>0</v>
      </c>
      <c r="AO50" s="490">
        <f t="shared" ref="AO50:AO61" si="64">J50+W50</f>
        <v>0</v>
      </c>
      <c r="AP50" s="490">
        <f t="shared" ref="AP50:AP61" si="65">K50+X50</f>
        <v>0</v>
      </c>
      <c r="AQ50" s="490">
        <f t="shared" ref="AQ50:AQ61" si="66">L50+Y50</f>
        <v>0</v>
      </c>
      <c r="AR50" s="490">
        <f t="shared" ref="AR50:AR61" si="67">M50+Z50</f>
        <v>0</v>
      </c>
      <c r="AS50" s="483">
        <f t="shared" ref="AS50:AS62" si="68">SUM(AO50:AR50)</f>
        <v>0</v>
      </c>
      <c r="AT50" s="484">
        <f t="shared" ref="AT50:AT62" si="69">AN50+AS50</f>
        <v>0</v>
      </c>
    </row>
    <row r="51" spans="2:46" ht="19.5" thickBot="1">
      <c r="B51" s="1196"/>
      <c r="C51" s="17"/>
      <c r="D51" s="30" t="s">
        <v>25</v>
      </c>
      <c r="E51" s="31"/>
      <c r="F51" s="31"/>
      <c r="G51" s="31"/>
      <c r="H51" s="31"/>
      <c r="I51" s="483">
        <f t="shared" si="53"/>
        <v>0</v>
      </c>
      <c r="J51" s="31"/>
      <c r="K51" s="31"/>
      <c r="L51" s="31"/>
      <c r="M51" s="31"/>
      <c r="N51" s="483">
        <f t="shared" si="54"/>
        <v>0</v>
      </c>
      <c r="O51" s="484">
        <f t="shared" si="55"/>
        <v>0</v>
      </c>
      <c r="P51" s="17"/>
      <c r="Q51" s="30" t="s">
        <v>25</v>
      </c>
      <c r="R51" s="31"/>
      <c r="S51" s="31"/>
      <c r="T51" s="31"/>
      <c r="U51" s="31"/>
      <c r="V51" s="483">
        <f t="shared" si="56"/>
        <v>0</v>
      </c>
      <c r="W51" s="31"/>
      <c r="X51" s="31"/>
      <c r="Y51" s="31"/>
      <c r="Z51" s="31"/>
      <c r="AA51" s="483">
        <f t="shared" si="57"/>
        <v>0</v>
      </c>
      <c r="AB51" s="484">
        <f t="shared" si="58"/>
        <v>0</v>
      </c>
      <c r="AC51" s="17"/>
      <c r="AD51" s="30" t="s">
        <v>25</v>
      </c>
      <c r="AE51" s="31"/>
      <c r="AF51" s="31"/>
      <c r="AG51" s="485">
        <f>AE51+AF51</f>
        <v>0</v>
      </c>
      <c r="AH51" s="17"/>
      <c r="AI51" s="30" t="s">
        <v>25</v>
      </c>
      <c r="AJ51" s="490">
        <f t="shared" si="59"/>
        <v>0</v>
      </c>
      <c r="AK51" s="490">
        <f t="shared" si="60"/>
        <v>0</v>
      </c>
      <c r="AL51" s="490">
        <f t="shared" si="61"/>
        <v>0</v>
      </c>
      <c r="AM51" s="490">
        <f t="shared" si="62"/>
        <v>0</v>
      </c>
      <c r="AN51" s="483">
        <f t="shared" si="63"/>
        <v>0</v>
      </c>
      <c r="AO51" s="490">
        <f t="shared" si="64"/>
        <v>0</v>
      </c>
      <c r="AP51" s="490">
        <f t="shared" si="65"/>
        <v>0</v>
      </c>
      <c r="AQ51" s="490">
        <f t="shared" si="66"/>
        <v>0</v>
      </c>
      <c r="AR51" s="490">
        <f t="shared" si="67"/>
        <v>0</v>
      </c>
      <c r="AS51" s="483">
        <f t="shared" si="68"/>
        <v>0</v>
      </c>
      <c r="AT51" s="484">
        <f t="shared" si="69"/>
        <v>0</v>
      </c>
    </row>
    <row r="52" spans="2:46" ht="19.5" thickBot="1">
      <c r="B52" s="1196"/>
      <c r="C52" s="17"/>
      <c r="D52" s="30" t="s">
        <v>26</v>
      </c>
      <c r="E52" s="31"/>
      <c r="F52" s="31"/>
      <c r="G52" s="31"/>
      <c r="H52" s="31"/>
      <c r="I52" s="483">
        <f t="shared" si="53"/>
        <v>0</v>
      </c>
      <c r="J52" s="31"/>
      <c r="K52" s="31"/>
      <c r="L52" s="31"/>
      <c r="M52" s="31"/>
      <c r="N52" s="483">
        <f t="shared" si="54"/>
        <v>0</v>
      </c>
      <c r="O52" s="484">
        <f t="shared" si="55"/>
        <v>0</v>
      </c>
      <c r="P52" s="17"/>
      <c r="Q52" s="30" t="s">
        <v>26</v>
      </c>
      <c r="R52" s="31"/>
      <c r="S52" s="31"/>
      <c r="T52" s="31"/>
      <c r="U52" s="31"/>
      <c r="V52" s="483">
        <f t="shared" si="56"/>
        <v>0</v>
      </c>
      <c r="W52" s="31"/>
      <c r="X52" s="31"/>
      <c r="Y52" s="31"/>
      <c r="Z52" s="31"/>
      <c r="AA52" s="483">
        <f t="shared" si="57"/>
        <v>0</v>
      </c>
      <c r="AB52" s="484">
        <f t="shared" si="58"/>
        <v>0</v>
      </c>
      <c r="AC52" s="17"/>
      <c r="AD52" s="30" t="s">
        <v>26</v>
      </c>
      <c r="AE52" s="31"/>
      <c r="AF52" s="31"/>
      <c r="AG52" s="485">
        <f t="shared" ref="AG52:AG61" si="70">AE52+AF52</f>
        <v>0</v>
      </c>
      <c r="AH52" s="17"/>
      <c r="AI52" s="30" t="s">
        <v>26</v>
      </c>
      <c r="AJ52" s="490">
        <f t="shared" si="59"/>
        <v>0</v>
      </c>
      <c r="AK52" s="490">
        <f t="shared" si="60"/>
        <v>0</v>
      </c>
      <c r="AL52" s="490">
        <f t="shared" si="61"/>
        <v>0</v>
      </c>
      <c r="AM52" s="490">
        <f t="shared" si="62"/>
        <v>0</v>
      </c>
      <c r="AN52" s="483">
        <f t="shared" si="63"/>
        <v>0</v>
      </c>
      <c r="AO52" s="490">
        <f t="shared" si="64"/>
        <v>0</v>
      </c>
      <c r="AP52" s="490">
        <f t="shared" si="65"/>
        <v>0</v>
      </c>
      <c r="AQ52" s="490">
        <f t="shared" si="66"/>
        <v>0</v>
      </c>
      <c r="AR52" s="490">
        <f t="shared" si="67"/>
        <v>0</v>
      </c>
      <c r="AS52" s="483">
        <f t="shared" si="68"/>
        <v>0</v>
      </c>
      <c r="AT52" s="484">
        <f t="shared" si="69"/>
        <v>0</v>
      </c>
    </row>
    <row r="53" spans="2:46" ht="19.5" thickBot="1">
      <c r="B53" s="1196"/>
      <c r="C53" s="17"/>
      <c r="D53" s="30" t="s">
        <v>27</v>
      </c>
      <c r="E53" s="31"/>
      <c r="F53" s="31"/>
      <c r="G53" s="31"/>
      <c r="H53" s="31"/>
      <c r="I53" s="483">
        <f t="shared" si="53"/>
        <v>0</v>
      </c>
      <c r="J53" s="31"/>
      <c r="K53" s="31"/>
      <c r="L53" s="31"/>
      <c r="M53" s="31"/>
      <c r="N53" s="483">
        <f t="shared" si="54"/>
        <v>0</v>
      </c>
      <c r="O53" s="484">
        <f t="shared" si="55"/>
        <v>0</v>
      </c>
      <c r="P53" s="17"/>
      <c r="Q53" s="30" t="s">
        <v>27</v>
      </c>
      <c r="R53" s="31"/>
      <c r="S53" s="31"/>
      <c r="T53" s="31"/>
      <c r="U53" s="31"/>
      <c r="V53" s="483">
        <f t="shared" si="56"/>
        <v>0</v>
      </c>
      <c r="W53" s="31"/>
      <c r="X53" s="31"/>
      <c r="Y53" s="31"/>
      <c r="Z53" s="31"/>
      <c r="AA53" s="483">
        <f t="shared" si="57"/>
        <v>0</v>
      </c>
      <c r="AB53" s="484">
        <f t="shared" si="58"/>
        <v>0</v>
      </c>
      <c r="AC53" s="17"/>
      <c r="AD53" s="30" t="s">
        <v>27</v>
      </c>
      <c r="AE53" s="31"/>
      <c r="AF53" s="31"/>
      <c r="AG53" s="485">
        <f t="shared" si="70"/>
        <v>0</v>
      </c>
      <c r="AH53" s="17"/>
      <c r="AI53" s="30" t="s">
        <v>27</v>
      </c>
      <c r="AJ53" s="490">
        <f t="shared" si="59"/>
        <v>0</v>
      </c>
      <c r="AK53" s="490">
        <f t="shared" si="60"/>
        <v>0</v>
      </c>
      <c r="AL53" s="490">
        <f t="shared" si="61"/>
        <v>0</v>
      </c>
      <c r="AM53" s="490">
        <f t="shared" si="62"/>
        <v>0</v>
      </c>
      <c r="AN53" s="483">
        <f t="shared" si="63"/>
        <v>0</v>
      </c>
      <c r="AO53" s="490">
        <f t="shared" si="64"/>
        <v>0</v>
      </c>
      <c r="AP53" s="490">
        <f t="shared" si="65"/>
        <v>0</v>
      </c>
      <c r="AQ53" s="490">
        <f t="shared" si="66"/>
        <v>0</v>
      </c>
      <c r="AR53" s="490">
        <f t="shared" si="67"/>
        <v>0</v>
      </c>
      <c r="AS53" s="483">
        <f t="shared" si="68"/>
        <v>0</v>
      </c>
      <c r="AT53" s="484">
        <f t="shared" si="69"/>
        <v>0</v>
      </c>
    </row>
    <row r="54" spans="2:46" ht="19.5" thickBot="1">
      <c r="B54" s="1196"/>
      <c r="C54" s="17"/>
      <c r="D54" s="30" t="s">
        <v>28</v>
      </c>
      <c r="E54" s="31"/>
      <c r="F54" s="31"/>
      <c r="G54" s="31"/>
      <c r="H54" s="31"/>
      <c r="I54" s="483">
        <f t="shared" si="53"/>
        <v>0</v>
      </c>
      <c r="J54" s="31"/>
      <c r="K54" s="31"/>
      <c r="L54" s="31"/>
      <c r="M54" s="31"/>
      <c r="N54" s="483">
        <f t="shared" si="54"/>
        <v>0</v>
      </c>
      <c r="O54" s="484">
        <f t="shared" si="55"/>
        <v>0</v>
      </c>
      <c r="P54" s="17"/>
      <c r="Q54" s="30" t="s">
        <v>28</v>
      </c>
      <c r="R54" s="31"/>
      <c r="S54" s="31"/>
      <c r="T54" s="31"/>
      <c r="U54" s="31"/>
      <c r="V54" s="483">
        <f t="shared" si="56"/>
        <v>0</v>
      </c>
      <c r="W54" s="31"/>
      <c r="X54" s="31"/>
      <c r="Y54" s="31"/>
      <c r="Z54" s="31"/>
      <c r="AA54" s="483">
        <f t="shared" si="57"/>
        <v>0</v>
      </c>
      <c r="AB54" s="484">
        <f t="shared" si="58"/>
        <v>0</v>
      </c>
      <c r="AC54" s="17"/>
      <c r="AD54" s="30" t="s">
        <v>28</v>
      </c>
      <c r="AE54" s="31"/>
      <c r="AF54" s="31"/>
      <c r="AG54" s="485">
        <f t="shared" si="70"/>
        <v>0</v>
      </c>
      <c r="AH54" s="17"/>
      <c r="AI54" s="30" t="s">
        <v>28</v>
      </c>
      <c r="AJ54" s="490">
        <f t="shared" si="59"/>
        <v>0</v>
      </c>
      <c r="AK54" s="490">
        <f t="shared" si="60"/>
        <v>0</v>
      </c>
      <c r="AL54" s="490">
        <f t="shared" si="61"/>
        <v>0</v>
      </c>
      <c r="AM54" s="490">
        <f t="shared" si="62"/>
        <v>0</v>
      </c>
      <c r="AN54" s="483">
        <f t="shared" si="63"/>
        <v>0</v>
      </c>
      <c r="AO54" s="490">
        <f t="shared" si="64"/>
        <v>0</v>
      </c>
      <c r="AP54" s="490">
        <f t="shared" si="65"/>
        <v>0</v>
      </c>
      <c r="AQ54" s="490">
        <f t="shared" si="66"/>
        <v>0</v>
      </c>
      <c r="AR54" s="490">
        <f t="shared" si="67"/>
        <v>0</v>
      </c>
      <c r="AS54" s="483">
        <f t="shared" si="68"/>
        <v>0</v>
      </c>
      <c r="AT54" s="484">
        <f t="shared" si="69"/>
        <v>0</v>
      </c>
    </row>
    <row r="55" spans="2:46" ht="19.5" thickBot="1">
      <c r="B55" s="1196"/>
      <c r="C55" s="17"/>
      <c r="D55" s="30" t="s">
        <v>29</v>
      </c>
      <c r="E55" s="31"/>
      <c r="F55" s="31"/>
      <c r="G55" s="31"/>
      <c r="H55" s="31"/>
      <c r="I55" s="483">
        <f t="shared" si="53"/>
        <v>0</v>
      </c>
      <c r="J55" s="31"/>
      <c r="K55" s="31"/>
      <c r="L55" s="31"/>
      <c r="M55" s="31"/>
      <c r="N55" s="483">
        <f t="shared" si="54"/>
        <v>0</v>
      </c>
      <c r="O55" s="484">
        <f t="shared" si="55"/>
        <v>0</v>
      </c>
      <c r="P55" s="17"/>
      <c r="Q55" s="30" t="s">
        <v>29</v>
      </c>
      <c r="R55" s="31"/>
      <c r="S55" s="31"/>
      <c r="T55" s="31"/>
      <c r="U55" s="31"/>
      <c r="V55" s="483">
        <f t="shared" si="56"/>
        <v>0</v>
      </c>
      <c r="W55" s="31"/>
      <c r="X55" s="31"/>
      <c r="Y55" s="31"/>
      <c r="Z55" s="31"/>
      <c r="AA55" s="483">
        <f t="shared" si="57"/>
        <v>0</v>
      </c>
      <c r="AB55" s="484">
        <f t="shared" si="58"/>
        <v>0</v>
      </c>
      <c r="AC55" s="17"/>
      <c r="AD55" s="30" t="s">
        <v>29</v>
      </c>
      <c r="AE55" s="31"/>
      <c r="AF55" s="31"/>
      <c r="AG55" s="485">
        <f t="shared" si="70"/>
        <v>0</v>
      </c>
      <c r="AH55" s="17"/>
      <c r="AI55" s="30" t="s">
        <v>29</v>
      </c>
      <c r="AJ55" s="490">
        <f t="shared" si="59"/>
        <v>0</v>
      </c>
      <c r="AK55" s="490">
        <f t="shared" si="60"/>
        <v>0</v>
      </c>
      <c r="AL55" s="490">
        <f t="shared" si="61"/>
        <v>0</v>
      </c>
      <c r="AM55" s="490">
        <f t="shared" si="62"/>
        <v>0</v>
      </c>
      <c r="AN55" s="483">
        <f t="shared" si="63"/>
        <v>0</v>
      </c>
      <c r="AO55" s="490">
        <f t="shared" si="64"/>
        <v>0</v>
      </c>
      <c r="AP55" s="490">
        <f t="shared" si="65"/>
        <v>0</v>
      </c>
      <c r="AQ55" s="490">
        <f t="shared" si="66"/>
        <v>0</v>
      </c>
      <c r="AR55" s="490">
        <f t="shared" si="67"/>
        <v>0</v>
      </c>
      <c r="AS55" s="483">
        <f t="shared" si="68"/>
        <v>0</v>
      </c>
      <c r="AT55" s="484">
        <f t="shared" si="69"/>
        <v>0</v>
      </c>
    </row>
    <row r="56" spans="2:46" ht="19.5" thickBot="1">
      <c r="B56" s="1196"/>
      <c r="C56" s="17"/>
      <c r="D56" s="30" t="s">
        <v>30</v>
      </c>
      <c r="E56" s="31"/>
      <c r="F56" s="31"/>
      <c r="G56" s="31"/>
      <c r="H56" s="31"/>
      <c r="I56" s="483">
        <f t="shared" si="53"/>
        <v>0</v>
      </c>
      <c r="J56" s="31"/>
      <c r="K56" s="31"/>
      <c r="L56" s="31"/>
      <c r="M56" s="31"/>
      <c r="N56" s="483">
        <f t="shared" si="54"/>
        <v>0</v>
      </c>
      <c r="O56" s="484">
        <f t="shared" si="55"/>
        <v>0</v>
      </c>
      <c r="P56" s="17"/>
      <c r="Q56" s="30" t="s">
        <v>30</v>
      </c>
      <c r="R56" s="31"/>
      <c r="S56" s="31"/>
      <c r="T56" s="31"/>
      <c r="U56" s="31"/>
      <c r="V56" s="483">
        <f t="shared" si="56"/>
        <v>0</v>
      </c>
      <c r="W56" s="31"/>
      <c r="X56" s="31"/>
      <c r="Y56" s="31"/>
      <c r="Z56" s="31"/>
      <c r="AA56" s="483">
        <f t="shared" si="57"/>
        <v>0</v>
      </c>
      <c r="AB56" s="484">
        <f t="shared" si="58"/>
        <v>0</v>
      </c>
      <c r="AC56" s="17"/>
      <c r="AD56" s="30" t="s">
        <v>30</v>
      </c>
      <c r="AE56" s="31"/>
      <c r="AF56" s="31"/>
      <c r="AG56" s="485">
        <f t="shared" si="70"/>
        <v>0</v>
      </c>
      <c r="AH56" s="17"/>
      <c r="AI56" s="30" t="s">
        <v>30</v>
      </c>
      <c r="AJ56" s="490">
        <f t="shared" si="59"/>
        <v>0</v>
      </c>
      <c r="AK56" s="490">
        <f t="shared" si="60"/>
        <v>0</v>
      </c>
      <c r="AL56" s="490">
        <f t="shared" si="61"/>
        <v>0</v>
      </c>
      <c r="AM56" s="490">
        <f t="shared" si="62"/>
        <v>0</v>
      </c>
      <c r="AN56" s="483">
        <f t="shared" si="63"/>
        <v>0</v>
      </c>
      <c r="AO56" s="490">
        <f t="shared" si="64"/>
        <v>0</v>
      </c>
      <c r="AP56" s="490">
        <f t="shared" si="65"/>
        <v>0</v>
      </c>
      <c r="AQ56" s="490">
        <f t="shared" si="66"/>
        <v>0</v>
      </c>
      <c r="AR56" s="490">
        <f t="shared" si="67"/>
        <v>0</v>
      </c>
      <c r="AS56" s="483">
        <f t="shared" si="68"/>
        <v>0</v>
      </c>
      <c r="AT56" s="484">
        <f t="shared" si="69"/>
        <v>0</v>
      </c>
    </row>
    <row r="57" spans="2:46" ht="19.5" thickBot="1">
      <c r="B57" s="1196"/>
      <c r="C57" s="17"/>
      <c r="D57" s="30" t="s">
        <v>31</v>
      </c>
      <c r="E57" s="31"/>
      <c r="F57" s="31"/>
      <c r="G57" s="31"/>
      <c r="H57" s="31"/>
      <c r="I57" s="483">
        <f t="shared" si="53"/>
        <v>0</v>
      </c>
      <c r="J57" s="31"/>
      <c r="K57" s="31"/>
      <c r="L57" s="31"/>
      <c r="M57" s="31"/>
      <c r="N57" s="483">
        <f t="shared" si="54"/>
        <v>0</v>
      </c>
      <c r="O57" s="484">
        <f t="shared" si="55"/>
        <v>0</v>
      </c>
      <c r="P57" s="17"/>
      <c r="Q57" s="30" t="s">
        <v>31</v>
      </c>
      <c r="R57" s="31"/>
      <c r="S57" s="31"/>
      <c r="T57" s="31"/>
      <c r="U57" s="31"/>
      <c r="V57" s="483">
        <f t="shared" si="56"/>
        <v>0</v>
      </c>
      <c r="W57" s="31"/>
      <c r="X57" s="31"/>
      <c r="Y57" s="31"/>
      <c r="Z57" s="31"/>
      <c r="AA57" s="483">
        <f t="shared" si="57"/>
        <v>0</v>
      </c>
      <c r="AB57" s="484">
        <f t="shared" si="58"/>
        <v>0</v>
      </c>
      <c r="AC57" s="17"/>
      <c r="AD57" s="30" t="s">
        <v>31</v>
      </c>
      <c r="AE57" s="31"/>
      <c r="AF57" s="31"/>
      <c r="AG57" s="485">
        <f t="shared" si="70"/>
        <v>0</v>
      </c>
      <c r="AH57" s="17"/>
      <c r="AI57" s="30" t="s">
        <v>31</v>
      </c>
      <c r="AJ57" s="490">
        <f t="shared" si="59"/>
        <v>0</v>
      </c>
      <c r="AK57" s="490">
        <f t="shared" si="60"/>
        <v>0</v>
      </c>
      <c r="AL57" s="490">
        <f t="shared" si="61"/>
        <v>0</v>
      </c>
      <c r="AM57" s="490">
        <f t="shared" si="62"/>
        <v>0</v>
      </c>
      <c r="AN57" s="483">
        <f t="shared" si="63"/>
        <v>0</v>
      </c>
      <c r="AO57" s="490">
        <f t="shared" si="64"/>
        <v>0</v>
      </c>
      <c r="AP57" s="490">
        <f t="shared" si="65"/>
        <v>0</v>
      </c>
      <c r="AQ57" s="490">
        <f t="shared" si="66"/>
        <v>0</v>
      </c>
      <c r="AR57" s="490">
        <f t="shared" si="67"/>
        <v>0</v>
      </c>
      <c r="AS57" s="483">
        <f t="shared" si="68"/>
        <v>0</v>
      </c>
      <c r="AT57" s="484">
        <f t="shared" si="69"/>
        <v>0</v>
      </c>
    </row>
    <row r="58" spans="2:46" ht="19.5" thickBot="1">
      <c r="B58" s="1196"/>
      <c r="C58" s="17"/>
      <c r="D58" s="30" t="s">
        <v>32</v>
      </c>
      <c r="E58" s="31"/>
      <c r="F58" s="31"/>
      <c r="G58" s="31"/>
      <c r="H58" s="31"/>
      <c r="I58" s="483">
        <f t="shared" si="53"/>
        <v>0</v>
      </c>
      <c r="J58" s="31"/>
      <c r="K58" s="31"/>
      <c r="L58" s="31"/>
      <c r="M58" s="31"/>
      <c r="N58" s="483">
        <f t="shared" si="54"/>
        <v>0</v>
      </c>
      <c r="O58" s="484">
        <f t="shared" si="55"/>
        <v>0</v>
      </c>
      <c r="P58" s="17"/>
      <c r="Q58" s="30" t="s">
        <v>32</v>
      </c>
      <c r="R58" s="31"/>
      <c r="S58" s="31"/>
      <c r="T58" s="31"/>
      <c r="U58" s="31"/>
      <c r="V58" s="483">
        <f t="shared" si="56"/>
        <v>0</v>
      </c>
      <c r="W58" s="31"/>
      <c r="X58" s="31"/>
      <c r="Y58" s="31"/>
      <c r="Z58" s="31"/>
      <c r="AA58" s="483">
        <f t="shared" si="57"/>
        <v>0</v>
      </c>
      <c r="AB58" s="484">
        <f t="shared" si="58"/>
        <v>0</v>
      </c>
      <c r="AC58" s="17"/>
      <c r="AD58" s="30" t="s">
        <v>32</v>
      </c>
      <c r="AE58" s="31"/>
      <c r="AF58" s="31"/>
      <c r="AG58" s="485">
        <f t="shared" si="70"/>
        <v>0</v>
      </c>
      <c r="AH58" s="17"/>
      <c r="AI58" s="30" t="s">
        <v>32</v>
      </c>
      <c r="AJ58" s="490">
        <f t="shared" si="59"/>
        <v>0</v>
      </c>
      <c r="AK58" s="490">
        <f t="shared" si="60"/>
        <v>0</v>
      </c>
      <c r="AL58" s="490">
        <f t="shared" si="61"/>
        <v>0</v>
      </c>
      <c r="AM58" s="490">
        <f t="shared" si="62"/>
        <v>0</v>
      </c>
      <c r="AN58" s="483">
        <f t="shared" si="63"/>
        <v>0</v>
      </c>
      <c r="AO58" s="490">
        <f t="shared" si="64"/>
        <v>0</v>
      </c>
      <c r="AP58" s="490">
        <f t="shared" si="65"/>
        <v>0</v>
      </c>
      <c r="AQ58" s="490">
        <f t="shared" si="66"/>
        <v>0</v>
      </c>
      <c r="AR58" s="490">
        <f t="shared" si="67"/>
        <v>0</v>
      </c>
      <c r="AS58" s="483">
        <f t="shared" si="68"/>
        <v>0</v>
      </c>
      <c r="AT58" s="484">
        <f t="shared" si="69"/>
        <v>0</v>
      </c>
    </row>
    <row r="59" spans="2:46" ht="19.5" thickBot="1">
      <c r="B59" s="1196"/>
      <c r="C59" s="17"/>
      <c r="D59" s="30" t="s">
        <v>33</v>
      </c>
      <c r="E59" s="31"/>
      <c r="F59" s="31"/>
      <c r="G59" s="31"/>
      <c r="H59" s="31"/>
      <c r="I59" s="483">
        <f t="shared" si="53"/>
        <v>0</v>
      </c>
      <c r="J59" s="31"/>
      <c r="K59" s="31"/>
      <c r="L59" s="31"/>
      <c r="M59" s="31"/>
      <c r="N59" s="483">
        <f t="shared" si="54"/>
        <v>0</v>
      </c>
      <c r="O59" s="484">
        <f t="shared" si="55"/>
        <v>0</v>
      </c>
      <c r="P59" s="17"/>
      <c r="Q59" s="30" t="s">
        <v>33</v>
      </c>
      <c r="R59" s="31"/>
      <c r="S59" s="31"/>
      <c r="T59" s="31"/>
      <c r="U59" s="31"/>
      <c r="V59" s="483">
        <f t="shared" si="56"/>
        <v>0</v>
      </c>
      <c r="W59" s="31"/>
      <c r="X59" s="31"/>
      <c r="Y59" s="31"/>
      <c r="Z59" s="31"/>
      <c r="AA59" s="483">
        <f t="shared" si="57"/>
        <v>0</v>
      </c>
      <c r="AB59" s="484">
        <f t="shared" si="58"/>
        <v>0</v>
      </c>
      <c r="AC59" s="17"/>
      <c r="AD59" s="30" t="s">
        <v>33</v>
      </c>
      <c r="AE59" s="31"/>
      <c r="AF59" s="31"/>
      <c r="AG59" s="485">
        <f t="shared" si="70"/>
        <v>0</v>
      </c>
      <c r="AH59" s="17"/>
      <c r="AI59" s="30" t="s">
        <v>33</v>
      </c>
      <c r="AJ59" s="490">
        <f t="shared" si="59"/>
        <v>0</v>
      </c>
      <c r="AK59" s="490">
        <f t="shared" si="60"/>
        <v>0</v>
      </c>
      <c r="AL59" s="490">
        <f t="shared" si="61"/>
        <v>0</v>
      </c>
      <c r="AM59" s="490">
        <f t="shared" si="62"/>
        <v>0</v>
      </c>
      <c r="AN59" s="483">
        <f t="shared" si="63"/>
        <v>0</v>
      </c>
      <c r="AO59" s="490">
        <f t="shared" si="64"/>
        <v>0</v>
      </c>
      <c r="AP59" s="490">
        <f t="shared" si="65"/>
        <v>0</v>
      </c>
      <c r="AQ59" s="490">
        <f t="shared" si="66"/>
        <v>0</v>
      </c>
      <c r="AR59" s="490">
        <f t="shared" si="67"/>
        <v>0</v>
      </c>
      <c r="AS59" s="483">
        <f t="shared" si="68"/>
        <v>0</v>
      </c>
      <c r="AT59" s="484">
        <f t="shared" si="69"/>
        <v>0</v>
      </c>
    </row>
    <row r="60" spans="2:46" ht="19.5" thickBot="1">
      <c r="B60" s="1196"/>
      <c r="C60" s="17"/>
      <c r="D60" s="30" t="s">
        <v>34</v>
      </c>
      <c r="E60" s="31"/>
      <c r="F60" s="31"/>
      <c r="G60" s="31"/>
      <c r="H60" s="31"/>
      <c r="I60" s="483">
        <f t="shared" si="53"/>
        <v>0</v>
      </c>
      <c r="J60" s="31"/>
      <c r="K60" s="31"/>
      <c r="L60" s="31"/>
      <c r="M60" s="31"/>
      <c r="N60" s="483">
        <f t="shared" si="54"/>
        <v>0</v>
      </c>
      <c r="O60" s="484">
        <f t="shared" si="55"/>
        <v>0</v>
      </c>
      <c r="P60" s="17"/>
      <c r="Q60" s="30" t="s">
        <v>34</v>
      </c>
      <c r="R60" s="31"/>
      <c r="S60" s="31"/>
      <c r="T60" s="31"/>
      <c r="U60" s="31"/>
      <c r="V60" s="483">
        <f t="shared" si="56"/>
        <v>0</v>
      </c>
      <c r="W60" s="31"/>
      <c r="X60" s="31"/>
      <c r="Y60" s="31"/>
      <c r="Z60" s="31"/>
      <c r="AA60" s="483">
        <f t="shared" si="57"/>
        <v>0</v>
      </c>
      <c r="AB60" s="484">
        <f t="shared" si="58"/>
        <v>0</v>
      </c>
      <c r="AC60" s="17"/>
      <c r="AD60" s="30" t="s">
        <v>34</v>
      </c>
      <c r="AE60" s="31"/>
      <c r="AF60" s="31"/>
      <c r="AG60" s="485">
        <f t="shared" si="70"/>
        <v>0</v>
      </c>
      <c r="AH60" s="17"/>
      <c r="AI60" s="30" t="s">
        <v>34</v>
      </c>
      <c r="AJ60" s="490">
        <f t="shared" si="59"/>
        <v>0</v>
      </c>
      <c r="AK60" s="490">
        <f t="shared" si="60"/>
        <v>0</v>
      </c>
      <c r="AL60" s="490">
        <f t="shared" si="61"/>
        <v>0</v>
      </c>
      <c r="AM60" s="490">
        <f t="shared" si="62"/>
        <v>0</v>
      </c>
      <c r="AN60" s="483">
        <f t="shared" si="63"/>
        <v>0</v>
      </c>
      <c r="AO60" s="490">
        <f t="shared" si="64"/>
        <v>0</v>
      </c>
      <c r="AP60" s="490">
        <f t="shared" si="65"/>
        <v>0</v>
      </c>
      <c r="AQ60" s="490">
        <f t="shared" si="66"/>
        <v>0</v>
      </c>
      <c r="AR60" s="490">
        <f t="shared" si="67"/>
        <v>0</v>
      </c>
      <c r="AS60" s="483">
        <f t="shared" si="68"/>
        <v>0</v>
      </c>
      <c r="AT60" s="484">
        <f t="shared" si="69"/>
        <v>0</v>
      </c>
    </row>
    <row r="61" spans="2:46" ht="19.5" thickBot="1">
      <c r="B61" s="1196"/>
      <c r="C61" s="17"/>
      <c r="D61" s="30" t="s">
        <v>35</v>
      </c>
      <c r="E61" s="31"/>
      <c r="F61" s="31"/>
      <c r="G61" s="31"/>
      <c r="H61" s="31"/>
      <c r="I61" s="483">
        <f t="shared" si="53"/>
        <v>0</v>
      </c>
      <c r="J61" s="31"/>
      <c r="K61" s="31"/>
      <c r="L61" s="31"/>
      <c r="M61" s="31"/>
      <c r="N61" s="483">
        <f t="shared" si="54"/>
        <v>0</v>
      </c>
      <c r="O61" s="484">
        <f t="shared" si="55"/>
        <v>0</v>
      </c>
      <c r="P61" s="17"/>
      <c r="Q61" s="30" t="s">
        <v>35</v>
      </c>
      <c r="R61" s="31"/>
      <c r="S61" s="31"/>
      <c r="T61" s="31"/>
      <c r="U61" s="31"/>
      <c r="V61" s="483">
        <f t="shared" si="56"/>
        <v>0</v>
      </c>
      <c r="W61" s="31"/>
      <c r="X61" s="31"/>
      <c r="Y61" s="31"/>
      <c r="Z61" s="31"/>
      <c r="AA61" s="483">
        <f t="shared" si="57"/>
        <v>0</v>
      </c>
      <c r="AB61" s="484">
        <f t="shared" si="58"/>
        <v>0</v>
      </c>
      <c r="AC61" s="17"/>
      <c r="AD61" s="30" t="s">
        <v>35</v>
      </c>
      <c r="AE61" s="31"/>
      <c r="AF61" s="31"/>
      <c r="AG61" s="485">
        <f t="shared" si="70"/>
        <v>0</v>
      </c>
      <c r="AH61" s="17"/>
      <c r="AI61" s="30" t="s">
        <v>35</v>
      </c>
      <c r="AJ61" s="490">
        <f t="shared" si="59"/>
        <v>0</v>
      </c>
      <c r="AK61" s="490">
        <f t="shared" si="60"/>
        <v>0</v>
      </c>
      <c r="AL61" s="490">
        <f t="shared" si="61"/>
        <v>0</v>
      </c>
      <c r="AM61" s="490">
        <f t="shared" si="62"/>
        <v>0</v>
      </c>
      <c r="AN61" s="483">
        <f t="shared" si="63"/>
        <v>0</v>
      </c>
      <c r="AO61" s="490">
        <f t="shared" si="64"/>
        <v>0</v>
      </c>
      <c r="AP61" s="490">
        <f t="shared" si="65"/>
        <v>0</v>
      </c>
      <c r="AQ61" s="490">
        <f t="shared" si="66"/>
        <v>0</v>
      </c>
      <c r="AR61" s="490">
        <f t="shared" si="67"/>
        <v>0</v>
      </c>
      <c r="AS61" s="483">
        <f t="shared" si="68"/>
        <v>0</v>
      </c>
      <c r="AT61" s="484">
        <f t="shared" si="69"/>
        <v>0</v>
      </c>
    </row>
    <row r="62" spans="2:46" ht="19.5" thickBot="1">
      <c r="B62" s="1196"/>
      <c r="C62" s="17"/>
      <c r="D62" s="30" t="s">
        <v>36</v>
      </c>
      <c r="E62" s="483">
        <f>SUM(E50:E61)</f>
        <v>0</v>
      </c>
      <c r="F62" s="483">
        <f>SUM(F50:F61)</f>
        <v>0</v>
      </c>
      <c r="G62" s="483">
        <f>SUM(G50:G61)</f>
        <v>0</v>
      </c>
      <c r="H62" s="483">
        <f>SUM(H50:H61)</f>
        <v>0</v>
      </c>
      <c r="I62" s="483">
        <f t="shared" si="53"/>
        <v>0</v>
      </c>
      <c r="J62" s="483">
        <f>SUM(J50:J61)</f>
        <v>0</v>
      </c>
      <c r="K62" s="483">
        <f>SUM(K50:K61)</f>
        <v>0</v>
      </c>
      <c r="L62" s="483">
        <f>SUM(L50:L61)</f>
        <v>0</v>
      </c>
      <c r="M62" s="483">
        <f>SUM(M50:M61)</f>
        <v>0</v>
      </c>
      <c r="N62" s="483">
        <f t="shared" si="54"/>
        <v>0</v>
      </c>
      <c r="O62" s="484">
        <f t="shared" si="55"/>
        <v>0</v>
      </c>
      <c r="P62" s="17"/>
      <c r="Q62" s="30" t="s">
        <v>36</v>
      </c>
      <c r="R62" s="483">
        <f>SUM(R50:R61)</f>
        <v>0</v>
      </c>
      <c r="S62" s="483">
        <f>SUM(S50:S61)</f>
        <v>0</v>
      </c>
      <c r="T62" s="483">
        <f>SUM(T50:T61)</f>
        <v>0</v>
      </c>
      <c r="U62" s="483">
        <f>SUM(U50:U61)</f>
        <v>0</v>
      </c>
      <c r="V62" s="483">
        <f t="shared" si="56"/>
        <v>0</v>
      </c>
      <c r="W62" s="483">
        <f>SUM(W50:W61)</f>
        <v>0</v>
      </c>
      <c r="X62" s="483">
        <f>SUM(X50:X61)</f>
        <v>0</v>
      </c>
      <c r="Y62" s="483">
        <f>SUM(Y50:Y61)</f>
        <v>0</v>
      </c>
      <c r="Z62" s="483">
        <f>SUM(Z50:Z61)</f>
        <v>0</v>
      </c>
      <c r="AA62" s="483">
        <f t="shared" si="57"/>
        <v>0</v>
      </c>
      <c r="AB62" s="484">
        <f t="shared" si="58"/>
        <v>0</v>
      </c>
      <c r="AC62" s="17"/>
      <c r="AD62" s="30" t="s">
        <v>36</v>
      </c>
      <c r="AE62" s="483">
        <f>SUM(AE50:AE61)</f>
        <v>0</v>
      </c>
      <c r="AF62" s="483">
        <f>SUM(AF50:AF61)</f>
        <v>0</v>
      </c>
      <c r="AG62" s="485">
        <f>SUM(AG50:AG61)</f>
        <v>0</v>
      </c>
      <c r="AH62" s="17"/>
      <c r="AI62" s="30" t="s">
        <v>36</v>
      </c>
      <c r="AJ62" s="483">
        <f>SUM(AJ50:AJ61)</f>
        <v>0</v>
      </c>
      <c r="AK62" s="483">
        <f>SUM(AK50:AK61)</f>
        <v>0</v>
      </c>
      <c r="AL62" s="483">
        <f>SUM(AL50:AL61)</f>
        <v>0</v>
      </c>
      <c r="AM62" s="483">
        <f>SUM(AM50:AM61)</f>
        <v>0</v>
      </c>
      <c r="AN62" s="483">
        <f t="shared" si="63"/>
        <v>0</v>
      </c>
      <c r="AO62" s="483">
        <f>SUM(AO50:AO61)</f>
        <v>0</v>
      </c>
      <c r="AP62" s="483">
        <f>SUM(AP50:AP61)</f>
        <v>0</v>
      </c>
      <c r="AQ62" s="483">
        <f>SUM(AQ50:AQ61)</f>
        <v>0</v>
      </c>
      <c r="AR62" s="483">
        <f>SUM(AR50:AR61)</f>
        <v>0</v>
      </c>
      <c r="AS62" s="483">
        <f t="shared" si="68"/>
        <v>0</v>
      </c>
      <c r="AT62" s="484">
        <f t="shared" si="69"/>
        <v>0</v>
      </c>
    </row>
    <row r="63" spans="2:46" ht="4.1500000000000004" customHeight="1" thickBot="1">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491"/>
      <c r="AH63" s="17"/>
      <c r="AI63" s="17"/>
      <c r="AJ63" s="17"/>
      <c r="AK63" s="17"/>
      <c r="AL63" s="17"/>
      <c r="AM63" s="17"/>
      <c r="AN63" s="17"/>
      <c r="AO63" s="17"/>
      <c r="AP63" s="17"/>
      <c r="AQ63" s="17"/>
      <c r="AR63" s="17"/>
      <c r="AS63" s="17"/>
      <c r="AT63" s="17"/>
    </row>
    <row r="64" spans="2:46" ht="19.5" thickBot="1">
      <c r="B64" s="1197" t="str">
        <f>IF(基本情報!E20="","",基本情報!E20)</f>
        <v/>
      </c>
      <c r="C64" s="17"/>
      <c r="D64" s="30" t="s">
        <v>24</v>
      </c>
      <c r="E64" s="31"/>
      <c r="F64" s="31"/>
      <c r="G64" s="31"/>
      <c r="H64" s="31"/>
      <c r="I64" s="483">
        <f t="shared" ref="I64:I76" si="71">SUM(E64:H64)</f>
        <v>0</v>
      </c>
      <c r="J64" s="31"/>
      <c r="K64" s="31"/>
      <c r="L64" s="31"/>
      <c r="M64" s="31"/>
      <c r="N64" s="483">
        <f t="shared" ref="N64:N76" si="72">SUM(J64:M64)</f>
        <v>0</v>
      </c>
      <c r="O64" s="484">
        <f t="shared" ref="O64:O76" si="73">I64+N64</f>
        <v>0</v>
      </c>
      <c r="P64" s="17"/>
      <c r="Q64" s="30" t="s">
        <v>24</v>
      </c>
      <c r="R64" s="31"/>
      <c r="S64" s="31"/>
      <c r="T64" s="31"/>
      <c r="U64" s="31"/>
      <c r="V64" s="483">
        <f t="shared" ref="V64:V76" si="74">SUM(R64:U64)</f>
        <v>0</v>
      </c>
      <c r="W64" s="31"/>
      <c r="X64" s="31"/>
      <c r="Y64" s="31"/>
      <c r="Z64" s="31"/>
      <c r="AA64" s="483">
        <f t="shared" ref="AA64:AA76" si="75">SUM(W64:Z64)</f>
        <v>0</v>
      </c>
      <c r="AB64" s="484">
        <f t="shared" ref="AB64:AB76" si="76">V64+AA64</f>
        <v>0</v>
      </c>
      <c r="AC64" s="17"/>
      <c r="AD64" s="30" t="s">
        <v>24</v>
      </c>
      <c r="AE64" s="31"/>
      <c r="AF64" s="31"/>
      <c r="AG64" s="485">
        <f>AE64+AF64</f>
        <v>0</v>
      </c>
      <c r="AH64" s="17"/>
      <c r="AI64" s="30" t="s">
        <v>24</v>
      </c>
      <c r="AJ64" s="490">
        <f t="shared" ref="AJ64:AJ75" si="77">E64+R64</f>
        <v>0</v>
      </c>
      <c r="AK64" s="490">
        <f t="shared" ref="AK64:AK75" si="78">F64+S64</f>
        <v>0</v>
      </c>
      <c r="AL64" s="490">
        <f t="shared" ref="AL64:AL75" si="79">G64+T64</f>
        <v>0</v>
      </c>
      <c r="AM64" s="490">
        <f t="shared" ref="AM64:AM75" si="80">H64+U64</f>
        <v>0</v>
      </c>
      <c r="AN64" s="483">
        <f t="shared" ref="AN64:AN76" si="81">SUM(AJ64:AM64)</f>
        <v>0</v>
      </c>
      <c r="AO64" s="490">
        <f t="shared" ref="AO64:AO75" si="82">J64+W64</f>
        <v>0</v>
      </c>
      <c r="AP64" s="490">
        <f t="shared" ref="AP64:AP75" si="83">K64+X64</f>
        <v>0</v>
      </c>
      <c r="AQ64" s="490">
        <f t="shared" ref="AQ64:AQ75" si="84">L64+Y64</f>
        <v>0</v>
      </c>
      <c r="AR64" s="490">
        <f t="shared" ref="AR64:AR75" si="85">M64+Z64</f>
        <v>0</v>
      </c>
      <c r="AS64" s="483">
        <f t="shared" ref="AS64:AS76" si="86">SUM(AO64:AR64)</f>
        <v>0</v>
      </c>
      <c r="AT64" s="484">
        <f t="shared" ref="AT64:AT76" si="87">AN64+AS64</f>
        <v>0</v>
      </c>
    </row>
    <row r="65" spans="2:46" ht="19.5" thickBot="1">
      <c r="B65" s="1197"/>
      <c r="C65" s="17"/>
      <c r="D65" s="30" t="s">
        <v>25</v>
      </c>
      <c r="E65" s="31"/>
      <c r="F65" s="31"/>
      <c r="G65" s="31"/>
      <c r="H65" s="31"/>
      <c r="I65" s="483">
        <f t="shared" si="71"/>
        <v>0</v>
      </c>
      <c r="J65" s="31"/>
      <c r="K65" s="31"/>
      <c r="L65" s="31"/>
      <c r="M65" s="31"/>
      <c r="N65" s="483">
        <f t="shared" si="72"/>
        <v>0</v>
      </c>
      <c r="O65" s="484">
        <f t="shared" si="73"/>
        <v>0</v>
      </c>
      <c r="P65" s="17"/>
      <c r="Q65" s="30" t="s">
        <v>25</v>
      </c>
      <c r="R65" s="31"/>
      <c r="S65" s="31"/>
      <c r="T65" s="31"/>
      <c r="U65" s="31"/>
      <c r="V65" s="483">
        <f t="shared" si="74"/>
        <v>0</v>
      </c>
      <c r="W65" s="31"/>
      <c r="X65" s="31"/>
      <c r="Y65" s="31"/>
      <c r="Z65" s="31"/>
      <c r="AA65" s="483">
        <f t="shared" si="75"/>
        <v>0</v>
      </c>
      <c r="AB65" s="484">
        <f t="shared" si="76"/>
        <v>0</v>
      </c>
      <c r="AC65" s="17"/>
      <c r="AD65" s="30" t="s">
        <v>25</v>
      </c>
      <c r="AE65" s="31"/>
      <c r="AF65" s="31"/>
      <c r="AG65" s="485">
        <f>AE65+AF65</f>
        <v>0</v>
      </c>
      <c r="AH65" s="17"/>
      <c r="AI65" s="30" t="s">
        <v>25</v>
      </c>
      <c r="AJ65" s="490">
        <f t="shared" si="77"/>
        <v>0</v>
      </c>
      <c r="AK65" s="490">
        <f t="shared" si="78"/>
        <v>0</v>
      </c>
      <c r="AL65" s="490">
        <f t="shared" si="79"/>
        <v>0</v>
      </c>
      <c r="AM65" s="490">
        <f t="shared" si="80"/>
        <v>0</v>
      </c>
      <c r="AN65" s="483">
        <f t="shared" si="81"/>
        <v>0</v>
      </c>
      <c r="AO65" s="490">
        <f t="shared" si="82"/>
        <v>0</v>
      </c>
      <c r="AP65" s="490">
        <f t="shared" si="83"/>
        <v>0</v>
      </c>
      <c r="AQ65" s="490">
        <f t="shared" si="84"/>
        <v>0</v>
      </c>
      <c r="AR65" s="490">
        <f t="shared" si="85"/>
        <v>0</v>
      </c>
      <c r="AS65" s="483">
        <f t="shared" si="86"/>
        <v>0</v>
      </c>
      <c r="AT65" s="484">
        <f t="shared" si="87"/>
        <v>0</v>
      </c>
    </row>
    <row r="66" spans="2:46" ht="19.5" thickBot="1">
      <c r="B66" s="1197"/>
      <c r="C66" s="17"/>
      <c r="D66" s="30" t="s">
        <v>26</v>
      </c>
      <c r="E66" s="31"/>
      <c r="F66" s="31"/>
      <c r="G66" s="31"/>
      <c r="H66" s="31"/>
      <c r="I66" s="483">
        <f t="shared" si="71"/>
        <v>0</v>
      </c>
      <c r="J66" s="31"/>
      <c r="K66" s="31"/>
      <c r="L66" s="31"/>
      <c r="M66" s="31"/>
      <c r="N66" s="483">
        <f t="shared" si="72"/>
        <v>0</v>
      </c>
      <c r="O66" s="484">
        <f t="shared" si="73"/>
        <v>0</v>
      </c>
      <c r="P66" s="17"/>
      <c r="Q66" s="30" t="s">
        <v>26</v>
      </c>
      <c r="R66" s="31"/>
      <c r="S66" s="31"/>
      <c r="T66" s="31"/>
      <c r="U66" s="31"/>
      <c r="V66" s="483">
        <f t="shared" si="74"/>
        <v>0</v>
      </c>
      <c r="W66" s="31"/>
      <c r="X66" s="31"/>
      <c r="Y66" s="31"/>
      <c r="Z66" s="31"/>
      <c r="AA66" s="483">
        <f t="shared" si="75"/>
        <v>0</v>
      </c>
      <c r="AB66" s="484">
        <f t="shared" si="76"/>
        <v>0</v>
      </c>
      <c r="AC66" s="17"/>
      <c r="AD66" s="30" t="s">
        <v>26</v>
      </c>
      <c r="AE66" s="31"/>
      <c r="AF66" s="31"/>
      <c r="AG66" s="485">
        <f t="shared" ref="AG66:AG75" si="88">AE66+AF66</f>
        <v>0</v>
      </c>
      <c r="AH66" s="17"/>
      <c r="AI66" s="30" t="s">
        <v>26</v>
      </c>
      <c r="AJ66" s="490">
        <f t="shared" si="77"/>
        <v>0</v>
      </c>
      <c r="AK66" s="490">
        <f t="shared" si="78"/>
        <v>0</v>
      </c>
      <c r="AL66" s="490">
        <f t="shared" si="79"/>
        <v>0</v>
      </c>
      <c r="AM66" s="490">
        <f t="shared" si="80"/>
        <v>0</v>
      </c>
      <c r="AN66" s="483">
        <f t="shared" si="81"/>
        <v>0</v>
      </c>
      <c r="AO66" s="490">
        <f t="shared" si="82"/>
        <v>0</v>
      </c>
      <c r="AP66" s="490">
        <f t="shared" si="83"/>
        <v>0</v>
      </c>
      <c r="AQ66" s="490">
        <f t="shared" si="84"/>
        <v>0</v>
      </c>
      <c r="AR66" s="490">
        <f t="shared" si="85"/>
        <v>0</v>
      </c>
      <c r="AS66" s="483">
        <f t="shared" si="86"/>
        <v>0</v>
      </c>
      <c r="AT66" s="484">
        <f t="shared" si="87"/>
        <v>0</v>
      </c>
    </row>
    <row r="67" spans="2:46" ht="19.5" thickBot="1">
      <c r="B67" s="1197"/>
      <c r="C67" s="17"/>
      <c r="D67" s="30" t="s">
        <v>27</v>
      </c>
      <c r="E67" s="31"/>
      <c r="F67" s="31"/>
      <c r="G67" s="31"/>
      <c r="H67" s="31"/>
      <c r="I67" s="483">
        <f t="shared" si="71"/>
        <v>0</v>
      </c>
      <c r="J67" s="31"/>
      <c r="K67" s="31"/>
      <c r="L67" s="31"/>
      <c r="M67" s="31"/>
      <c r="N67" s="483">
        <f t="shared" si="72"/>
        <v>0</v>
      </c>
      <c r="O67" s="484">
        <f t="shared" si="73"/>
        <v>0</v>
      </c>
      <c r="P67" s="17"/>
      <c r="Q67" s="30" t="s">
        <v>27</v>
      </c>
      <c r="R67" s="31"/>
      <c r="S67" s="31"/>
      <c r="T67" s="31"/>
      <c r="U67" s="31"/>
      <c r="V67" s="483">
        <f t="shared" si="74"/>
        <v>0</v>
      </c>
      <c r="W67" s="31"/>
      <c r="X67" s="31"/>
      <c r="Y67" s="31"/>
      <c r="Z67" s="31"/>
      <c r="AA67" s="483">
        <f t="shared" si="75"/>
        <v>0</v>
      </c>
      <c r="AB67" s="484">
        <f t="shared" si="76"/>
        <v>0</v>
      </c>
      <c r="AC67" s="17"/>
      <c r="AD67" s="30" t="s">
        <v>27</v>
      </c>
      <c r="AE67" s="31"/>
      <c r="AF67" s="31"/>
      <c r="AG67" s="485">
        <f t="shared" si="88"/>
        <v>0</v>
      </c>
      <c r="AH67" s="17"/>
      <c r="AI67" s="30" t="s">
        <v>27</v>
      </c>
      <c r="AJ67" s="490">
        <f t="shared" si="77"/>
        <v>0</v>
      </c>
      <c r="AK67" s="490">
        <f t="shared" si="78"/>
        <v>0</v>
      </c>
      <c r="AL67" s="490">
        <f t="shared" si="79"/>
        <v>0</v>
      </c>
      <c r="AM67" s="490">
        <f t="shared" si="80"/>
        <v>0</v>
      </c>
      <c r="AN67" s="483">
        <f t="shared" si="81"/>
        <v>0</v>
      </c>
      <c r="AO67" s="490">
        <f t="shared" si="82"/>
        <v>0</v>
      </c>
      <c r="AP67" s="490">
        <f t="shared" si="83"/>
        <v>0</v>
      </c>
      <c r="AQ67" s="490">
        <f t="shared" si="84"/>
        <v>0</v>
      </c>
      <c r="AR67" s="490">
        <f t="shared" si="85"/>
        <v>0</v>
      </c>
      <c r="AS67" s="483">
        <f t="shared" si="86"/>
        <v>0</v>
      </c>
      <c r="AT67" s="484">
        <f t="shared" si="87"/>
        <v>0</v>
      </c>
    </row>
    <row r="68" spans="2:46" ht="19.5" thickBot="1">
      <c r="B68" s="1197"/>
      <c r="C68" s="17"/>
      <c r="D68" s="30" t="s">
        <v>28</v>
      </c>
      <c r="E68" s="31"/>
      <c r="F68" s="31"/>
      <c r="G68" s="31"/>
      <c r="H68" s="31"/>
      <c r="I68" s="483">
        <f t="shared" si="71"/>
        <v>0</v>
      </c>
      <c r="J68" s="31"/>
      <c r="K68" s="31"/>
      <c r="L68" s="31"/>
      <c r="M68" s="31"/>
      <c r="N68" s="483">
        <f t="shared" si="72"/>
        <v>0</v>
      </c>
      <c r="O68" s="484">
        <f t="shared" si="73"/>
        <v>0</v>
      </c>
      <c r="P68" s="17"/>
      <c r="Q68" s="30" t="s">
        <v>28</v>
      </c>
      <c r="R68" s="31"/>
      <c r="S68" s="31"/>
      <c r="T68" s="31"/>
      <c r="U68" s="31"/>
      <c r="V68" s="483">
        <f t="shared" si="74"/>
        <v>0</v>
      </c>
      <c r="W68" s="31"/>
      <c r="X68" s="31"/>
      <c r="Y68" s="31"/>
      <c r="Z68" s="31"/>
      <c r="AA68" s="483">
        <f t="shared" si="75"/>
        <v>0</v>
      </c>
      <c r="AB68" s="484">
        <f t="shared" si="76"/>
        <v>0</v>
      </c>
      <c r="AC68" s="17"/>
      <c r="AD68" s="30" t="s">
        <v>28</v>
      </c>
      <c r="AE68" s="31"/>
      <c r="AF68" s="31"/>
      <c r="AG68" s="485">
        <f t="shared" si="88"/>
        <v>0</v>
      </c>
      <c r="AH68" s="17"/>
      <c r="AI68" s="30" t="s">
        <v>28</v>
      </c>
      <c r="AJ68" s="490">
        <f t="shared" si="77"/>
        <v>0</v>
      </c>
      <c r="AK68" s="490">
        <f t="shared" si="78"/>
        <v>0</v>
      </c>
      <c r="AL68" s="490">
        <f t="shared" si="79"/>
        <v>0</v>
      </c>
      <c r="AM68" s="490">
        <f t="shared" si="80"/>
        <v>0</v>
      </c>
      <c r="AN68" s="483">
        <f t="shared" si="81"/>
        <v>0</v>
      </c>
      <c r="AO68" s="490">
        <f t="shared" si="82"/>
        <v>0</v>
      </c>
      <c r="AP68" s="490">
        <f t="shared" si="83"/>
        <v>0</v>
      </c>
      <c r="AQ68" s="490">
        <f t="shared" si="84"/>
        <v>0</v>
      </c>
      <c r="AR68" s="490">
        <f t="shared" si="85"/>
        <v>0</v>
      </c>
      <c r="AS68" s="483">
        <f t="shared" si="86"/>
        <v>0</v>
      </c>
      <c r="AT68" s="484">
        <f t="shared" si="87"/>
        <v>0</v>
      </c>
    </row>
    <row r="69" spans="2:46" ht="19.5" thickBot="1">
      <c r="B69" s="1197"/>
      <c r="C69" s="17"/>
      <c r="D69" s="30" t="s">
        <v>29</v>
      </c>
      <c r="E69" s="31"/>
      <c r="F69" s="31"/>
      <c r="G69" s="31"/>
      <c r="H69" s="31"/>
      <c r="I69" s="483">
        <f t="shared" si="71"/>
        <v>0</v>
      </c>
      <c r="J69" s="31"/>
      <c r="K69" s="31"/>
      <c r="L69" s="31"/>
      <c r="M69" s="31"/>
      <c r="N69" s="483">
        <f t="shared" si="72"/>
        <v>0</v>
      </c>
      <c r="O69" s="484">
        <f t="shared" si="73"/>
        <v>0</v>
      </c>
      <c r="P69" s="17"/>
      <c r="Q69" s="30" t="s">
        <v>29</v>
      </c>
      <c r="R69" s="31"/>
      <c r="S69" s="31"/>
      <c r="T69" s="31"/>
      <c r="U69" s="31"/>
      <c r="V69" s="483">
        <f t="shared" si="74"/>
        <v>0</v>
      </c>
      <c r="W69" s="31"/>
      <c r="X69" s="31"/>
      <c r="Y69" s="31"/>
      <c r="Z69" s="31"/>
      <c r="AA69" s="483">
        <f t="shared" si="75"/>
        <v>0</v>
      </c>
      <c r="AB69" s="484">
        <f t="shared" si="76"/>
        <v>0</v>
      </c>
      <c r="AC69" s="17"/>
      <c r="AD69" s="30" t="s">
        <v>29</v>
      </c>
      <c r="AE69" s="31"/>
      <c r="AF69" s="31"/>
      <c r="AG69" s="485">
        <f t="shared" si="88"/>
        <v>0</v>
      </c>
      <c r="AH69" s="17"/>
      <c r="AI69" s="30" t="s">
        <v>29</v>
      </c>
      <c r="AJ69" s="490">
        <f t="shared" si="77"/>
        <v>0</v>
      </c>
      <c r="AK69" s="490">
        <f t="shared" si="78"/>
        <v>0</v>
      </c>
      <c r="AL69" s="490">
        <f t="shared" si="79"/>
        <v>0</v>
      </c>
      <c r="AM69" s="490">
        <f t="shared" si="80"/>
        <v>0</v>
      </c>
      <c r="AN69" s="483">
        <f t="shared" si="81"/>
        <v>0</v>
      </c>
      <c r="AO69" s="490">
        <f t="shared" si="82"/>
        <v>0</v>
      </c>
      <c r="AP69" s="490">
        <f t="shared" si="83"/>
        <v>0</v>
      </c>
      <c r="AQ69" s="490">
        <f t="shared" si="84"/>
        <v>0</v>
      </c>
      <c r="AR69" s="490">
        <f t="shared" si="85"/>
        <v>0</v>
      </c>
      <c r="AS69" s="483">
        <f t="shared" si="86"/>
        <v>0</v>
      </c>
      <c r="AT69" s="484">
        <f t="shared" si="87"/>
        <v>0</v>
      </c>
    </row>
    <row r="70" spans="2:46" ht="19.5" thickBot="1">
      <c r="B70" s="1197"/>
      <c r="C70" s="17"/>
      <c r="D70" s="30" t="s">
        <v>30</v>
      </c>
      <c r="E70" s="31"/>
      <c r="F70" s="31"/>
      <c r="G70" s="31"/>
      <c r="H70" s="31"/>
      <c r="I70" s="483">
        <f t="shared" si="71"/>
        <v>0</v>
      </c>
      <c r="J70" s="31"/>
      <c r="K70" s="31"/>
      <c r="L70" s="31"/>
      <c r="M70" s="31"/>
      <c r="N70" s="483">
        <f t="shared" si="72"/>
        <v>0</v>
      </c>
      <c r="O70" s="484">
        <f t="shared" si="73"/>
        <v>0</v>
      </c>
      <c r="P70" s="17"/>
      <c r="Q70" s="30" t="s">
        <v>30</v>
      </c>
      <c r="R70" s="31"/>
      <c r="S70" s="31"/>
      <c r="T70" s="31"/>
      <c r="U70" s="31"/>
      <c r="V70" s="483">
        <f t="shared" si="74"/>
        <v>0</v>
      </c>
      <c r="W70" s="31"/>
      <c r="X70" s="31"/>
      <c r="Y70" s="31"/>
      <c r="Z70" s="31"/>
      <c r="AA70" s="483">
        <f t="shared" si="75"/>
        <v>0</v>
      </c>
      <c r="AB70" s="484">
        <f t="shared" si="76"/>
        <v>0</v>
      </c>
      <c r="AC70" s="17"/>
      <c r="AD70" s="30" t="s">
        <v>30</v>
      </c>
      <c r="AE70" s="31"/>
      <c r="AF70" s="31"/>
      <c r="AG70" s="485">
        <f t="shared" si="88"/>
        <v>0</v>
      </c>
      <c r="AH70" s="17"/>
      <c r="AI70" s="30" t="s">
        <v>30</v>
      </c>
      <c r="AJ70" s="490">
        <f t="shared" si="77"/>
        <v>0</v>
      </c>
      <c r="AK70" s="490">
        <f t="shared" si="78"/>
        <v>0</v>
      </c>
      <c r="AL70" s="490">
        <f t="shared" si="79"/>
        <v>0</v>
      </c>
      <c r="AM70" s="490">
        <f t="shared" si="80"/>
        <v>0</v>
      </c>
      <c r="AN70" s="483">
        <f t="shared" si="81"/>
        <v>0</v>
      </c>
      <c r="AO70" s="490">
        <f t="shared" si="82"/>
        <v>0</v>
      </c>
      <c r="AP70" s="490">
        <f t="shared" si="83"/>
        <v>0</v>
      </c>
      <c r="AQ70" s="490">
        <f t="shared" si="84"/>
        <v>0</v>
      </c>
      <c r="AR70" s="490">
        <f t="shared" si="85"/>
        <v>0</v>
      </c>
      <c r="AS70" s="483">
        <f t="shared" si="86"/>
        <v>0</v>
      </c>
      <c r="AT70" s="484">
        <f t="shared" si="87"/>
        <v>0</v>
      </c>
    </row>
    <row r="71" spans="2:46" ht="19.5" thickBot="1">
      <c r="B71" s="1197"/>
      <c r="C71" s="17"/>
      <c r="D71" s="30" t="s">
        <v>31</v>
      </c>
      <c r="E71" s="31"/>
      <c r="F71" s="31"/>
      <c r="G71" s="31"/>
      <c r="H71" s="31"/>
      <c r="I71" s="483">
        <f t="shared" si="71"/>
        <v>0</v>
      </c>
      <c r="J71" s="31"/>
      <c r="K71" s="31"/>
      <c r="L71" s="31"/>
      <c r="M71" s="31"/>
      <c r="N71" s="483">
        <f t="shared" si="72"/>
        <v>0</v>
      </c>
      <c r="O71" s="484">
        <f t="shared" si="73"/>
        <v>0</v>
      </c>
      <c r="P71" s="17"/>
      <c r="Q71" s="30" t="s">
        <v>31</v>
      </c>
      <c r="R71" s="31"/>
      <c r="S71" s="31"/>
      <c r="T71" s="31"/>
      <c r="U71" s="31"/>
      <c r="V71" s="483">
        <f t="shared" si="74"/>
        <v>0</v>
      </c>
      <c r="W71" s="31"/>
      <c r="X71" s="31"/>
      <c r="Y71" s="31"/>
      <c r="Z71" s="31"/>
      <c r="AA71" s="483">
        <f t="shared" si="75"/>
        <v>0</v>
      </c>
      <c r="AB71" s="484">
        <f t="shared" si="76"/>
        <v>0</v>
      </c>
      <c r="AC71" s="17"/>
      <c r="AD71" s="30" t="s">
        <v>31</v>
      </c>
      <c r="AE71" s="31"/>
      <c r="AF71" s="31"/>
      <c r="AG71" s="485">
        <f t="shared" si="88"/>
        <v>0</v>
      </c>
      <c r="AH71" s="17"/>
      <c r="AI71" s="30" t="s">
        <v>31</v>
      </c>
      <c r="AJ71" s="490">
        <f t="shared" si="77"/>
        <v>0</v>
      </c>
      <c r="AK71" s="490">
        <f t="shared" si="78"/>
        <v>0</v>
      </c>
      <c r="AL71" s="490">
        <f t="shared" si="79"/>
        <v>0</v>
      </c>
      <c r="AM71" s="490">
        <f t="shared" si="80"/>
        <v>0</v>
      </c>
      <c r="AN71" s="483">
        <f t="shared" si="81"/>
        <v>0</v>
      </c>
      <c r="AO71" s="490">
        <f t="shared" si="82"/>
        <v>0</v>
      </c>
      <c r="AP71" s="490">
        <f t="shared" si="83"/>
        <v>0</v>
      </c>
      <c r="AQ71" s="490">
        <f t="shared" si="84"/>
        <v>0</v>
      </c>
      <c r="AR71" s="490">
        <f t="shared" si="85"/>
        <v>0</v>
      </c>
      <c r="AS71" s="483">
        <f t="shared" si="86"/>
        <v>0</v>
      </c>
      <c r="AT71" s="484">
        <f t="shared" si="87"/>
        <v>0</v>
      </c>
    </row>
    <row r="72" spans="2:46" ht="19.5" thickBot="1">
      <c r="B72" s="1197"/>
      <c r="C72" s="17"/>
      <c r="D72" s="30" t="s">
        <v>32</v>
      </c>
      <c r="E72" s="31"/>
      <c r="F72" s="31"/>
      <c r="G72" s="31"/>
      <c r="H72" s="31"/>
      <c r="I72" s="483">
        <f t="shared" si="71"/>
        <v>0</v>
      </c>
      <c r="J72" s="31"/>
      <c r="K72" s="31"/>
      <c r="L72" s="31"/>
      <c r="M72" s="31"/>
      <c r="N72" s="483">
        <f t="shared" si="72"/>
        <v>0</v>
      </c>
      <c r="O72" s="484">
        <f t="shared" si="73"/>
        <v>0</v>
      </c>
      <c r="P72" s="17"/>
      <c r="Q72" s="30" t="s">
        <v>32</v>
      </c>
      <c r="R72" s="31"/>
      <c r="S72" s="31"/>
      <c r="T72" s="31"/>
      <c r="U72" s="31"/>
      <c r="V72" s="483">
        <f t="shared" si="74"/>
        <v>0</v>
      </c>
      <c r="W72" s="31"/>
      <c r="X72" s="31"/>
      <c r="Y72" s="31"/>
      <c r="Z72" s="31"/>
      <c r="AA72" s="483">
        <f t="shared" si="75"/>
        <v>0</v>
      </c>
      <c r="AB72" s="484">
        <f t="shared" si="76"/>
        <v>0</v>
      </c>
      <c r="AC72" s="17"/>
      <c r="AD72" s="30" t="s">
        <v>32</v>
      </c>
      <c r="AE72" s="31"/>
      <c r="AF72" s="31"/>
      <c r="AG72" s="485">
        <f t="shared" si="88"/>
        <v>0</v>
      </c>
      <c r="AH72" s="17"/>
      <c r="AI72" s="30" t="s">
        <v>32</v>
      </c>
      <c r="AJ72" s="490">
        <f t="shared" si="77"/>
        <v>0</v>
      </c>
      <c r="AK72" s="490">
        <f t="shared" si="78"/>
        <v>0</v>
      </c>
      <c r="AL72" s="490">
        <f t="shared" si="79"/>
        <v>0</v>
      </c>
      <c r="AM72" s="490">
        <f t="shared" si="80"/>
        <v>0</v>
      </c>
      <c r="AN72" s="483">
        <f t="shared" si="81"/>
        <v>0</v>
      </c>
      <c r="AO72" s="490">
        <f t="shared" si="82"/>
        <v>0</v>
      </c>
      <c r="AP72" s="490">
        <f t="shared" si="83"/>
        <v>0</v>
      </c>
      <c r="AQ72" s="490">
        <f t="shared" si="84"/>
        <v>0</v>
      </c>
      <c r="AR72" s="490">
        <f t="shared" si="85"/>
        <v>0</v>
      </c>
      <c r="AS72" s="483">
        <f t="shared" si="86"/>
        <v>0</v>
      </c>
      <c r="AT72" s="484">
        <f t="shared" si="87"/>
        <v>0</v>
      </c>
    </row>
    <row r="73" spans="2:46" ht="19.5" thickBot="1">
      <c r="B73" s="1197"/>
      <c r="C73" s="17"/>
      <c r="D73" s="30" t="s">
        <v>33</v>
      </c>
      <c r="E73" s="31"/>
      <c r="F73" s="31"/>
      <c r="G73" s="31"/>
      <c r="H73" s="31"/>
      <c r="I73" s="483">
        <f t="shared" si="71"/>
        <v>0</v>
      </c>
      <c r="J73" s="31"/>
      <c r="K73" s="31"/>
      <c r="L73" s="31"/>
      <c r="M73" s="31"/>
      <c r="N73" s="483">
        <f t="shared" si="72"/>
        <v>0</v>
      </c>
      <c r="O73" s="484">
        <f t="shared" si="73"/>
        <v>0</v>
      </c>
      <c r="P73" s="17"/>
      <c r="Q73" s="30" t="s">
        <v>33</v>
      </c>
      <c r="R73" s="31"/>
      <c r="S73" s="31"/>
      <c r="T73" s="31"/>
      <c r="U73" s="31"/>
      <c r="V73" s="483">
        <f t="shared" si="74"/>
        <v>0</v>
      </c>
      <c r="W73" s="31"/>
      <c r="X73" s="31"/>
      <c r="Y73" s="31"/>
      <c r="Z73" s="31"/>
      <c r="AA73" s="483">
        <f t="shared" si="75"/>
        <v>0</v>
      </c>
      <c r="AB73" s="484">
        <f t="shared" si="76"/>
        <v>0</v>
      </c>
      <c r="AC73" s="17"/>
      <c r="AD73" s="30" t="s">
        <v>33</v>
      </c>
      <c r="AE73" s="31"/>
      <c r="AF73" s="31"/>
      <c r="AG73" s="485">
        <f t="shared" si="88"/>
        <v>0</v>
      </c>
      <c r="AH73" s="17"/>
      <c r="AI73" s="30" t="s">
        <v>33</v>
      </c>
      <c r="AJ73" s="490">
        <f t="shared" si="77"/>
        <v>0</v>
      </c>
      <c r="AK73" s="490">
        <f t="shared" si="78"/>
        <v>0</v>
      </c>
      <c r="AL73" s="490">
        <f t="shared" si="79"/>
        <v>0</v>
      </c>
      <c r="AM73" s="490">
        <f t="shared" si="80"/>
        <v>0</v>
      </c>
      <c r="AN73" s="483">
        <f t="shared" si="81"/>
        <v>0</v>
      </c>
      <c r="AO73" s="490">
        <f t="shared" si="82"/>
        <v>0</v>
      </c>
      <c r="AP73" s="490">
        <f t="shared" si="83"/>
        <v>0</v>
      </c>
      <c r="AQ73" s="490">
        <f t="shared" si="84"/>
        <v>0</v>
      </c>
      <c r="AR73" s="490">
        <f t="shared" si="85"/>
        <v>0</v>
      </c>
      <c r="AS73" s="483">
        <f t="shared" si="86"/>
        <v>0</v>
      </c>
      <c r="AT73" s="484">
        <f t="shared" si="87"/>
        <v>0</v>
      </c>
    </row>
    <row r="74" spans="2:46" ht="19.5" thickBot="1">
      <c r="B74" s="1197"/>
      <c r="C74" s="17"/>
      <c r="D74" s="30" t="s">
        <v>34</v>
      </c>
      <c r="E74" s="31"/>
      <c r="F74" s="31"/>
      <c r="G74" s="31"/>
      <c r="H74" s="31"/>
      <c r="I74" s="483">
        <f t="shared" si="71"/>
        <v>0</v>
      </c>
      <c r="J74" s="31"/>
      <c r="K74" s="31"/>
      <c r="L74" s="31"/>
      <c r="M74" s="31"/>
      <c r="N74" s="483">
        <f t="shared" si="72"/>
        <v>0</v>
      </c>
      <c r="O74" s="484">
        <f t="shared" si="73"/>
        <v>0</v>
      </c>
      <c r="P74" s="17"/>
      <c r="Q74" s="30" t="s">
        <v>34</v>
      </c>
      <c r="R74" s="31"/>
      <c r="S74" s="31"/>
      <c r="T74" s="31"/>
      <c r="U74" s="31"/>
      <c r="V74" s="483">
        <f t="shared" si="74"/>
        <v>0</v>
      </c>
      <c r="W74" s="31"/>
      <c r="X74" s="31"/>
      <c r="Y74" s="31"/>
      <c r="Z74" s="31"/>
      <c r="AA74" s="483">
        <f t="shared" si="75"/>
        <v>0</v>
      </c>
      <c r="AB74" s="484">
        <f t="shared" si="76"/>
        <v>0</v>
      </c>
      <c r="AC74" s="17"/>
      <c r="AD74" s="30" t="s">
        <v>34</v>
      </c>
      <c r="AE74" s="31"/>
      <c r="AF74" s="31"/>
      <c r="AG74" s="485">
        <f t="shared" si="88"/>
        <v>0</v>
      </c>
      <c r="AH74" s="17"/>
      <c r="AI74" s="30" t="s">
        <v>34</v>
      </c>
      <c r="AJ74" s="490">
        <f t="shared" si="77"/>
        <v>0</v>
      </c>
      <c r="AK74" s="490">
        <f t="shared" si="78"/>
        <v>0</v>
      </c>
      <c r="AL74" s="490">
        <f t="shared" si="79"/>
        <v>0</v>
      </c>
      <c r="AM74" s="490">
        <f t="shared" si="80"/>
        <v>0</v>
      </c>
      <c r="AN74" s="483">
        <f t="shared" si="81"/>
        <v>0</v>
      </c>
      <c r="AO74" s="490">
        <f t="shared" si="82"/>
        <v>0</v>
      </c>
      <c r="AP74" s="490">
        <f t="shared" si="83"/>
        <v>0</v>
      </c>
      <c r="AQ74" s="490">
        <f t="shared" si="84"/>
        <v>0</v>
      </c>
      <c r="AR74" s="490">
        <f t="shared" si="85"/>
        <v>0</v>
      </c>
      <c r="AS74" s="483">
        <f t="shared" si="86"/>
        <v>0</v>
      </c>
      <c r="AT74" s="484">
        <f t="shared" si="87"/>
        <v>0</v>
      </c>
    </row>
    <row r="75" spans="2:46" ht="19.5" thickBot="1">
      <c r="B75" s="1197"/>
      <c r="C75" s="17"/>
      <c r="D75" s="30" t="s">
        <v>35</v>
      </c>
      <c r="E75" s="31"/>
      <c r="F75" s="31"/>
      <c r="G75" s="31"/>
      <c r="H75" s="31"/>
      <c r="I75" s="483">
        <f t="shared" si="71"/>
        <v>0</v>
      </c>
      <c r="J75" s="31"/>
      <c r="K75" s="31"/>
      <c r="L75" s="31"/>
      <c r="M75" s="31"/>
      <c r="N75" s="483">
        <f t="shared" si="72"/>
        <v>0</v>
      </c>
      <c r="O75" s="484">
        <f t="shared" si="73"/>
        <v>0</v>
      </c>
      <c r="P75" s="17"/>
      <c r="Q75" s="30" t="s">
        <v>35</v>
      </c>
      <c r="R75" s="31"/>
      <c r="S75" s="31"/>
      <c r="T75" s="31"/>
      <c r="U75" s="31"/>
      <c r="V75" s="483">
        <f t="shared" si="74"/>
        <v>0</v>
      </c>
      <c r="W75" s="31"/>
      <c r="X75" s="31"/>
      <c r="Y75" s="31"/>
      <c r="Z75" s="31"/>
      <c r="AA75" s="483">
        <f t="shared" si="75"/>
        <v>0</v>
      </c>
      <c r="AB75" s="484">
        <f t="shared" si="76"/>
        <v>0</v>
      </c>
      <c r="AC75" s="17"/>
      <c r="AD75" s="30" t="s">
        <v>35</v>
      </c>
      <c r="AE75" s="31"/>
      <c r="AF75" s="31"/>
      <c r="AG75" s="485">
        <f t="shared" si="88"/>
        <v>0</v>
      </c>
      <c r="AH75" s="17"/>
      <c r="AI75" s="30" t="s">
        <v>35</v>
      </c>
      <c r="AJ75" s="490">
        <f t="shared" si="77"/>
        <v>0</v>
      </c>
      <c r="AK75" s="490">
        <f t="shared" si="78"/>
        <v>0</v>
      </c>
      <c r="AL75" s="490">
        <f t="shared" si="79"/>
        <v>0</v>
      </c>
      <c r="AM75" s="490">
        <f t="shared" si="80"/>
        <v>0</v>
      </c>
      <c r="AN75" s="483">
        <f t="shared" si="81"/>
        <v>0</v>
      </c>
      <c r="AO75" s="490">
        <f t="shared" si="82"/>
        <v>0</v>
      </c>
      <c r="AP75" s="490">
        <f t="shared" si="83"/>
        <v>0</v>
      </c>
      <c r="AQ75" s="490">
        <f t="shared" si="84"/>
        <v>0</v>
      </c>
      <c r="AR75" s="490">
        <f t="shared" si="85"/>
        <v>0</v>
      </c>
      <c r="AS75" s="483">
        <f t="shared" si="86"/>
        <v>0</v>
      </c>
      <c r="AT75" s="484">
        <f t="shared" si="87"/>
        <v>0</v>
      </c>
    </row>
    <row r="76" spans="2:46" ht="19.5" thickBot="1">
      <c r="B76" s="1197"/>
      <c r="C76" s="17"/>
      <c r="D76" s="30" t="s">
        <v>36</v>
      </c>
      <c r="E76" s="483">
        <f>SUM(E64:E75)</f>
        <v>0</v>
      </c>
      <c r="F76" s="483">
        <f>SUM(F64:F75)</f>
        <v>0</v>
      </c>
      <c r="G76" s="483">
        <f>SUM(G64:G75)</f>
        <v>0</v>
      </c>
      <c r="H76" s="483">
        <f>SUM(H64:H75)</f>
        <v>0</v>
      </c>
      <c r="I76" s="483">
        <f t="shared" si="71"/>
        <v>0</v>
      </c>
      <c r="J76" s="483">
        <f>SUM(J64:J75)</f>
        <v>0</v>
      </c>
      <c r="K76" s="483">
        <f>SUM(K64:K75)</f>
        <v>0</v>
      </c>
      <c r="L76" s="483">
        <f>SUM(L64:L75)</f>
        <v>0</v>
      </c>
      <c r="M76" s="483">
        <f>SUM(M64:M75)</f>
        <v>0</v>
      </c>
      <c r="N76" s="483">
        <f t="shared" si="72"/>
        <v>0</v>
      </c>
      <c r="O76" s="484">
        <f t="shared" si="73"/>
        <v>0</v>
      </c>
      <c r="P76" s="17"/>
      <c r="Q76" s="30" t="s">
        <v>36</v>
      </c>
      <c r="R76" s="483">
        <f>SUM(R64:R75)</f>
        <v>0</v>
      </c>
      <c r="S76" s="483">
        <f>SUM(S64:S75)</f>
        <v>0</v>
      </c>
      <c r="T76" s="483">
        <f>SUM(T64:T75)</f>
        <v>0</v>
      </c>
      <c r="U76" s="483">
        <f>SUM(U64:U75)</f>
        <v>0</v>
      </c>
      <c r="V76" s="483">
        <f t="shared" si="74"/>
        <v>0</v>
      </c>
      <c r="W76" s="483">
        <f>SUM(W64:W75)</f>
        <v>0</v>
      </c>
      <c r="X76" s="483">
        <f>SUM(X64:X75)</f>
        <v>0</v>
      </c>
      <c r="Y76" s="483">
        <f>SUM(Y64:Y75)</f>
        <v>0</v>
      </c>
      <c r="Z76" s="483">
        <f>SUM(Z64:Z75)</f>
        <v>0</v>
      </c>
      <c r="AA76" s="483">
        <f t="shared" si="75"/>
        <v>0</v>
      </c>
      <c r="AB76" s="484">
        <f t="shared" si="76"/>
        <v>0</v>
      </c>
      <c r="AC76" s="17"/>
      <c r="AD76" s="30" t="s">
        <v>36</v>
      </c>
      <c r="AE76" s="483">
        <f>SUM(AE64:AE75)</f>
        <v>0</v>
      </c>
      <c r="AF76" s="483">
        <f>SUM(AF64:AF75)</f>
        <v>0</v>
      </c>
      <c r="AG76" s="485">
        <f>SUM(AG64:AG75)</f>
        <v>0</v>
      </c>
      <c r="AH76" s="17"/>
      <c r="AI76" s="30" t="s">
        <v>36</v>
      </c>
      <c r="AJ76" s="483">
        <f>SUM(AJ64:AJ75)</f>
        <v>0</v>
      </c>
      <c r="AK76" s="483">
        <f>SUM(AK64:AK75)</f>
        <v>0</v>
      </c>
      <c r="AL76" s="483">
        <f>SUM(AL64:AL75)</f>
        <v>0</v>
      </c>
      <c r="AM76" s="483">
        <f>SUM(AM64:AM75)</f>
        <v>0</v>
      </c>
      <c r="AN76" s="483">
        <f t="shared" si="81"/>
        <v>0</v>
      </c>
      <c r="AO76" s="483">
        <f>SUM(AO64:AO75)</f>
        <v>0</v>
      </c>
      <c r="AP76" s="483">
        <f>SUM(AP64:AP75)</f>
        <v>0</v>
      </c>
      <c r="AQ76" s="483">
        <f>SUM(AQ64:AQ75)</f>
        <v>0</v>
      </c>
      <c r="AR76" s="483">
        <f>SUM(AR64:AR75)</f>
        <v>0</v>
      </c>
      <c r="AS76" s="483">
        <f t="shared" si="86"/>
        <v>0</v>
      </c>
      <c r="AT76" s="484">
        <f t="shared" si="87"/>
        <v>0</v>
      </c>
    </row>
    <row r="77" spans="2:46" ht="4.1500000000000004" customHeight="1" thickBot="1">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491"/>
      <c r="AH77" s="17"/>
      <c r="AI77" s="17"/>
      <c r="AJ77" s="17"/>
      <c r="AK77" s="17"/>
      <c r="AL77" s="17"/>
      <c r="AM77" s="17"/>
      <c r="AN77" s="17"/>
      <c r="AO77" s="17"/>
      <c r="AP77" s="17"/>
      <c r="AQ77" s="17"/>
      <c r="AR77" s="17"/>
      <c r="AS77" s="17"/>
      <c r="AT77" s="17"/>
    </row>
    <row r="78" spans="2:46" ht="19.5" thickBot="1">
      <c r="B78" s="1198" t="str">
        <f>IF(基本情報!E21="","",基本情報!E21)</f>
        <v/>
      </c>
      <c r="C78" s="17"/>
      <c r="D78" s="30" t="s">
        <v>24</v>
      </c>
      <c r="E78" s="31"/>
      <c r="F78" s="31"/>
      <c r="G78" s="31"/>
      <c r="H78" s="31"/>
      <c r="I78" s="483">
        <f t="shared" ref="I78:I90" si="89">SUM(E78:H78)</f>
        <v>0</v>
      </c>
      <c r="J78" s="31"/>
      <c r="K78" s="31"/>
      <c r="L78" s="31"/>
      <c r="M78" s="31"/>
      <c r="N78" s="483">
        <f t="shared" ref="N78:N90" si="90">SUM(J78:M78)</f>
        <v>0</v>
      </c>
      <c r="O78" s="484">
        <f t="shared" ref="O78:O90" si="91">I78+N78</f>
        <v>0</v>
      </c>
      <c r="P78" s="17"/>
      <c r="Q78" s="30" t="s">
        <v>24</v>
      </c>
      <c r="R78" s="31"/>
      <c r="S78" s="31"/>
      <c r="T78" s="31"/>
      <c r="U78" s="31"/>
      <c r="V78" s="483">
        <f t="shared" ref="V78:V90" si="92">SUM(R78:U78)</f>
        <v>0</v>
      </c>
      <c r="W78" s="31"/>
      <c r="X78" s="31"/>
      <c r="Y78" s="31"/>
      <c r="Z78" s="31"/>
      <c r="AA78" s="483">
        <f t="shared" ref="AA78:AA90" si="93">SUM(W78:Z78)</f>
        <v>0</v>
      </c>
      <c r="AB78" s="484">
        <f t="shared" ref="AB78:AB90" si="94">V78+AA78</f>
        <v>0</v>
      </c>
      <c r="AC78" s="17"/>
      <c r="AD78" s="30" t="s">
        <v>24</v>
      </c>
      <c r="AE78" s="31"/>
      <c r="AF78" s="31"/>
      <c r="AG78" s="485">
        <f>AE78+AF78</f>
        <v>0</v>
      </c>
      <c r="AH78" s="17"/>
      <c r="AI78" s="30" t="s">
        <v>24</v>
      </c>
      <c r="AJ78" s="490">
        <f t="shared" ref="AJ78:AJ89" si="95">E78+R78</f>
        <v>0</v>
      </c>
      <c r="AK78" s="490">
        <f t="shared" ref="AK78:AK89" si="96">F78+S78</f>
        <v>0</v>
      </c>
      <c r="AL78" s="490">
        <f t="shared" ref="AL78:AL89" si="97">G78+T78</f>
        <v>0</v>
      </c>
      <c r="AM78" s="490">
        <f t="shared" ref="AM78:AM89" si="98">H78+U78</f>
        <v>0</v>
      </c>
      <c r="AN78" s="483">
        <f t="shared" ref="AN78:AN90" si="99">SUM(AJ78:AM78)</f>
        <v>0</v>
      </c>
      <c r="AO78" s="490">
        <f t="shared" ref="AO78:AO89" si="100">J78+W78</f>
        <v>0</v>
      </c>
      <c r="AP78" s="490">
        <f t="shared" ref="AP78:AP89" si="101">K78+X78</f>
        <v>0</v>
      </c>
      <c r="AQ78" s="490">
        <f t="shared" ref="AQ78:AQ89" si="102">L78+Y78</f>
        <v>0</v>
      </c>
      <c r="AR78" s="490">
        <f t="shared" ref="AR78:AR89" si="103">M78+Z78</f>
        <v>0</v>
      </c>
      <c r="AS78" s="483">
        <f t="shared" ref="AS78:AS90" si="104">SUM(AO78:AR78)</f>
        <v>0</v>
      </c>
      <c r="AT78" s="484">
        <f t="shared" ref="AT78:AT90" si="105">AN78+AS78</f>
        <v>0</v>
      </c>
    </row>
    <row r="79" spans="2:46" ht="19.5" thickBot="1">
      <c r="B79" s="1198"/>
      <c r="C79" s="17"/>
      <c r="D79" s="30" t="s">
        <v>25</v>
      </c>
      <c r="E79" s="31"/>
      <c r="F79" s="31"/>
      <c r="G79" s="31"/>
      <c r="H79" s="31"/>
      <c r="I79" s="483">
        <f t="shared" si="89"/>
        <v>0</v>
      </c>
      <c r="J79" s="31"/>
      <c r="K79" s="31"/>
      <c r="L79" s="31"/>
      <c r="M79" s="31"/>
      <c r="N79" s="483">
        <f t="shared" si="90"/>
        <v>0</v>
      </c>
      <c r="O79" s="484">
        <f t="shared" si="91"/>
        <v>0</v>
      </c>
      <c r="P79" s="17"/>
      <c r="Q79" s="30" t="s">
        <v>25</v>
      </c>
      <c r="R79" s="31"/>
      <c r="S79" s="31"/>
      <c r="T79" s="31"/>
      <c r="U79" s="31"/>
      <c r="V79" s="483">
        <f t="shared" si="92"/>
        <v>0</v>
      </c>
      <c r="W79" s="31"/>
      <c r="X79" s="31"/>
      <c r="Y79" s="31"/>
      <c r="Z79" s="31"/>
      <c r="AA79" s="483">
        <f t="shared" si="93"/>
        <v>0</v>
      </c>
      <c r="AB79" s="484">
        <f t="shared" si="94"/>
        <v>0</v>
      </c>
      <c r="AC79" s="17"/>
      <c r="AD79" s="30" t="s">
        <v>25</v>
      </c>
      <c r="AE79" s="31"/>
      <c r="AF79" s="31"/>
      <c r="AG79" s="485">
        <f>AE79+AF79</f>
        <v>0</v>
      </c>
      <c r="AH79" s="17"/>
      <c r="AI79" s="30" t="s">
        <v>25</v>
      </c>
      <c r="AJ79" s="490">
        <f t="shared" si="95"/>
        <v>0</v>
      </c>
      <c r="AK79" s="490">
        <f t="shared" si="96"/>
        <v>0</v>
      </c>
      <c r="AL79" s="490">
        <f t="shared" si="97"/>
        <v>0</v>
      </c>
      <c r="AM79" s="490">
        <f t="shared" si="98"/>
        <v>0</v>
      </c>
      <c r="AN79" s="483">
        <f t="shared" si="99"/>
        <v>0</v>
      </c>
      <c r="AO79" s="490">
        <f t="shared" si="100"/>
        <v>0</v>
      </c>
      <c r="AP79" s="490">
        <f t="shared" si="101"/>
        <v>0</v>
      </c>
      <c r="AQ79" s="490">
        <f t="shared" si="102"/>
        <v>0</v>
      </c>
      <c r="AR79" s="490">
        <f t="shared" si="103"/>
        <v>0</v>
      </c>
      <c r="AS79" s="483">
        <f t="shared" si="104"/>
        <v>0</v>
      </c>
      <c r="AT79" s="484">
        <f t="shared" si="105"/>
        <v>0</v>
      </c>
    </row>
    <row r="80" spans="2:46" ht="19.5" thickBot="1">
      <c r="B80" s="1198"/>
      <c r="C80" s="17"/>
      <c r="D80" s="30" t="s">
        <v>26</v>
      </c>
      <c r="E80" s="31"/>
      <c r="F80" s="31"/>
      <c r="G80" s="31"/>
      <c r="H80" s="31"/>
      <c r="I80" s="483">
        <f t="shared" si="89"/>
        <v>0</v>
      </c>
      <c r="J80" s="31"/>
      <c r="K80" s="31"/>
      <c r="L80" s="31"/>
      <c r="M80" s="31"/>
      <c r="N80" s="483">
        <f t="shared" si="90"/>
        <v>0</v>
      </c>
      <c r="O80" s="484">
        <f t="shared" si="91"/>
        <v>0</v>
      </c>
      <c r="P80" s="17"/>
      <c r="Q80" s="30" t="s">
        <v>26</v>
      </c>
      <c r="R80" s="31"/>
      <c r="S80" s="31"/>
      <c r="T80" s="31"/>
      <c r="U80" s="31"/>
      <c r="V80" s="483">
        <f t="shared" si="92"/>
        <v>0</v>
      </c>
      <c r="W80" s="31"/>
      <c r="X80" s="31"/>
      <c r="Y80" s="31"/>
      <c r="Z80" s="31"/>
      <c r="AA80" s="483">
        <f t="shared" si="93"/>
        <v>0</v>
      </c>
      <c r="AB80" s="484">
        <f t="shared" si="94"/>
        <v>0</v>
      </c>
      <c r="AC80" s="17"/>
      <c r="AD80" s="30" t="s">
        <v>26</v>
      </c>
      <c r="AE80" s="31"/>
      <c r="AF80" s="31"/>
      <c r="AG80" s="485">
        <f t="shared" ref="AG80:AG89" si="106">AE80+AF80</f>
        <v>0</v>
      </c>
      <c r="AH80" s="17"/>
      <c r="AI80" s="30" t="s">
        <v>26</v>
      </c>
      <c r="AJ80" s="490">
        <f t="shared" si="95"/>
        <v>0</v>
      </c>
      <c r="AK80" s="490">
        <f t="shared" si="96"/>
        <v>0</v>
      </c>
      <c r="AL80" s="490">
        <f t="shared" si="97"/>
        <v>0</v>
      </c>
      <c r="AM80" s="490">
        <f t="shared" si="98"/>
        <v>0</v>
      </c>
      <c r="AN80" s="483">
        <f t="shared" si="99"/>
        <v>0</v>
      </c>
      <c r="AO80" s="490">
        <f t="shared" si="100"/>
        <v>0</v>
      </c>
      <c r="AP80" s="490">
        <f t="shared" si="101"/>
        <v>0</v>
      </c>
      <c r="AQ80" s="490">
        <f t="shared" si="102"/>
        <v>0</v>
      </c>
      <c r="AR80" s="490">
        <f t="shared" si="103"/>
        <v>0</v>
      </c>
      <c r="AS80" s="483">
        <f t="shared" si="104"/>
        <v>0</v>
      </c>
      <c r="AT80" s="484">
        <f t="shared" si="105"/>
        <v>0</v>
      </c>
    </row>
    <row r="81" spans="2:46" ht="19.5" thickBot="1">
      <c r="B81" s="1198"/>
      <c r="C81" s="17"/>
      <c r="D81" s="30" t="s">
        <v>27</v>
      </c>
      <c r="E81" s="31"/>
      <c r="F81" s="31"/>
      <c r="G81" s="31"/>
      <c r="H81" s="31"/>
      <c r="I81" s="483">
        <f t="shared" si="89"/>
        <v>0</v>
      </c>
      <c r="J81" s="31"/>
      <c r="K81" s="31"/>
      <c r="L81" s="31"/>
      <c r="M81" s="31"/>
      <c r="N81" s="483">
        <f t="shared" si="90"/>
        <v>0</v>
      </c>
      <c r="O81" s="484">
        <f t="shared" si="91"/>
        <v>0</v>
      </c>
      <c r="P81" s="17"/>
      <c r="Q81" s="30" t="s">
        <v>27</v>
      </c>
      <c r="R81" s="31"/>
      <c r="S81" s="31"/>
      <c r="T81" s="31"/>
      <c r="U81" s="31"/>
      <c r="V81" s="483">
        <f t="shared" si="92"/>
        <v>0</v>
      </c>
      <c r="W81" s="31"/>
      <c r="X81" s="31"/>
      <c r="Y81" s="31"/>
      <c r="Z81" s="31"/>
      <c r="AA81" s="483">
        <f t="shared" si="93"/>
        <v>0</v>
      </c>
      <c r="AB81" s="484">
        <f t="shared" si="94"/>
        <v>0</v>
      </c>
      <c r="AC81" s="17"/>
      <c r="AD81" s="30" t="s">
        <v>27</v>
      </c>
      <c r="AE81" s="31"/>
      <c r="AF81" s="31"/>
      <c r="AG81" s="485">
        <f t="shared" si="106"/>
        <v>0</v>
      </c>
      <c r="AH81" s="17"/>
      <c r="AI81" s="30" t="s">
        <v>27</v>
      </c>
      <c r="AJ81" s="490">
        <f t="shared" si="95"/>
        <v>0</v>
      </c>
      <c r="AK81" s="490">
        <f t="shared" si="96"/>
        <v>0</v>
      </c>
      <c r="AL81" s="490">
        <f t="shared" si="97"/>
        <v>0</v>
      </c>
      <c r="AM81" s="490">
        <f t="shared" si="98"/>
        <v>0</v>
      </c>
      <c r="AN81" s="483">
        <f t="shared" si="99"/>
        <v>0</v>
      </c>
      <c r="AO81" s="490">
        <f t="shared" si="100"/>
        <v>0</v>
      </c>
      <c r="AP81" s="490">
        <f t="shared" si="101"/>
        <v>0</v>
      </c>
      <c r="AQ81" s="490">
        <f t="shared" si="102"/>
        <v>0</v>
      </c>
      <c r="AR81" s="490">
        <f t="shared" si="103"/>
        <v>0</v>
      </c>
      <c r="AS81" s="483">
        <f t="shared" si="104"/>
        <v>0</v>
      </c>
      <c r="AT81" s="484">
        <f t="shared" si="105"/>
        <v>0</v>
      </c>
    </row>
    <row r="82" spans="2:46" ht="19.5" thickBot="1">
      <c r="B82" s="1198"/>
      <c r="C82" s="17"/>
      <c r="D82" s="30" t="s">
        <v>28</v>
      </c>
      <c r="E82" s="31"/>
      <c r="F82" s="31"/>
      <c r="G82" s="31"/>
      <c r="H82" s="31"/>
      <c r="I82" s="483">
        <f t="shared" si="89"/>
        <v>0</v>
      </c>
      <c r="J82" s="31"/>
      <c r="K82" s="31"/>
      <c r="L82" s="31"/>
      <c r="M82" s="31"/>
      <c r="N82" s="483">
        <f t="shared" si="90"/>
        <v>0</v>
      </c>
      <c r="O82" s="484">
        <f t="shared" si="91"/>
        <v>0</v>
      </c>
      <c r="P82" s="17"/>
      <c r="Q82" s="30" t="s">
        <v>28</v>
      </c>
      <c r="R82" s="31"/>
      <c r="S82" s="31"/>
      <c r="T82" s="31"/>
      <c r="U82" s="31"/>
      <c r="V82" s="483">
        <f t="shared" si="92"/>
        <v>0</v>
      </c>
      <c r="W82" s="31"/>
      <c r="X82" s="31"/>
      <c r="Y82" s="31"/>
      <c r="Z82" s="31"/>
      <c r="AA82" s="483">
        <f t="shared" si="93"/>
        <v>0</v>
      </c>
      <c r="AB82" s="484">
        <f t="shared" si="94"/>
        <v>0</v>
      </c>
      <c r="AC82" s="17"/>
      <c r="AD82" s="30" t="s">
        <v>28</v>
      </c>
      <c r="AE82" s="31"/>
      <c r="AF82" s="31"/>
      <c r="AG82" s="485">
        <f t="shared" si="106"/>
        <v>0</v>
      </c>
      <c r="AH82" s="17"/>
      <c r="AI82" s="30" t="s">
        <v>28</v>
      </c>
      <c r="AJ82" s="490">
        <f t="shared" si="95"/>
        <v>0</v>
      </c>
      <c r="AK82" s="490">
        <f t="shared" si="96"/>
        <v>0</v>
      </c>
      <c r="AL82" s="490">
        <f t="shared" si="97"/>
        <v>0</v>
      </c>
      <c r="AM82" s="490">
        <f t="shared" si="98"/>
        <v>0</v>
      </c>
      <c r="AN82" s="483">
        <f t="shared" si="99"/>
        <v>0</v>
      </c>
      <c r="AO82" s="490">
        <f t="shared" si="100"/>
        <v>0</v>
      </c>
      <c r="AP82" s="490">
        <f t="shared" si="101"/>
        <v>0</v>
      </c>
      <c r="AQ82" s="490">
        <f t="shared" si="102"/>
        <v>0</v>
      </c>
      <c r="AR82" s="490">
        <f t="shared" si="103"/>
        <v>0</v>
      </c>
      <c r="AS82" s="483">
        <f t="shared" si="104"/>
        <v>0</v>
      </c>
      <c r="AT82" s="484">
        <f t="shared" si="105"/>
        <v>0</v>
      </c>
    </row>
    <row r="83" spans="2:46" ht="19.5" thickBot="1">
      <c r="B83" s="1198"/>
      <c r="C83" s="17"/>
      <c r="D83" s="30" t="s">
        <v>29</v>
      </c>
      <c r="E83" s="31"/>
      <c r="F83" s="31"/>
      <c r="G83" s="31"/>
      <c r="H83" s="31"/>
      <c r="I83" s="483">
        <f t="shared" si="89"/>
        <v>0</v>
      </c>
      <c r="J83" s="31"/>
      <c r="K83" s="31"/>
      <c r="L83" s="31"/>
      <c r="M83" s="31"/>
      <c r="N83" s="483">
        <f t="shared" si="90"/>
        <v>0</v>
      </c>
      <c r="O83" s="484">
        <f t="shared" si="91"/>
        <v>0</v>
      </c>
      <c r="P83" s="17"/>
      <c r="Q83" s="30" t="s">
        <v>29</v>
      </c>
      <c r="R83" s="31"/>
      <c r="S83" s="31"/>
      <c r="T83" s="31"/>
      <c r="U83" s="31"/>
      <c r="V83" s="483">
        <f t="shared" si="92"/>
        <v>0</v>
      </c>
      <c r="W83" s="31"/>
      <c r="X83" s="31"/>
      <c r="Y83" s="31"/>
      <c r="Z83" s="31"/>
      <c r="AA83" s="483">
        <f t="shared" si="93"/>
        <v>0</v>
      </c>
      <c r="AB83" s="484">
        <f t="shared" si="94"/>
        <v>0</v>
      </c>
      <c r="AC83" s="17"/>
      <c r="AD83" s="30" t="s">
        <v>29</v>
      </c>
      <c r="AE83" s="31"/>
      <c r="AF83" s="31"/>
      <c r="AG83" s="485">
        <f t="shared" si="106"/>
        <v>0</v>
      </c>
      <c r="AH83" s="17"/>
      <c r="AI83" s="30" t="s">
        <v>29</v>
      </c>
      <c r="AJ83" s="490">
        <f t="shared" si="95"/>
        <v>0</v>
      </c>
      <c r="AK83" s="490">
        <f t="shared" si="96"/>
        <v>0</v>
      </c>
      <c r="AL83" s="490">
        <f t="shared" si="97"/>
        <v>0</v>
      </c>
      <c r="AM83" s="490">
        <f t="shared" si="98"/>
        <v>0</v>
      </c>
      <c r="AN83" s="483">
        <f t="shared" si="99"/>
        <v>0</v>
      </c>
      <c r="AO83" s="490">
        <f t="shared" si="100"/>
        <v>0</v>
      </c>
      <c r="AP83" s="490">
        <f t="shared" si="101"/>
        <v>0</v>
      </c>
      <c r="AQ83" s="490">
        <f t="shared" si="102"/>
        <v>0</v>
      </c>
      <c r="AR83" s="490">
        <f t="shared" si="103"/>
        <v>0</v>
      </c>
      <c r="AS83" s="483">
        <f t="shared" si="104"/>
        <v>0</v>
      </c>
      <c r="AT83" s="484">
        <f t="shared" si="105"/>
        <v>0</v>
      </c>
    </row>
    <row r="84" spans="2:46" ht="19.5" thickBot="1">
      <c r="B84" s="1198"/>
      <c r="C84" s="17"/>
      <c r="D84" s="30" t="s">
        <v>30</v>
      </c>
      <c r="E84" s="31"/>
      <c r="F84" s="31"/>
      <c r="G84" s="31"/>
      <c r="H84" s="31"/>
      <c r="I84" s="483">
        <f t="shared" si="89"/>
        <v>0</v>
      </c>
      <c r="J84" s="31"/>
      <c r="K84" s="31"/>
      <c r="L84" s="31"/>
      <c r="M84" s="31"/>
      <c r="N84" s="483">
        <f t="shared" si="90"/>
        <v>0</v>
      </c>
      <c r="O84" s="484">
        <f t="shared" si="91"/>
        <v>0</v>
      </c>
      <c r="P84" s="17"/>
      <c r="Q84" s="30" t="s">
        <v>30</v>
      </c>
      <c r="R84" s="31"/>
      <c r="S84" s="31"/>
      <c r="T84" s="31"/>
      <c r="U84" s="31"/>
      <c r="V84" s="483">
        <f t="shared" si="92"/>
        <v>0</v>
      </c>
      <c r="W84" s="31"/>
      <c r="X84" s="31"/>
      <c r="Y84" s="31"/>
      <c r="Z84" s="31"/>
      <c r="AA84" s="483">
        <f t="shared" si="93"/>
        <v>0</v>
      </c>
      <c r="AB84" s="484">
        <f t="shared" si="94"/>
        <v>0</v>
      </c>
      <c r="AC84" s="17"/>
      <c r="AD84" s="30" t="s">
        <v>30</v>
      </c>
      <c r="AE84" s="31"/>
      <c r="AF84" s="31"/>
      <c r="AG84" s="485">
        <f t="shared" si="106"/>
        <v>0</v>
      </c>
      <c r="AH84" s="17"/>
      <c r="AI84" s="30" t="s">
        <v>30</v>
      </c>
      <c r="AJ84" s="490">
        <f t="shared" si="95"/>
        <v>0</v>
      </c>
      <c r="AK84" s="490">
        <f t="shared" si="96"/>
        <v>0</v>
      </c>
      <c r="AL84" s="490">
        <f t="shared" si="97"/>
        <v>0</v>
      </c>
      <c r="AM84" s="490">
        <f t="shared" si="98"/>
        <v>0</v>
      </c>
      <c r="AN84" s="483">
        <f t="shared" si="99"/>
        <v>0</v>
      </c>
      <c r="AO84" s="490">
        <f t="shared" si="100"/>
        <v>0</v>
      </c>
      <c r="AP84" s="490">
        <f t="shared" si="101"/>
        <v>0</v>
      </c>
      <c r="AQ84" s="490">
        <f t="shared" si="102"/>
        <v>0</v>
      </c>
      <c r="AR84" s="490">
        <f t="shared" si="103"/>
        <v>0</v>
      </c>
      <c r="AS84" s="483">
        <f t="shared" si="104"/>
        <v>0</v>
      </c>
      <c r="AT84" s="484">
        <f t="shared" si="105"/>
        <v>0</v>
      </c>
    </row>
    <row r="85" spans="2:46" ht="19.5" thickBot="1">
      <c r="B85" s="1198"/>
      <c r="C85" s="17"/>
      <c r="D85" s="30" t="s">
        <v>31</v>
      </c>
      <c r="E85" s="31"/>
      <c r="F85" s="31"/>
      <c r="G85" s="31"/>
      <c r="H85" s="31"/>
      <c r="I85" s="483">
        <f t="shared" si="89"/>
        <v>0</v>
      </c>
      <c r="J85" s="31"/>
      <c r="K85" s="31"/>
      <c r="L85" s="31"/>
      <c r="M85" s="31"/>
      <c r="N85" s="483">
        <f t="shared" si="90"/>
        <v>0</v>
      </c>
      <c r="O85" s="484">
        <f t="shared" si="91"/>
        <v>0</v>
      </c>
      <c r="P85" s="17"/>
      <c r="Q85" s="30" t="s">
        <v>31</v>
      </c>
      <c r="R85" s="31"/>
      <c r="S85" s="31"/>
      <c r="T85" s="31"/>
      <c r="U85" s="31"/>
      <c r="V85" s="483">
        <f t="shared" si="92"/>
        <v>0</v>
      </c>
      <c r="W85" s="31"/>
      <c r="X85" s="31"/>
      <c r="Y85" s="31"/>
      <c r="Z85" s="31"/>
      <c r="AA85" s="483">
        <f t="shared" si="93"/>
        <v>0</v>
      </c>
      <c r="AB85" s="484">
        <f t="shared" si="94"/>
        <v>0</v>
      </c>
      <c r="AC85" s="17"/>
      <c r="AD85" s="30" t="s">
        <v>31</v>
      </c>
      <c r="AE85" s="31"/>
      <c r="AF85" s="31"/>
      <c r="AG85" s="485">
        <f t="shared" si="106"/>
        <v>0</v>
      </c>
      <c r="AH85" s="17"/>
      <c r="AI85" s="30" t="s">
        <v>31</v>
      </c>
      <c r="AJ85" s="490">
        <f t="shared" si="95"/>
        <v>0</v>
      </c>
      <c r="AK85" s="490">
        <f t="shared" si="96"/>
        <v>0</v>
      </c>
      <c r="AL85" s="490">
        <f t="shared" si="97"/>
        <v>0</v>
      </c>
      <c r="AM85" s="490">
        <f t="shared" si="98"/>
        <v>0</v>
      </c>
      <c r="AN85" s="483">
        <f t="shared" si="99"/>
        <v>0</v>
      </c>
      <c r="AO85" s="490">
        <f t="shared" si="100"/>
        <v>0</v>
      </c>
      <c r="AP85" s="490">
        <f t="shared" si="101"/>
        <v>0</v>
      </c>
      <c r="AQ85" s="490">
        <f t="shared" si="102"/>
        <v>0</v>
      </c>
      <c r="AR85" s="490">
        <f t="shared" si="103"/>
        <v>0</v>
      </c>
      <c r="AS85" s="483">
        <f t="shared" si="104"/>
        <v>0</v>
      </c>
      <c r="AT85" s="484">
        <f t="shared" si="105"/>
        <v>0</v>
      </c>
    </row>
    <row r="86" spans="2:46" ht="19.5" thickBot="1">
      <c r="B86" s="1198"/>
      <c r="C86" s="17"/>
      <c r="D86" s="30" t="s">
        <v>32</v>
      </c>
      <c r="E86" s="31"/>
      <c r="F86" s="31"/>
      <c r="G86" s="31"/>
      <c r="H86" s="31"/>
      <c r="I86" s="483">
        <f t="shared" si="89"/>
        <v>0</v>
      </c>
      <c r="J86" s="31"/>
      <c r="K86" s="31"/>
      <c r="L86" s="31"/>
      <c r="M86" s="31"/>
      <c r="N86" s="483">
        <f t="shared" si="90"/>
        <v>0</v>
      </c>
      <c r="O86" s="484">
        <f t="shared" si="91"/>
        <v>0</v>
      </c>
      <c r="P86" s="17"/>
      <c r="Q86" s="30" t="s">
        <v>32</v>
      </c>
      <c r="R86" s="31"/>
      <c r="S86" s="31"/>
      <c r="T86" s="31"/>
      <c r="U86" s="31"/>
      <c r="V86" s="483">
        <f t="shared" si="92"/>
        <v>0</v>
      </c>
      <c r="W86" s="31"/>
      <c r="X86" s="31"/>
      <c r="Y86" s="31"/>
      <c r="Z86" s="31"/>
      <c r="AA86" s="483">
        <f t="shared" si="93"/>
        <v>0</v>
      </c>
      <c r="AB86" s="484">
        <f t="shared" si="94"/>
        <v>0</v>
      </c>
      <c r="AC86" s="17"/>
      <c r="AD86" s="30" t="s">
        <v>32</v>
      </c>
      <c r="AE86" s="31"/>
      <c r="AF86" s="31"/>
      <c r="AG86" s="485">
        <f t="shared" si="106"/>
        <v>0</v>
      </c>
      <c r="AH86" s="17"/>
      <c r="AI86" s="30" t="s">
        <v>32</v>
      </c>
      <c r="AJ86" s="490">
        <f t="shared" si="95"/>
        <v>0</v>
      </c>
      <c r="AK86" s="490">
        <f t="shared" si="96"/>
        <v>0</v>
      </c>
      <c r="AL86" s="490">
        <f t="shared" si="97"/>
        <v>0</v>
      </c>
      <c r="AM86" s="490">
        <f t="shared" si="98"/>
        <v>0</v>
      </c>
      <c r="AN86" s="483">
        <f t="shared" si="99"/>
        <v>0</v>
      </c>
      <c r="AO86" s="490">
        <f t="shared" si="100"/>
        <v>0</v>
      </c>
      <c r="AP86" s="490">
        <f t="shared" si="101"/>
        <v>0</v>
      </c>
      <c r="AQ86" s="490">
        <f t="shared" si="102"/>
        <v>0</v>
      </c>
      <c r="AR86" s="490">
        <f t="shared" si="103"/>
        <v>0</v>
      </c>
      <c r="AS86" s="483">
        <f t="shared" si="104"/>
        <v>0</v>
      </c>
      <c r="AT86" s="484">
        <f t="shared" si="105"/>
        <v>0</v>
      </c>
    </row>
    <row r="87" spans="2:46" ht="19.5" thickBot="1">
      <c r="B87" s="1198"/>
      <c r="C87" s="17"/>
      <c r="D87" s="30" t="s">
        <v>33</v>
      </c>
      <c r="E87" s="31"/>
      <c r="F87" s="31"/>
      <c r="G87" s="31"/>
      <c r="H87" s="31"/>
      <c r="I87" s="483">
        <f t="shared" si="89"/>
        <v>0</v>
      </c>
      <c r="J87" s="31"/>
      <c r="K87" s="31"/>
      <c r="L87" s="31"/>
      <c r="M87" s="31"/>
      <c r="N87" s="483">
        <f t="shared" si="90"/>
        <v>0</v>
      </c>
      <c r="O87" s="484">
        <f t="shared" si="91"/>
        <v>0</v>
      </c>
      <c r="P87" s="17"/>
      <c r="Q87" s="30" t="s">
        <v>33</v>
      </c>
      <c r="R87" s="31"/>
      <c r="S87" s="31"/>
      <c r="T87" s="31"/>
      <c r="U87" s="31"/>
      <c r="V87" s="483">
        <f t="shared" si="92"/>
        <v>0</v>
      </c>
      <c r="W87" s="31"/>
      <c r="X87" s="31"/>
      <c r="Y87" s="31"/>
      <c r="Z87" s="31"/>
      <c r="AA87" s="483">
        <f t="shared" si="93"/>
        <v>0</v>
      </c>
      <c r="AB87" s="484">
        <f t="shared" si="94"/>
        <v>0</v>
      </c>
      <c r="AC87" s="17"/>
      <c r="AD87" s="30" t="s">
        <v>33</v>
      </c>
      <c r="AE87" s="31"/>
      <c r="AF87" s="31"/>
      <c r="AG87" s="485">
        <f t="shared" si="106"/>
        <v>0</v>
      </c>
      <c r="AH87" s="17"/>
      <c r="AI87" s="30" t="s">
        <v>33</v>
      </c>
      <c r="AJ87" s="490">
        <f t="shared" si="95"/>
        <v>0</v>
      </c>
      <c r="AK87" s="490">
        <f t="shared" si="96"/>
        <v>0</v>
      </c>
      <c r="AL87" s="490">
        <f t="shared" si="97"/>
        <v>0</v>
      </c>
      <c r="AM87" s="490">
        <f t="shared" si="98"/>
        <v>0</v>
      </c>
      <c r="AN87" s="483">
        <f t="shared" si="99"/>
        <v>0</v>
      </c>
      <c r="AO87" s="490">
        <f t="shared" si="100"/>
        <v>0</v>
      </c>
      <c r="AP87" s="490">
        <f t="shared" si="101"/>
        <v>0</v>
      </c>
      <c r="AQ87" s="490">
        <f t="shared" si="102"/>
        <v>0</v>
      </c>
      <c r="AR87" s="490">
        <f t="shared" si="103"/>
        <v>0</v>
      </c>
      <c r="AS87" s="483">
        <f t="shared" si="104"/>
        <v>0</v>
      </c>
      <c r="AT87" s="484">
        <f t="shared" si="105"/>
        <v>0</v>
      </c>
    </row>
    <row r="88" spans="2:46" ht="19.5" thickBot="1">
      <c r="B88" s="1198"/>
      <c r="C88" s="17"/>
      <c r="D88" s="30" t="s">
        <v>34</v>
      </c>
      <c r="E88" s="31"/>
      <c r="F88" s="31"/>
      <c r="G88" s="31"/>
      <c r="H88" s="31"/>
      <c r="I88" s="483">
        <f t="shared" si="89"/>
        <v>0</v>
      </c>
      <c r="J88" s="31"/>
      <c r="K88" s="31"/>
      <c r="L88" s="31"/>
      <c r="M88" s="31"/>
      <c r="N88" s="483">
        <f t="shared" si="90"/>
        <v>0</v>
      </c>
      <c r="O88" s="484">
        <f t="shared" si="91"/>
        <v>0</v>
      </c>
      <c r="P88" s="17"/>
      <c r="Q88" s="30" t="s">
        <v>34</v>
      </c>
      <c r="R88" s="31"/>
      <c r="S88" s="31"/>
      <c r="T88" s="31"/>
      <c r="U88" s="31"/>
      <c r="V88" s="483">
        <f t="shared" si="92"/>
        <v>0</v>
      </c>
      <c r="W88" s="31"/>
      <c r="X88" s="31"/>
      <c r="Y88" s="31"/>
      <c r="Z88" s="31"/>
      <c r="AA88" s="483">
        <f t="shared" si="93"/>
        <v>0</v>
      </c>
      <c r="AB88" s="484">
        <f t="shared" si="94"/>
        <v>0</v>
      </c>
      <c r="AC88" s="17"/>
      <c r="AD88" s="30" t="s">
        <v>34</v>
      </c>
      <c r="AE88" s="31"/>
      <c r="AF88" s="31"/>
      <c r="AG88" s="485">
        <f t="shared" si="106"/>
        <v>0</v>
      </c>
      <c r="AH88" s="17"/>
      <c r="AI88" s="30" t="s">
        <v>34</v>
      </c>
      <c r="AJ88" s="490">
        <f t="shared" si="95"/>
        <v>0</v>
      </c>
      <c r="AK88" s="490">
        <f t="shared" si="96"/>
        <v>0</v>
      </c>
      <c r="AL88" s="490">
        <f t="shared" si="97"/>
        <v>0</v>
      </c>
      <c r="AM88" s="490">
        <f t="shared" si="98"/>
        <v>0</v>
      </c>
      <c r="AN88" s="483">
        <f t="shared" si="99"/>
        <v>0</v>
      </c>
      <c r="AO88" s="490">
        <f t="shared" si="100"/>
        <v>0</v>
      </c>
      <c r="AP88" s="490">
        <f t="shared" si="101"/>
        <v>0</v>
      </c>
      <c r="AQ88" s="490">
        <f t="shared" si="102"/>
        <v>0</v>
      </c>
      <c r="AR88" s="490">
        <f t="shared" si="103"/>
        <v>0</v>
      </c>
      <c r="AS88" s="483">
        <f t="shared" si="104"/>
        <v>0</v>
      </c>
      <c r="AT88" s="484">
        <f t="shared" si="105"/>
        <v>0</v>
      </c>
    </row>
    <row r="89" spans="2:46" ht="19.5" thickBot="1">
      <c r="B89" s="1198"/>
      <c r="C89" s="17"/>
      <c r="D89" s="30" t="s">
        <v>35</v>
      </c>
      <c r="E89" s="31"/>
      <c r="F89" s="31"/>
      <c r="G89" s="31"/>
      <c r="H89" s="31"/>
      <c r="I89" s="483">
        <f t="shared" si="89"/>
        <v>0</v>
      </c>
      <c r="J89" s="31"/>
      <c r="K89" s="31"/>
      <c r="L89" s="31"/>
      <c r="M89" s="31"/>
      <c r="N89" s="483">
        <f t="shared" si="90"/>
        <v>0</v>
      </c>
      <c r="O89" s="484">
        <f t="shared" si="91"/>
        <v>0</v>
      </c>
      <c r="P89" s="17"/>
      <c r="Q89" s="30" t="s">
        <v>35</v>
      </c>
      <c r="R89" s="31"/>
      <c r="S89" s="31"/>
      <c r="T89" s="31"/>
      <c r="U89" s="31"/>
      <c r="V89" s="483">
        <f t="shared" si="92"/>
        <v>0</v>
      </c>
      <c r="W89" s="31"/>
      <c r="X89" s="31"/>
      <c r="Y89" s="31"/>
      <c r="Z89" s="31"/>
      <c r="AA89" s="483">
        <f t="shared" si="93"/>
        <v>0</v>
      </c>
      <c r="AB89" s="484">
        <f t="shared" si="94"/>
        <v>0</v>
      </c>
      <c r="AC89" s="17"/>
      <c r="AD89" s="30" t="s">
        <v>35</v>
      </c>
      <c r="AE89" s="31"/>
      <c r="AF89" s="31"/>
      <c r="AG89" s="485">
        <f t="shared" si="106"/>
        <v>0</v>
      </c>
      <c r="AH89" s="17"/>
      <c r="AI89" s="30" t="s">
        <v>35</v>
      </c>
      <c r="AJ89" s="490">
        <f t="shared" si="95"/>
        <v>0</v>
      </c>
      <c r="AK89" s="490">
        <f t="shared" si="96"/>
        <v>0</v>
      </c>
      <c r="AL89" s="490">
        <f t="shared" si="97"/>
        <v>0</v>
      </c>
      <c r="AM89" s="490">
        <f t="shared" si="98"/>
        <v>0</v>
      </c>
      <c r="AN89" s="483">
        <f t="shared" si="99"/>
        <v>0</v>
      </c>
      <c r="AO89" s="490">
        <f t="shared" si="100"/>
        <v>0</v>
      </c>
      <c r="AP89" s="490">
        <f t="shared" si="101"/>
        <v>0</v>
      </c>
      <c r="AQ89" s="490">
        <f t="shared" si="102"/>
        <v>0</v>
      </c>
      <c r="AR89" s="490">
        <f t="shared" si="103"/>
        <v>0</v>
      </c>
      <c r="AS89" s="483">
        <f t="shared" si="104"/>
        <v>0</v>
      </c>
      <c r="AT89" s="484">
        <f t="shared" si="105"/>
        <v>0</v>
      </c>
    </row>
    <row r="90" spans="2:46" ht="19.5" thickBot="1">
      <c r="B90" s="1198"/>
      <c r="C90" s="17"/>
      <c r="D90" s="30" t="s">
        <v>36</v>
      </c>
      <c r="E90" s="483">
        <f>SUM(E78:E89)</f>
        <v>0</v>
      </c>
      <c r="F90" s="483">
        <f>SUM(F78:F89)</f>
        <v>0</v>
      </c>
      <c r="G90" s="483">
        <f>SUM(G78:G89)</f>
        <v>0</v>
      </c>
      <c r="H90" s="483">
        <f>SUM(H78:H89)</f>
        <v>0</v>
      </c>
      <c r="I90" s="483">
        <f t="shared" si="89"/>
        <v>0</v>
      </c>
      <c r="J90" s="483">
        <f>SUM(J78:J89)</f>
        <v>0</v>
      </c>
      <c r="K90" s="483">
        <f>SUM(K78:K89)</f>
        <v>0</v>
      </c>
      <c r="L90" s="483">
        <f>SUM(L78:L89)</f>
        <v>0</v>
      </c>
      <c r="M90" s="483">
        <f>SUM(M78:M89)</f>
        <v>0</v>
      </c>
      <c r="N90" s="483">
        <f t="shared" si="90"/>
        <v>0</v>
      </c>
      <c r="O90" s="484">
        <f t="shared" si="91"/>
        <v>0</v>
      </c>
      <c r="P90" s="17"/>
      <c r="Q90" s="30" t="s">
        <v>36</v>
      </c>
      <c r="R90" s="483">
        <f>SUM(R78:R89)</f>
        <v>0</v>
      </c>
      <c r="S90" s="483">
        <f>SUM(S78:S89)</f>
        <v>0</v>
      </c>
      <c r="T90" s="483">
        <f>SUM(T78:T89)</f>
        <v>0</v>
      </c>
      <c r="U90" s="483">
        <f>SUM(U78:U89)</f>
        <v>0</v>
      </c>
      <c r="V90" s="483">
        <f t="shared" si="92"/>
        <v>0</v>
      </c>
      <c r="W90" s="483">
        <f>SUM(W78:W89)</f>
        <v>0</v>
      </c>
      <c r="X90" s="483">
        <f>SUM(X78:X89)</f>
        <v>0</v>
      </c>
      <c r="Y90" s="483">
        <f>SUM(Y78:Y89)</f>
        <v>0</v>
      </c>
      <c r="Z90" s="483">
        <f>SUM(Z78:Z89)</f>
        <v>0</v>
      </c>
      <c r="AA90" s="483">
        <f t="shared" si="93"/>
        <v>0</v>
      </c>
      <c r="AB90" s="484">
        <f t="shared" si="94"/>
        <v>0</v>
      </c>
      <c r="AC90" s="17"/>
      <c r="AD90" s="30" t="s">
        <v>36</v>
      </c>
      <c r="AE90" s="483">
        <f>SUM(AE78:AE89)</f>
        <v>0</v>
      </c>
      <c r="AF90" s="483">
        <f>SUM(AF78:AF89)</f>
        <v>0</v>
      </c>
      <c r="AG90" s="485">
        <f>SUM(AG78:AG89)</f>
        <v>0</v>
      </c>
      <c r="AH90" s="17"/>
      <c r="AI90" s="30" t="s">
        <v>36</v>
      </c>
      <c r="AJ90" s="483">
        <f>SUM(AJ78:AJ89)</f>
        <v>0</v>
      </c>
      <c r="AK90" s="483">
        <f>SUM(AK78:AK89)</f>
        <v>0</v>
      </c>
      <c r="AL90" s="483">
        <f>SUM(AL78:AL89)</f>
        <v>0</v>
      </c>
      <c r="AM90" s="483">
        <f>SUM(AM78:AM89)</f>
        <v>0</v>
      </c>
      <c r="AN90" s="483">
        <f t="shared" si="99"/>
        <v>0</v>
      </c>
      <c r="AO90" s="483">
        <f>SUM(AO78:AO89)</f>
        <v>0</v>
      </c>
      <c r="AP90" s="483">
        <f>SUM(AP78:AP89)</f>
        <v>0</v>
      </c>
      <c r="AQ90" s="483">
        <f>SUM(AQ78:AQ89)</f>
        <v>0</v>
      </c>
      <c r="AR90" s="483">
        <f>SUM(AR78:AR89)</f>
        <v>0</v>
      </c>
      <c r="AS90" s="483">
        <f t="shared" si="104"/>
        <v>0</v>
      </c>
      <c r="AT90" s="484">
        <f t="shared" si="105"/>
        <v>0</v>
      </c>
    </row>
    <row r="91" spans="2:46">
      <c r="AG91" s="492"/>
    </row>
  </sheetData>
  <sheetProtection algorithmName="SHA-512" hashValue="vE/v7NV3aJd9j7G/JkUJTjHTtTlN/hLQwzG3UO/JVQDlX8IkfWyCCD/sAShBIDdOv6fvj8BxMt5g8sQfND31Kw==" saltValue="A0M9+r+PZy+05BU12orq1g==" spinCount="100000" sheet="1" objects="1" scenarios="1"/>
  <mergeCells count="28">
    <mergeCell ref="B50:B62"/>
    <mergeCell ref="B64:B76"/>
    <mergeCell ref="B78:B90"/>
    <mergeCell ref="B2:C2"/>
    <mergeCell ref="R6:V6"/>
    <mergeCell ref="D2:F2"/>
    <mergeCell ref="D4:O4"/>
    <mergeCell ref="Q4:AB4"/>
    <mergeCell ref="B36:B48"/>
    <mergeCell ref="J6:N6"/>
    <mergeCell ref="O6:O7"/>
    <mergeCell ref="W6:AA6"/>
    <mergeCell ref="AB6:AB7"/>
    <mergeCell ref="D6:D7"/>
    <mergeCell ref="Q6:Q7"/>
    <mergeCell ref="AI4:AT4"/>
    <mergeCell ref="E6:I6"/>
    <mergeCell ref="AT6:AT7"/>
    <mergeCell ref="B8:B20"/>
    <mergeCell ref="B22:B34"/>
    <mergeCell ref="AJ6:AN6"/>
    <mergeCell ref="AI6:AI7"/>
    <mergeCell ref="AO6:AS6"/>
    <mergeCell ref="AD4:AG5"/>
    <mergeCell ref="AE6:AE7"/>
    <mergeCell ref="AF6:AF7"/>
    <mergeCell ref="AG6:AG7"/>
    <mergeCell ref="AD6:AD7"/>
  </mergeCells>
  <phoneticPr fontId="2"/>
  <printOptions headings="1"/>
  <pageMargins left="0.25" right="0.25" top="0.75" bottom="0.75" header="0.3" footer="0.3"/>
  <pageSetup paperSize="8" scale="63" orientation="landscape" r:id="rId1"/>
  <rowBreaks count="1" manualBreakCount="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65507-A7E0-42DA-9588-6C1DB7C2B197}">
  <dimension ref="B2:T15"/>
  <sheetViews>
    <sheetView workbookViewId="0"/>
  </sheetViews>
  <sheetFormatPr defaultColWidth="8.75" defaultRowHeight="16.5"/>
  <cols>
    <col min="1" max="1" width="1.375" style="659" customWidth="1"/>
    <col min="2" max="2" width="5.875" style="659" customWidth="1"/>
    <col min="3" max="3" width="8.25" style="659" customWidth="1"/>
    <col min="4" max="20" width="7.5" style="659" customWidth="1"/>
    <col min="21" max="16384" width="8.75" style="659"/>
  </cols>
  <sheetData>
    <row r="2" spans="2:20">
      <c r="B2" s="1213" t="s">
        <v>527</v>
      </c>
      <c r="C2" s="1213"/>
    </row>
    <row r="3" spans="2:20">
      <c r="B3" s="660" t="s">
        <v>525</v>
      </c>
      <c r="C3" s="661">
        <v>1809</v>
      </c>
    </row>
    <row r="4" spans="2:20">
      <c r="B4" s="660" t="s">
        <v>526</v>
      </c>
      <c r="C4" s="661">
        <v>10478</v>
      </c>
    </row>
    <row r="5" spans="2:20" ht="17.25" thickBot="1">
      <c r="B5" s="1214" t="s">
        <v>528</v>
      </c>
      <c r="C5" s="1214"/>
    </row>
    <row r="6" spans="2:20">
      <c r="B6" s="695"/>
      <c r="C6" s="686"/>
      <c r="D6" s="686" t="s">
        <v>529</v>
      </c>
      <c r="E6" s="687" t="s">
        <v>297</v>
      </c>
      <c r="F6" s="686" t="s">
        <v>298</v>
      </c>
      <c r="G6" s="687" t="s">
        <v>301</v>
      </c>
      <c r="H6" s="686" t="s">
        <v>303</v>
      </c>
      <c r="I6" s="687" t="s">
        <v>304</v>
      </c>
      <c r="J6" s="686" t="s">
        <v>305</v>
      </c>
      <c r="K6" s="687" t="s">
        <v>306</v>
      </c>
      <c r="L6" s="686" t="s">
        <v>307</v>
      </c>
      <c r="M6" s="687" t="s">
        <v>309</v>
      </c>
      <c r="N6" s="686" t="s">
        <v>310</v>
      </c>
      <c r="O6" s="687" t="s">
        <v>311</v>
      </c>
      <c r="P6" s="686" t="s">
        <v>312</v>
      </c>
      <c r="Q6" s="687" t="s">
        <v>313</v>
      </c>
      <c r="R6" s="686" t="s">
        <v>314</v>
      </c>
      <c r="S6" s="687" t="s">
        <v>315</v>
      </c>
      <c r="T6" s="688" t="s">
        <v>530</v>
      </c>
    </row>
    <row r="7" spans="2:20">
      <c r="B7" s="689" t="s">
        <v>98</v>
      </c>
      <c r="C7" s="662" t="s">
        <v>334</v>
      </c>
      <c r="D7" s="663">
        <v>7346</v>
      </c>
      <c r="E7" s="663">
        <v>5322</v>
      </c>
      <c r="F7" s="663">
        <v>4436</v>
      </c>
      <c r="G7" s="663">
        <v>4312</v>
      </c>
      <c r="H7" s="663">
        <v>3710</v>
      </c>
      <c r="I7" s="663">
        <v>3358</v>
      </c>
      <c r="J7" s="663">
        <v>3097</v>
      </c>
      <c r="K7" s="663">
        <v>2891</v>
      </c>
      <c r="L7" s="663">
        <v>2401</v>
      </c>
      <c r="M7" s="663">
        <v>2298</v>
      </c>
      <c r="N7" s="663">
        <v>2210</v>
      </c>
      <c r="O7" s="663">
        <v>2136</v>
      </c>
      <c r="P7" s="663">
        <v>2074</v>
      </c>
      <c r="Q7" s="663">
        <v>2024</v>
      </c>
      <c r="R7" s="663">
        <v>1975</v>
      </c>
      <c r="S7" s="663">
        <v>1934</v>
      </c>
      <c r="T7" s="690">
        <v>1900</v>
      </c>
    </row>
    <row r="8" spans="2:20">
      <c r="B8" s="689" t="s">
        <v>98</v>
      </c>
      <c r="C8" s="662" t="s">
        <v>336</v>
      </c>
      <c r="D8" s="663">
        <v>7888</v>
      </c>
      <c r="E8" s="663">
        <v>5864</v>
      </c>
      <c r="F8" s="663">
        <v>4978</v>
      </c>
      <c r="G8" s="663">
        <v>4854</v>
      </c>
      <c r="H8" s="663">
        <v>4252</v>
      </c>
      <c r="I8" s="663">
        <v>3900</v>
      </c>
      <c r="J8" s="663">
        <v>3639</v>
      </c>
      <c r="K8" s="663">
        <v>3433</v>
      </c>
      <c r="L8" s="663">
        <v>2943</v>
      </c>
      <c r="M8" s="663">
        <v>2840</v>
      </c>
      <c r="N8" s="663">
        <v>2752</v>
      </c>
      <c r="O8" s="663">
        <v>2678</v>
      </c>
      <c r="P8" s="663">
        <v>2616</v>
      </c>
      <c r="Q8" s="663">
        <v>2566</v>
      </c>
      <c r="R8" s="663">
        <v>2517</v>
      </c>
      <c r="S8" s="663">
        <v>2476</v>
      </c>
      <c r="T8" s="690">
        <v>2442</v>
      </c>
    </row>
    <row r="9" spans="2:20">
      <c r="B9" s="689" t="s">
        <v>98</v>
      </c>
      <c r="C9" s="662" t="s">
        <v>337</v>
      </c>
      <c r="D9" s="663">
        <v>11682</v>
      </c>
      <c r="E9" s="663">
        <v>9658</v>
      </c>
      <c r="F9" s="663">
        <v>8772</v>
      </c>
      <c r="G9" s="663">
        <v>8648</v>
      </c>
      <c r="H9" s="663">
        <v>8046</v>
      </c>
      <c r="I9" s="663">
        <v>7694</v>
      </c>
      <c r="J9" s="663">
        <v>7433</v>
      </c>
      <c r="K9" s="663">
        <v>7227</v>
      </c>
      <c r="L9" s="663">
        <v>6737</v>
      </c>
      <c r="M9" s="663">
        <v>6634</v>
      </c>
      <c r="N9" s="663">
        <v>6546</v>
      </c>
      <c r="O9" s="663">
        <v>6472</v>
      </c>
      <c r="P9" s="663">
        <v>6410</v>
      </c>
      <c r="Q9" s="663">
        <v>6360</v>
      </c>
      <c r="R9" s="663">
        <v>6311</v>
      </c>
      <c r="S9" s="663">
        <v>6270</v>
      </c>
      <c r="T9" s="690">
        <v>6236</v>
      </c>
    </row>
    <row r="10" spans="2:20" ht="17.25" thickBot="1">
      <c r="B10" s="691" t="s">
        <v>98</v>
      </c>
      <c r="C10" s="692" t="s">
        <v>338</v>
      </c>
      <c r="D10" s="693">
        <v>17103</v>
      </c>
      <c r="E10" s="693">
        <v>15079</v>
      </c>
      <c r="F10" s="693">
        <v>14193</v>
      </c>
      <c r="G10" s="693">
        <v>14069</v>
      </c>
      <c r="H10" s="693">
        <v>13467</v>
      </c>
      <c r="I10" s="693">
        <v>13115</v>
      </c>
      <c r="J10" s="693">
        <v>12854</v>
      </c>
      <c r="K10" s="693">
        <v>12648</v>
      </c>
      <c r="L10" s="693">
        <v>12158</v>
      </c>
      <c r="M10" s="693">
        <v>12055</v>
      </c>
      <c r="N10" s="693">
        <v>11967</v>
      </c>
      <c r="O10" s="693">
        <v>11893</v>
      </c>
      <c r="P10" s="693">
        <v>11831</v>
      </c>
      <c r="Q10" s="693">
        <v>11781</v>
      </c>
      <c r="R10" s="693">
        <v>11732</v>
      </c>
      <c r="S10" s="693">
        <v>11691</v>
      </c>
      <c r="T10" s="694">
        <v>11657</v>
      </c>
    </row>
    <row r="11" spans="2:20">
      <c r="B11" s="695"/>
      <c r="C11" s="686"/>
      <c r="D11" s="686" t="s">
        <v>529</v>
      </c>
      <c r="E11" s="687" t="s">
        <v>297</v>
      </c>
      <c r="F11" s="686" t="s">
        <v>298</v>
      </c>
      <c r="G11" s="687" t="s">
        <v>301</v>
      </c>
      <c r="H11" s="686" t="s">
        <v>302</v>
      </c>
      <c r="I11" s="687" t="s">
        <v>304</v>
      </c>
      <c r="J11" s="686" t="s">
        <v>305</v>
      </c>
      <c r="K11" s="687" t="s">
        <v>306</v>
      </c>
      <c r="L11" s="686" t="s">
        <v>307</v>
      </c>
      <c r="M11" s="687" t="s">
        <v>309</v>
      </c>
      <c r="N11" s="686" t="s">
        <v>310</v>
      </c>
      <c r="O11" s="687" t="s">
        <v>311</v>
      </c>
      <c r="P11" s="686" t="s">
        <v>312</v>
      </c>
      <c r="Q11" s="687" t="s">
        <v>313</v>
      </c>
      <c r="R11" s="686" t="s">
        <v>314</v>
      </c>
      <c r="S11" s="687" t="s">
        <v>315</v>
      </c>
      <c r="T11" s="688" t="s">
        <v>530</v>
      </c>
    </row>
    <row r="12" spans="2:20">
      <c r="B12" s="689" t="s">
        <v>531</v>
      </c>
      <c r="C12" s="662" t="s">
        <v>334</v>
      </c>
      <c r="D12" s="663">
        <v>5720</v>
      </c>
      <c r="E12" s="663">
        <v>4238</v>
      </c>
      <c r="F12" s="663">
        <v>3622</v>
      </c>
      <c r="G12" s="663">
        <v>3662</v>
      </c>
      <c r="H12" s="663">
        <v>3168</v>
      </c>
      <c r="I12" s="663">
        <v>2893</v>
      </c>
      <c r="J12" s="663">
        <v>2691</v>
      </c>
      <c r="K12" s="663">
        <v>2529</v>
      </c>
      <c r="L12" s="663">
        <v>2075</v>
      </c>
      <c r="M12" s="663">
        <v>2003</v>
      </c>
      <c r="N12" s="663">
        <v>1939</v>
      </c>
      <c r="O12" s="663">
        <v>1885</v>
      </c>
      <c r="P12" s="663">
        <v>1842</v>
      </c>
      <c r="Q12" s="663">
        <v>1807</v>
      </c>
      <c r="R12" s="663">
        <v>1772</v>
      </c>
      <c r="S12" s="663">
        <v>1743</v>
      </c>
      <c r="T12" s="690">
        <v>1719</v>
      </c>
    </row>
    <row r="13" spans="2:20">
      <c r="B13" s="689" t="s">
        <v>531</v>
      </c>
      <c r="C13" s="662" t="s">
        <v>336</v>
      </c>
      <c r="D13" s="663">
        <v>6262</v>
      </c>
      <c r="E13" s="663">
        <v>4780</v>
      </c>
      <c r="F13" s="663">
        <v>4164</v>
      </c>
      <c r="G13" s="663">
        <v>4204</v>
      </c>
      <c r="H13" s="663">
        <v>3710</v>
      </c>
      <c r="I13" s="663">
        <v>3435</v>
      </c>
      <c r="J13" s="663">
        <v>3233</v>
      </c>
      <c r="K13" s="663">
        <v>3071</v>
      </c>
      <c r="L13" s="663">
        <v>2617</v>
      </c>
      <c r="M13" s="663">
        <v>2545</v>
      </c>
      <c r="N13" s="663">
        <v>2481</v>
      </c>
      <c r="O13" s="663">
        <v>2427</v>
      </c>
      <c r="P13" s="663">
        <v>2384</v>
      </c>
      <c r="Q13" s="663">
        <v>2349</v>
      </c>
      <c r="R13" s="663">
        <v>2314</v>
      </c>
      <c r="S13" s="663">
        <v>2285</v>
      </c>
      <c r="T13" s="690">
        <v>2261</v>
      </c>
    </row>
    <row r="14" spans="2:20">
      <c r="B14" s="689" t="s">
        <v>531</v>
      </c>
      <c r="C14" s="662" t="s">
        <v>337</v>
      </c>
      <c r="D14" s="663">
        <v>10056</v>
      </c>
      <c r="E14" s="663">
        <v>8574</v>
      </c>
      <c r="F14" s="663">
        <v>7958</v>
      </c>
      <c r="G14" s="663">
        <v>7998</v>
      </c>
      <c r="H14" s="663">
        <v>7504</v>
      </c>
      <c r="I14" s="663">
        <v>7229</v>
      </c>
      <c r="J14" s="663">
        <v>7027</v>
      </c>
      <c r="K14" s="663">
        <v>6865</v>
      </c>
      <c r="L14" s="663">
        <v>6411</v>
      </c>
      <c r="M14" s="663">
        <v>6339</v>
      </c>
      <c r="N14" s="663">
        <v>6275</v>
      </c>
      <c r="O14" s="663">
        <v>6221</v>
      </c>
      <c r="P14" s="663">
        <v>6178</v>
      </c>
      <c r="Q14" s="663">
        <v>6143</v>
      </c>
      <c r="R14" s="663">
        <v>6108</v>
      </c>
      <c r="S14" s="663">
        <v>6079</v>
      </c>
      <c r="T14" s="690">
        <v>6055</v>
      </c>
    </row>
    <row r="15" spans="2:20" ht="17.25" thickBot="1">
      <c r="B15" s="691" t="s">
        <v>531</v>
      </c>
      <c r="C15" s="692" t="s">
        <v>338</v>
      </c>
      <c r="D15" s="693">
        <v>15477</v>
      </c>
      <c r="E15" s="693">
        <v>13995</v>
      </c>
      <c r="F15" s="693">
        <v>13379</v>
      </c>
      <c r="G15" s="693">
        <v>13419</v>
      </c>
      <c r="H15" s="693">
        <v>12925</v>
      </c>
      <c r="I15" s="693">
        <v>12650</v>
      </c>
      <c r="J15" s="693">
        <v>12448</v>
      </c>
      <c r="K15" s="693">
        <v>12286</v>
      </c>
      <c r="L15" s="693">
        <v>11832</v>
      </c>
      <c r="M15" s="693">
        <v>11760</v>
      </c>
      <c r="N15" s="693">
        <v>11696</v>
      </c>
      <c r="O15" s="693">
        <v>11642</v>
      </c>
      <c r="P15" s="693">
        <v>11599</v>
      </c>
      <c r="Q15" s="693">
        <v>11564</v>
      </c>
      <c r="R15" s="693">
        <v>11529</v>
      </c>
      <c r="S15" s="693">
        <v>11500</v>
      </c>
      <c r="T15" s="694">
        <v>11476</v>
      </c>
    </row>
  </sheetData>
  <sheetProtection algorithmName="SHA-512" hashValue="dqg15J6QgxawWDhQ9loO8VXGhTjJeQuYR/M3wcAX2yhEqjDla0XAjdqTq4TSZiq9jcr8oSdCzczzAIH1IsPnog==" saltValue="1HLQP/WpY/RdB4xBGLfD5g==" spinCount="100000" sheet="1" objects="1" scenarios="1"/>
  <mergeCells count="2">
    <mergeCell ref="B2:C2"/>
    <mergeCell ref="B5:C5"/>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065EC-850C-456F-826A-4F0AD9BF3846}">
  <dimension ref="A1:AD50"/>
  <sheetViews>
    <sheetView showGridLines="0" zoomScale="70" zoomScaleNormal="70" zoomScaleSheetLayoutView="100" workbookViewId="0">
      <pane ySplit="4" topLeftCell="A5" activePane="bottomLeft" state="frozen"/>
      <selection activeCell="H16" sqref="H16"/>
      <selection pane="bottomLeft" activeCell="K17" sqref="K17"/>
    </sheetView>
  </sheetViews>
  <sheetFormatPr defaultColWidth="8.75" defaultRowHeight="18.75"/>
  <cols>
    <col min="1" max="1" width="1.75" style="468" customWidth="1"/>
    <col min="2" max="3" width="3.625" style="468" customWidth="1"/>
    <col min="4" max="4" width="9.375" style="468" customWidth="1"/>
    <col min="5" max="5" width="15" style="1090" customWidth="1"/>
    <col min="6" max="8" width="9.375" style="500" customWidth="1"/>
    <col min="9" max="10" width="9.375" style="468" customWidth="1"/>
    <col min="11" max="11" width="5.375" style="468" customWidth="1"/>
    <col min="12" max="13" width="3.625" style="468" customWidth="1"/>
    <col min="14" max="14" width="9.375" style="468" customWidth="1"/>
    <col min="15" max="15" width="15" style="1090" customWidth="1"/>
    <col min="16" max="18" width="9.375" style="500" customWidth="1"/>
    <col min="19" max="20" width="9.375" style="468" customWidth="1"/>
    <col min="21" max="25" width="8.75" style="468"/>
    <col min="26" max="26" width="0" style="468" hidden="1" customWidth="1"/>
    <col min="27" max="30" width="8.75" style="468" hidden="1" customWidth="1"/>
    <col min="31" max="16384" width="8.75" style="468"/>
  </cols>
  <sheetData>
    <row r="1" spans="1:30" ht="9.75" customHeight="1">
      <c r="B1" s="500"/>
      <c r="C1" s="500"/>
    </row>
    <row r="2" spans="1:30">
      <c r="B2" s="1184" t="s">
        <v>439</v>
      </c>
      <c r="C2" s="1184"/>
      <c r="D2" s="1184" t="str">
        <f>IF(基本情報!C2="","",基本情報!C2)</f>
        <v/>
      </c>
      <c r="E2" s="1184"/>
      <c r="F2" s="1184"/>
      <c r="O2" s="1095"/>
      <c r="P2" s="468"/>
      <c r="Q2" s="468"/>
      <c r="R2" s="468"/>
      <c r="AA2" s="500" t="s">
        <v>449</v>
      </c>
      <c r="AB2" s="468" t="s">
        <v>206</v>
      </c>
      <c r="AC2" s="468" t="s">
        <v>450</v>
      </c>
      <c r="AD2" s="468" t="s">
        <v>443</v>
      </c>
    </row>
    <row r="3" spans="1:30" ht="8.4499999999999993" customHeight="1" thickBot="1"/>
    <row r="4" spans="1:30" ht="16.149999999999999" customHeight="1" thickBot="1">
      <c r="B4" s="1226" t="s">
        <v>512</v>
      </c>
      <c r="C4" s="1227"/>
      <c r="D4" s="1227"/>
      <c r="E4" s="1227"/>
      <c r="F4" s="1227"/>
      <c r="G4" s="1227"/>
      <c r="H4" s="1227"/>
      <c r="I4" s="1227"/>
      <c r="J4" s="1228"/>
      <c r="L4" s="1226" t="s">
        <v>513</v>
      </c>
      <c r="M4" s="1227"/>
      <c r="N4" s="1227"/>
      <c r="O4" s="1227"/>
      <c r="P4" s="1227"/>
      <c r="Q4" s="1227"/>
      <c r="R4" s="1227"/>
      <c r="S4" s="1227"/>
      <c r="T4" s="1228"/>
      <c r="AA4" s="500">
        <v>4</v>
      </c>
      <c r="AB4" s="468" t="s">
        <v>441</v>
      </c>
      <c r="AC4" s="468" t="s">
        <v>451</v>
      </c>
      <c r="AD4" s="468" t="s">
        <v>22</v>
      </c>
    </row>
    <row r="5" spans="1:30" ht="16.5" customHeight="1" thickBot="1">
      <c r="L5" s="501" t="s">
        <v>440</v>
      </c>
      <c r="AA5" s="500">
        <v>5</v>
      </c>
      <c r="AB5" s="468" t="s">
        <v>442</v>
      </c>
      <c r="AC5" s="468" t="s">
        <v>452</v>
      </c>
    </row>
    <row r="6" spans="1:30" s="17" customFormat="1" ht="15.6" customHeight="1">
      <c r="A6" s="502"/>
      <c r="B6" s="1221" t="s">
        <v>445</v>
      </c>
      <c r="C6" s="1215"/>
      <c r="D6" s="1219" t="s">
        <v>438</v>
      </c>
      <c r="E6" s="1237" t="s">
        <v>437</v>
      </c>
      <c r="F6" s="1235" t="s">
        <v>436</v>
      </c>
      <c r="G6" s="1219" t="s">
        <v>206</v>
      </c>
      <c r="H6" s="1219" t="s">
        <v>444</v>
      </c>
      <c r="I6" s="1217" t="s">
        <v>447</v>
      </c>
      <c r="J6" s="1239" t="s">
        <v>214</v>
      </c>
      <c r="L6" s="1221" t="s">
        <v>445</v>
      </c>
      <c r="M6" s="1215"/>
      <c r="N6" s="1219" t="s">
        <v>438</v>
      </c>
      <c r="O6" s="1237" t="s">
        <v>437</v>
      </c>
      <c r="P6" s="1235" t="s">
        <v>436</v>
      </c>
      <c r="Q6" s="1219" t="s">
        <v>206</v>
      </c>
      <c r="R6" s="1219" t="s">
        <v>444</v>
      </c>
      <c r="S6" s="1217" t="s">
        <v>447</v>
      </c>
      <c r="T6" s="1241" t="s">
        <v>218</v>
      </c>
      <c r="AA6" s="17">
        <v>6</v>
      </c>
      <c r="AB6" s="468" t="s">
        <v>342</v>
      </c>
    </row>
    <row r="7" spans="1:30" s="500" customFormat="1" ht="19.5" customHeight="1" thickBot="1">
      <c r="B7" s="1222"/>
      <c r="C7" s="1216"/>
      <c r="D7" s="1220"/>
      <c r="E7" s="1238"/>
      <c r="F7" s="1236"/>
      <c r="G7" s="1220"/>
      <c r="H7" s="1220"/>
      <c r="I7" s="1218"/>
      <c r="J7" s="1240"/>
      <c r="L7" s="1222"/>
      <c r="M7" s="1216"/>
      <c r="N7" s="1220"/>
      <c r="O7" s="1238"/>
      <c r="P7" s="1236"/>
      <c r="Q7" s="1220"/>
      <c r="R7" s="1220"/>
      <c r="S7" s="1218"/>
      <c r="T7" s="1242"/>
      <c r="AA7" s="17">
        <v>7</v>
      </c>
      <c r="AB7" s="468" t="s">
        <v>343</v>
      </c>
    </row>
    <row r="8" spans="1:30" ht="18.75" customHeight="1">
      <c r="B8" s="1222"/>
      <c r="C8" s="503">
        <v>1</v>
      </c>
      <c r="D8" s="277"/>
      <c r="E8" s="1091"/>
      <c r="F8" s="268"/>
      <c r="G8" s="271"/>
      <c r="H8" s="271"/>
      <c r="I8" s="271"/>
      <c r="J8" s="265"/>
      <c r="L8" s="1222"/>
      <c r="M8" s="503">
        <v>1</v>
      </c>
      <c r="N8" s="277"/>
      <c r="O8" s="1091"/>
      <c r="P8" s="268"/>
      <c r="Q8" s="271"/>
      <c r="R8" s="271"/>
      <c r="S8" s="271"/>
      <c r="T8" s="265"/>
      <c r="AA8" s="17">
        <v>8</v>
      </c>
    </row>
    <row r="9" spans="1:30">
      <c r="B9" s="1222"/>
      <c r="C9" s="504">
        <v>2</v>
      </c>
      <c r="D9" s="278"/>
      <c r="E9" s="1092"/>
      <c r="F9" s="269"/>
      <c r="G9" s="272"/>
      <c r="H9" s="272"/>
      <c r="I9" s="272"/>
      <c r="J9" s="266"/>
      <c r="L9" s="1222"/>
      <c r="M9" s="504">
        <v>2</v>
      </c>
      <c r="N9" s="278"/>
      <c r="O9" s="1092"/>
      <c r="P9" s="269"/>
      <c r="Q9" s="272"/>
      <c r="R9" s="272"/>
      <c r="S9" s="272"/>
      <c r="T9" s="266"/>
      <c r="AA9" s="17">
        <v>9</v>
      </c>
    </row>
    <row r="10" spans="1:30">
      <c r="B10" s="1222"/>
      <c r="C10" s="504">
        <v>3</v>
      </c>
      <c r="D10" s="278"/>
      <c r="E10" s="1092"/>
      <c r="F10" s="269"/>
      <c r="G10" s="272"/>
      <c r="H10" s="272"/>
      <c r="I10" s="272"/>
      <c r="J10" s="266"/>
      <c r="L10" s="1222"/>
      <c r="M10" s="504">
        <v>3</v>
      </c>
      <c r="N10" s="278"/>
      <c r="O10" s="1092"/>
      <c r="P10" s="269"/>
      <c r="Q10" s="272"/>
      <c r="R10" s="272"/>
      <c r="S10" s="272"/>
      <c r="T10" s="266"/>
      <c r="AA10" s="17">
        <v>10</v>
      </c>
    </row>
    <row r="11" spans="1:30">
      <c r="B11" s="1222"/>
      <c r="C11" s="504">
        <v>4</v>
      </c>
      <c r="D11" s="278"/>
      <c r="E11" s="1092"/>
      <c r="F11" s="269"/>
      <c r="G11" s="272"/>
      <c r="H11" s="272"/>
      <c r="I11" s="272"/>
      <c r="J11" s="266"/>
      <c r="L11" s="1222"/>
      <c r="M11" s="504">
        <v>4</v>
      </c>
      <c r="N11" s="278"/>
      <c r="O11" s="1092"/>
      <c r="P11" s="269"/>
      <c r="Q11" s="272"/>
      <c r="R11" s="272"/>
      <c r="S11" s="272"/>
      <c r="T11" s="266"/>
      <c r="AA11" s="17">
        <v>11</v>
      </c>
    </row>
    <row r="12" spans="1:30">
      <c r="B12" s="1222"/>
      <c r="C12" s="504">
        <v>5</v>
      </c>
      <c r="D12" s="278"/>
      <c r="E12" s="1092"/>
      <c r="F12" s="269"/>
      <c r="G12" s="272"/>
      <c r="H12" s="272"/>
      <c r="I12" s="272"/>
      <c r="J12" s="266"/>
      <c r="L12" s="1222"/>
      <c r="M12" s="504">
        <v>5</v>
      </c>
      <c r="N12" s="278"/>
      <c r="O12" s="1092"/>
      <c r="P12" s="269"/>
      <c r="Q12" s="272"/>
      <c r="R12" s="272"/>
      <c r="S12" s="272"/>
      <c r="T12" s="266"/>
      <c r="AA12" s="17">
        <v>12</v>
      </c>
    </row>
    <row r="13" spans="1:30">
      <c r="B13" s="1222"/>
      <c r="C13" s="504">
        <v>6</v>
      </c>
      <c r="D13" s="278"/>
      <c r="E13" s="1092"/>
      <c r="F13" s="269"/>
      <c r="G13" s="272"/>
      <c r="H13" s="272"/>
      <c r="I13" s="272"/>
      <c r="J13" s="266"/>
      <c r="L13" s="1222"/>
      <c r="M13" s="504">
        <v>6</v>
      </c>
      <c r="N13" s="278"/>
      <c r="O13" s="1092"/>
      <c r="P13" s="269"/>
      <c r="Q13" s="272"/>
      <c r="R13" s="272"/>
      <c r="S13" s="272"/>
      <c r="T13" s="266"/>
      <c r="AA13" s="17">
        <v>1</v>
      </c>
    </row>
    <row r="14" spans="1:30">
      <c r="B14" s="1222"/>
      <c r="C14" s="504">
        <v>7</v>
      </c>
      <c r="D14" s="278"/>
      <c r="E14" s="1092"/>
      <c r="F14" s="269"/>
      <c r="G14" s="272"/>
      <c r="H14" s="272"/>
      <c r="I14" s="272"/>
      <c r="J14" s="266"/>
      <c r="L14" s="1222"/>
      <c r="M14" s="504">
        <v>7</v>
      </c>
      <c r="N14" s="278"/>
      <c r="O14" s="1092"/>
      <c r="P14" s="269"/>
      <c r="Q14" s="272"/>
      <c r="R14" s="272"/>
      <c r="S14" s="272"/>
      <c r="T14" s="266"/>
      <c r="AA14" s="17">
        <v>2</v>
      </c>
    </row>
    <row r="15" spans="1:30">
      <c r="B15" s="1222"/>
      <c r="C15" s="504">
        <v>8</v>
      </c>
      <c r="D15" s="278"/>
      <c r="E15" s="1092"/>
      <c r="F15" s="269"/>
      <c r="G15" s="272"/>
      <c r="H15" s="272"/>
      <c r="I15" s="272"/>
      <c r="J15" s="266"/>
      <c r="L15" s="1222"/>
      <c r="M15" s="504">
        <v>8</v>
      </c>
      <c r="N15" s="278"/>
      <c r="O15" s="1092"/>
      <c r="P15" s="269"/>
      <c r="Q15" s="272"/>
      <c r="R15" s="272"/>
      <c r="S15" s="272"/>
      <c r="T15" s="266"/>
      <c r="AA15" s="500">
        <v>3</v>
      </c>
    </row>
    <row r="16" spans="1:30">
      <c r="B16" s="1222"/>
      <c r="C16" s="504">
        <v>9</v>
      </c>
      <c r="D16" s="278"/>
      <c r="E16" s="1092"/>
      <c r="F16" s="269"/>
      <c r="G16" s="272"/>
      <c r="H16" s="272"/>
      <c r="I16" s="272"/>
      <c r="J16" s="266"/>
      <c r="L16" s="1222"/>
      <c r="M16" s="504">
        <v>9</v>
      </c>
      <c r="N16" s="278"/>
      <c r="O16" s="1092"/>
      <c r="P16" s="269"/>
      <c r="Q16" s="272"/>
      <c r="R16" s="272"/>
      <c r="S16" s="272"/>
      <c r="T16" s="266"/>
    </row>
    <row r="17" spans="2:20">
      <c r="B17" s="1222"/>
      <c r="C17" s="504">
        <v>10</v>
      </c>
      <c r="D17" s="278"/>
      <c r="E17" s="1092"/>
      <c r="F17" s="269"/>
      <c r="G17" s="272"/>
      <c r="H17" s="272"/>
      <c r="I17" s="272"/>
      <c r="J17" s="266"/>
      <c r="L17" s="1222"/>
      <c r="M17" s="504">
        <v>10</v>
      </c>
      <c r="N17" s="278"/>
      <c r="O17" s="1092"/>
      <c r="P17" s="269"/>
      <c r="Q17" s="272"/>
      <c r="R17" s="272"/>
      <c r="S17" s="272"/>
      <c r="T17" s="266"/>
    </row>
    <row r="18" spans="2:20">
      <c r="B18" s="1222"/>
      <c r="C18" s="504">
        <v>11</v>
      </c>
      <c r="D18" s="278"/>
      <c r="E18" s="1092"/>
      <c r="F18" s="269"/>
      <c r="G18" s="272"/>
      <c r="H18" s="272"/>
      <c r="I18" s="272"/>
      <c r="J18" s="266"/>
      <c r="L18" s="1222"/>
      <c r="M18" s="504">
        <v>11</v>
      </c>
      <c r="N18" s="278"/>
      <c r="O18" s="1092"/>
      <c r="P18" s="269"/>
      <c r="Q18" s="272"/>
      <c r="R18" s="272"/>
      <c r="S18" s="272"/>
      <c r="T18" s="266"/>
    </row>
    <row r="19" spans="2:20">
      <c r="B19" s="1222"/>
      <c r="C19" s="504">
        <v>12</v>
      </c>
      <c r="D19" s="278"/>
      <c r="E19" s="1092"/>
      <c r="F19" s="269"/>
      <c r="G19" s="272"/>
      <c r="H19" s="272"/>
      <c r="I19" s="272"/>
      <c r="J19" s="266"/>
      <c r="L19" s="1222"/>
      <c r="M19" s="504">
        <v>12</v>
      </c>
      <c r="N19" s="278"/>
      <c r="O19" s="1092"/>
      <c r="P19" s="269"/>
      <c r="Q19" s="272"/>
      <c r="R19" s="272"/>
      <c r="S19" s="272"/>
      <c r="T19" s="266"/>
    </row>
    <row r="20" spans="2:20">
      <c r="B20" s="1222"/>
      <c r="C20" s="504">
        <v>13</v>
      </c>
      <c r="D20" s="278"/>
      <c r="E20" s="1092"/>
      <c r="F20" s="269"/>
      <c r="G20" s="272"/>
      <c r="H20" s="272"/>
      <c r="I20" s="272"/>
      <c r="J20" s="266"/>
      <c r="L20" s="1222"/>
      <c r="M20" s="504">
        <v>13</v>
      </c>
      <c r="N20" s="278"/>
      <c r="O20" s="1092"/>
      <c r="P20" s="269"/>
      <c r="Q20" s="272"/>
      <c r="R20" s="272"/>
      <c r="S20" s="272"/>
      <c r="T20" s="266"/>
    </row>
    <row r="21" spans="2:20">
      <c r="B21" s="1222"/>
      <c r="C21" s="504">
        <v>14</v>
      </c>
      <c r="D21" s="278"/>
      <c r="E21" s="1092"/>
      <c r="F21" s="269"/>
      <c r="G21" s="272"/>
      <c r="H21" s="272"/>
      <c r="I21" s="272"/>
      <c r="J21" s="266"/>
      <c r="L21" s="1222"/>
      <c r="M21" s="504">
        <v>14</v>
      </c>
      <c r="N21" s="278"/>
      <c r="O21" s="1092"/>
      <c r="P21" s="269"/>
      <c r="Q21" s="272"/>
      <c r="R21" s="272"/>
      <c r="S21" s="272"/>
      <c r="T21" s="266"/>
    </row>
    <row r="22" spans="2:20">
      <c r="B22" s="1222"/>
      <c r="C22" s="504">
        <v>15</v>
      </c>
      <c r="D22" s="278"/>
      <c r="E22" s="1092"/>
      <c r="F22" s="269"/>
      <c r="G22" s="272"/>
      <c r="H22" s="272"/>
      <c r="I22" s="272"/>
      <c r="J22" s="266"/>
      <c r="L22" s="1222"/>
      <c r="M22" s="504">
        <v>15</v>
      </c>
      <c r="N22" s="278"/>
      <c r="O22" s="1092"/>
      <c r="P22" s="269"/>
      <c r="Q22" s="272"/>
      <c r="R22" s="272"/>
      <c r="S22" s="272"/>
      <c r="T22" s="266"/>
    </row>
    <row r="23" spans="2:20">
      <c r="B23" s="1222"/>
      <c r="C23" s="504">
        <v>16</v>
      </c>
      <c r="D23" s="278"/>
      <c r="E23" s="1092"/>
      <c r="F23" s="269"/>
      <c r="G23" s="272"/>
      <c r="H23" s="272"/>
      <c r="I23" s="272"/>
      <c r="J23" s="266"/>
      <c r="L23" s="1222"/>
      <c r="M23" s="504">
        <v>16</v>
      </c>
      <c r="N23" s="278"/>
      <c r="O23" s="1092"/>
      <c r="P23" s="269"/>
      <c r="Q23" s="272"/>
      <c r="R23" s="272"/>
      <c r="S23" s="272"/>
      <c r="T23" s="266"/>
    </row>
    <row r="24" spans="2:20">
      <c r="B24" s="1222"/>
      <c r="C24" s="504">
        <v>17</v>
      </c>
      <c r="D24" s="278"/>
      <c r="E24" s="1092"/>
      <c r="F24" s="269"/>
      <c r="G24" s="272"/>
      <c r="H24" s="272"/>
      <c r="I24" s="272"/>
      <c r="J24" s="266"/>
      <c r="L24" s="1222"/>
      <c r="M24" s="504">
        <v>17</v>
      </c>
      <c r="N24" s="278"/>
      <c r="O24" s="1092"/>
      <c r="P24" s="269"/>
      <c r="Q24" s="272"/>
      <c r="R24" s="272"/>
      <c r="S24" s="272"/>
      <c r="T24" s="266"/>
    </row>
    <row r="25" spans="2:20">
      <c r="B25" s="1222"/>
      <c r="C25" s="504">
        <v>18</v>
      </c>
      <c r="D25" s="278"/>
      <c r="E25" s="1092"/>
      <c r="F25" s="269"/>
      <c r="G25" s="272"/>
      <c r="H25" s="272"/>
      <c r="I25" s="272"/>
      <c r="J25" s="266"/>
      <c r="L25" s="1222"/>
      <c r="M25" s="504">
        <v>18</v>
      </c>
      <c r="N25" s="278"/>
      <c r="O25" s="1092"/>
      <c r="P25" s="269"/>
      <c r="Q25" s="272"/>
      <c r="R25" s="272"/>
      <c r="S25" s="272"/>
      <c r="T25" s="266"/>
    </row>
    <row r="26" spans="2:20">
      <c r="B26" s="1222"/>
      <c r="C26" s="504">
        <v>19</v>
      </c>
      <c r="D26" s="278"/>
      <c r="E26" s="1092"/>
      <c r="F26" s="269"/>
      <c r="G26" s="272"/>
      <c r="H26" s="272"/>
      <c r="I26" s="272"/>
      <c r="J26" s="266"/>
      <c r="L26" s="1222"/>
      <c r="M26" s="504">
        <v>19</v>
      </c>
      <c r="N26" s="278"/>
      <c r="O26" s="1092"/>
      <c r="P26" s="269"/>
      <c r="Q26" s="272"/>
      <c r="R26" s="272"/>
      <c r="S26" s="272"/>
      <c r="T26" s="266"/>
    </row>
    <row r="27" spans="2:20" ht="19.5" thickBot="1">
      <c r="B27" s="1223"/>
      <c r="C27" s="505">
        <v>20</v>
      </c>
      <c r="D27" s="279"/>
      <c r="E27" s="1093"/>
      <c r="F27" s="270"/>
      <c r="G27" s="273"/>
      <c r="H27" s="273"/>
      <c r="I27" s="273"/>
      <c r="J27" s="267"/>
      <c r="L27" s="1223"/>
      <c r="M27" s="505">
        <v>20</v>
      </c>
      <c r="N27" s="279"/>
      <c r="O27" s="1093"/>
      <c r="P27" s="270"/>
      <c r="Q27" s="273"/>
      <c r="R27" s="273"/>
      <c r="S27" s="273"/>
      <c r="T27" s="267"/>
    </row>
    <row r="28" spans="2:20" ht="19.5" thickBot="1">
      <c r="D28" s="500"/>
      <c r="F28" s="468"/>
      <c r="J28" s="500"/>
      <c r="N28" s="500"/>
      <c r="P28" s="468"/>
      <c r="T28" s="500"/>
    </row>
    <row r="29" spans="2:20" ht="18.75" customHeight="1">
      <c r="B29" s="1221" t="s">
        <v>446</v>
      </c>
      <c r="C29" s="1215"/>
      <c r="D29" s="1224" t="s">
        <v>438</v>
      </c>
      <c r="E29" s="1231" t="s">
        <v>437</v>
      </c>
      <c r="F29" s="1229" t="s">
        <v>436</v>
      </c>
      <c r="G29" s="1224" t="s">
        <v>206</v>
      </c>
      <c r="H29" s="1219" t="s">
        <v>444</v>
      </c>
      <c r="I29" s="1217" t="s">
        <v>447</v>
      </c>
      <c r="J29" s="1233" t="s">
        <v>214</v>
      </c>
      <c r="L29" s="1221" t="s">
        <v>446</v>
      </c>
      <c r="M29" s="1215"/>
      <c r="N29" s="1224" t="s">
        <v>438</v>
      </c>
      <c r="O29" s="1231" t="s">
        <v>437</v>
      </c>
      <c r="P29" s="1229" t="s">
        <v>436</v>
      </c>
      <c r="Q29" s="1224" t="s">
        <v>206</v>
      </c>
      <c r="R29" s="1219" t="s">
        <v>444</v>
      </c>
      <c r="S29" s="1217" t="s">
        <v>447</v>
      </c>
      <c r="T29" s="1233" t="s">
        <v>214</v>
      </c>
    </row>
    <row r="30" spans="2:20" ht="19.5" customHeight="1" thickBot="1">
      <c r="B30" s="1222"/>
      <c r="C30" s="1216"/>
      <c r="D30" s="1225"/>
      <c r="E30" s="1232"/>
      <c r="F30" s="1230"/>
      <c r="G30" s="1225"/>
      <c r="H30" s="1220"/>
      <c r="I30" s="1218"/>
      <c r="J30" s="1234"/>
      <c r="L30" s="1222"/>
      <c r="M30" s="1216"/>
      <c r="N30" s="1225"/>
      <c r="O30" s="1232"/>
      <c r="P30" s="1230"/>
      <c r="Q30" s="1225"/>
      <c r="R30" s="1220"/>
      <c r="S30" s="1218"/>
      <c r="T30" s="1234"/>
    </row>
    <row r="31" spans="2:20" ht="18.75" customHeight="1">
      <c r="B31" s="1222"/>
      <c r="C31" s="503">
        <v>1</v>
      </c>
      <c r="D31" s="277"/>
      <c r="E31" s="1091"/>
      <c r="F31" s="268"/>
      <c r="G31" s="271"/>
      <c r="H31" s="271"/>
      <c r="I31" s="271"/>
      <c r="J31" s="265"/>
      <c r="L31" s="1222"/>
      <c r="M31" s="503">
        <v>1</v>
      </c>
      <c r="N31" s="277"/>
      <c r="O31" s="1091"/>
      <c r="P31" s="268"/>
      <c r="Q31" s="271"/>
      <c r="R31" s="271"/>
      <c r="S31" s="271"/>
      <c r="T31" s="265"/>
    </row>
    <row r="32" spans="2:20">
      <c r="B32" s="1222"/>
      <c r="C32" s="504">
        <v>2</v>
      </c>
      <c r="D32" s="278"/>
      <c r="E32" s="1092"/>
      <c r="F32" s="269"/>
      <c r="G32" s="272"/>
      <c r="H32" s="272"/>
      <c r="I32" s="272"/>
      <c r="J32" s="266"/>
      <c r="L32" s="1222"/>
      <c r="M32" s="504">
        <v>2</v>
      </c>
      <c r="N32" s="278"/>
      <c r="O32" s="1092"/>
      <c r="P32" s="269"/>
      <c r="Q32" s="272"/>
      <c r="R32" s="272"/>
      <c r="S32" s="272"/>
      <c r="T32" s="266"/>
    </row>
    <row r="33" spans="2:20">
      <c r="B33" s="1222"/>
      <c r="C33" s="504">
        <v>3</v>
      </c>
      <c r="D33" s="278"/>
      <c r="E33" s="1092"/>
      <c r="F33" s="269"/>
      <c r="G33" s="272"/>
      <c r="H33" s="272"/>
      <c r="I33" s="272"/>
      <c r="J33" s="266"/>
      <c r="L33" s="1222"/>
      <c r="M33" s="504">
        <v>3</v>
      </c>
      <c r="N33" s="278"/>
      <c r="O33" s="1092"/>
      <c r="P33" s="269"/>
      <c r="Q33" s="272"/>
      <c r="R33" s="272"/>
      <c r="S33" s="272"/>
      <c r="T33" s="266"/>
    </row>
    <row r="34" spans="2:20">
      <c r="B34" s="1222"/>
      <c r="C34" s="504">
        <v>4</v>
      </c>
      <c r="D34" s="278"/>
      <c r="E34" s="1092"/>
      <c r="F34" s="269"/>
      <c r="G34" s="272"/>
      <c r="H34" s="272"/>
      <c r="I34" s="272"/>
      <c r="J34" s="266"/>
      <c r="L34" s="1222"/>
      <c r="M34" s="504">
        <v>4</v>
      </c>
      <c r="N34" s="278"/>
      <c r="O34" s="1092"/>
      <c r="P34" s="269"/>
      <c r="Q34" s="272"/>
      <c r="R34" s="272"/>
      <c r="S34" s="272"/>
      <c r="T34" s="266"/>
    </row>
    <row r="35" spans="2:20">
      <c r="B35" s="1222"/>
      <c r="C35" s="504">
        <v>5</v>
      </c>
      <c r="D35" s="278"/>
      <c r="E35" s="1092"/>
      <c r="F35" s="269"/>
      <c r="G35" s="272"/>
      <c r="H35" s="272"/>
      <c r="I35" s="272"/>
      <c r="J35" s="266"/>
      <c r="L35" s="1222"/>
      <c r="M35" s="504">
        <v>5</v>
      </c>
      <c r="N35" s="278"/>
      <c r="O35" s="1092"/>
      <c r="P35" s="269"/>
      <c r="Q35" s="272"/>
      <c r="R35" s="272"/>
      <c r="S35" s="272"/>
      <c r="T35" s="266"/>
    </row>
    <row r="36" spans="2:20">
      <c r="B36" s="1222"/>
      <c r="C36" s="504">
        <v>6</v>
      </c>
      <c r="D36" s="278"/>
      <c r="E36" s="1092"/>
      <c r="F36" s="269"/>
      <c r="G36" s="272"/>
      <c r="H36" s="272"/>
      <c r="I36" s="272"/>
      <c r="J36" s="266"/>
      <c r="L36" s="1222"/>
      <c r="M36" s="504">
        <v>6</v>
      </c>
      <c r="N36" s="278"/>
      <c r="O36" s="1092"/>
      <c r="P36" s="269"/>
      <c r="Q36" s="272"/>
      <c r="R36" s="272"/>
      <c r="S36" s="272"/>
      <c r="T36" s="266"/>
    </row>
    <row r="37" spans="2:20">
      <c r="B37" s="1222"/>
      <c r="C37" s="504">
        <v>7</v>
      </c>
      <c r="D37" s="278"/>
      <c r="E37" s="1092"/>
      <c r="F37" s="269"/>
      <c r="G37" s="272"/>
      <c r="H37" s="272"/>
      <c r="I37" s="272"/>
      <c r="J37" s="266"/>
      <c r="L37" s="1222"/>
      <c r="M37" s="504">
        <v>7</v>
      </c>
      <c r="N37" s="278"/>
      <c r="O37" s="1092"/>
      <c r="P37" s="269"/>
      <c r="Q37" s="272"/>
      <c r="R37" s="272"/>
      <c r="S37" s="272"/>
      <c r="T37" s="266"/>
    </row>
    <row r="38" spans="2:20">
      <c r="B38" s="1222"/>
      <c r="C38" s="504">
        <v>8</v>
      </c>
      <c r="D38" s="278"/>
      <c r="E38" s="1092"/>
      <c r="F38" s="269"/>
      <c r="G38" s="272"/>
      <c r="H38" s="272"/>
      <c r="I38" s="272"/>
      <c r="J38" s="266"/>
      <c r="L38" s="1222"/>
      <c r="M38" s="504">
        <v>8</v>
      </c>
      <c r="N38" s="278"/>
      <c r="O38" s="1092"/>
      <c r="P38" s="269"/>
      <c r="Q38" s="272"/>
      <c r="R38" s="272"/>
      <c r="S38" s="272"/>
      <c r="T38" s="266"/>
    </row>
    <row r="39" spans="2:20">
      <c r="B39" s="1222"/>
      <c r="C39" s="504">
        <v>9</v>
      </c>
      <c r="D39" s="278"/>
      <c r="E39" s="1092"/>
      <c r="F39" s="269"/>
      <c r="G39" s="272"/>
      <c r="H39" s="272"/>
      <c r="I39" s="272"/>
      <c r="J39" s="266"/>
      <c r="L39" s="1222"/>
      <c r="M39" s="504">
        <v>9</v>
      </c>
      <c r="N39" s="278"/>
      <c r="O39" s="1092"/>
      <c r="P39" s="269"/>
      <c r="Q39" s="272"/>
      <c r="R39" s="272"/>
      <c r="S39" s="272"/>
      <c r="T39" s="266"/>
    </row>
    <row r="40" spans="2:20">
      <c r="B40" s="1222"/>
      <c r="C40" s="504">
        <v>10</v>
      </c>
      <c r="D40" s="278"/>
      <c r="E40" s="1092"/>
      <c r="F40" s="269"/>
      <c r="G40" s="272"/>
      <c r="H40" s="272"/>
      <c r="I40" s="272"/>
      <c r="J40" s="266"/>
      <c r="L40" s="1222"/>
      <c r="M40" s="504">
        <v>10</v>
      </c>
      <c r="N40" s="278"/>
      <c r="O40" s="1092"/>
      <c r="P40" s="269"/>
      <c r="Q40" s="272"/>
      <c r="R40" s="272"/>
      <c r="S40" s="272"/>
      <c r="T40" s="266"/>
    </row>
    <row r="41" spans="2:20">
      <c r="B41" s="1222"/>
      <c r="C41" s="504">
        <v>11</v>
      </c>
      <c r="D41" s="278"/>
      <c r="E41" s="1092"/>
      <c r="F41" s="269"/>
      <c r="G41" s="272"/>
      <c r="H41" s="272"/>
      <c r="I41" s="272"/>
      <c r="J41" s="266"/>
      <c r="L41" s="1222"/>
      <c r="M41" s="504">
        <v>11</v>
      </c>
      <c r="N41" s="278"/>
      <c r="O41" s="1092"/>
      <c r="P41" s="269"/>
      <c r="Q41" s="272"/>
      <c r="R41" s="272"/>
      <c r="S41" s="272"/>
      <c r="T41" s="266"/>
    </row>
    <row r="42" spans="2:20">
      <c r="B42" s="1222"/>
      <c r="C42" s="504">
        <v>12</v>
      </c>
      <c r="D42" s="278"/>
      <c r="E42" s="1092"/>
      <c r="F42" s="269"/>
      <c r="G42" s="272"/>
      <c r="H42" s="272"/>
      <c r="I42" s="272"/>
      <c r="J42" s="266"/>
      <c r="L42" s="1222"/>
      <c r="M42" s="504">
        <v>12</v>
      </c>
      <c r="N42" s="278"/>
      <c r="O42" s="1092"/>
      <c r="P42" s="269"/>
      <c r="Q42" s="272"/>
      <c r="R42" s="272"/>
      <c r="S42" s="272"/>
      <c r="T42" s="266"/>
    </row>
    <row r="43" spans="2:20">
      <c r="B43" s="1222"/>
      <c r="C43" s="504">
        <v>13</v>
      </c>
      <c r="D43" s="278"/>
      <c r="E43" s="1092"/>
      <c r="F43" s="269"/>
      <c r="G43" s="272"/>
      <c r="H43" s="272"/>
      <c r="I43" s="272"/>
      <c r="J43" s="266"/>
      <c r="L43" s="1222"/>
      <c r="M43" s="504">
        <v>13</v>
      </c>
      <c r="N43" s="278"/>
      <c r="O43" s="1092"/>
      <c r="P43" s="269"/>
      <c r="Q43" s="272"/>
      <c r="R43" s="272"/>
      <c r="S43" s="272"/>
      <c r="T43" s="266"/>
    </row>
    <row r="44" spans="2:20">
      <c r="B44" s="1222"/>
      <c r="C44" s="504">
        <v>14</v>
      </c>
      <c r="D44" s="278"/>
      <c r="E44" s="1092"/>
      <c r="F44" s="269"/>
      <c r="G44" s="272"/>
      <c r="H44" s="272"/>
      <c r="I44" s="272"/>
      <c r="J44" s="266"/>
      <c r="L44" s="1222"/>
      <c r="M44" s="504">
        <v>14</v>
      </c>
      <c r="N44" s="278"/>
      <c r="O44" s="1092"/>
      <c r="P44" s="269"/>
      <c r="Q44" s="272"/>
      <c r="R44" s="272"/>
      <c r="S44" s="272"/>
      <c r="T44" s="266"/>
    </row>
    <row r="45" spans="2:20">
      <c r="B45" s="1222"/>
      <c r="C45" s="504">
        <v>15</v>
      </c>
      <c r="D45" s="278"/>
      <c r="E45" s="1092"/>
      <c r="F45" s="269"/>
      <c r="G45" s="272"/>
      <c r="H45" s="272"/>
      <c r="I45" s="275"/>
      <c r="J45" s="276"/>
      <c r="L45" s="1222"/>
      <c r="M45" s="504">
        <v>15</v>
      </c>
      <c r="N45" s="278"/>
      <c r="O45" s="1094"/>
      <c r="P45" s="274"/>
      <c r="Q45" s="275"/>
      <c r="R45" s="275"/>
      <c r="S45" s="275"/>
      <c r="T45" s="276"/>
    </row>
    <row r="46" spans="2:20">
      <c r="B46" s="1222"/>
      <c r="C46" s="504">
        <v>16</v>
      </c>
      <c r="D46" s="278"/>
      <c r="E46" s="1092"/>
      <c r="F46" s="269"/>
      <c r="G46" s="272"/>
      <c r="H46" s="272"/>
      <c r="I46" s="275"/>
      <c r="J46" s="276"/>
      <c r="L46" s="1222"/>
      <c r="M46" s="504">
        <v>16</v>
      </c>
      <c r="N46" s="278"/>
      <c r="O46" s="1094"/>
      <c r="P46" s="274"/>
      <c r="Q46" s="275"/>
      <c r="R46" s="275"/>
      <c r="S46" s="275"/>
      <c r="T46" s="276"/>
    </row>
    <row r="47" spans="2:20">
      <c r="B47" s="1222"/>
      <c r="C47" s="504">
        <v>17</v>
      </c>
      <c r="D47" s="278"/>
      <c r="E47" s="1092"/>
      <c r="F47" s="274"/>
      <c r="G47" s="275"/>
      <c r="H47" s="275"/>
      <c r="I47" s="275"/>
      <c r="J47" s="276"/>
      <c r="L47" s="1222"/>
      <c r="M47" s="504">
        <v>17</v>
      </c>
      <c r="N47" s="278"/>
      <c r="O47" s="1094"/>
      <c r="P47" s="274"/>
      <c r="Q47" s="275"/>
      <c r="R47" s="275"/>
      <c r="S47" s="275"/>
      <c r="T47" s="276"/>
    </row>
    <row r="48" spans="2:20">
      <c r="B48" s="1222"/>
      <c r="C48" s="504">
        <v>18</v>
      </c>
      <c r="D48" s="278"/>
      <c r="E48" s="1092"/>
      <c r="F48" s="274"/>
      <c r="G48" s="275"/>
      <c r="H48" s="275"/>
      <c r="I48" s="275"/>
      <c r="J48" s="276"/>
      <c r="L48" s="1222"/>
      <c r="M48" s="504">
        <v>18</v>
      </c>
      <c r="N48" s="278"/>
      <c r="O48" s="1094"/>
      <c r="P48" s="274"/>
      <c r="Q48" s="275"/>
      <c r="R48" s="275"/>
      <c r="S48" s="275"/>
      <c r="T48" s="276"/>
    </row>
    <row r="49" spans="2:20">
      <c r="B49" s="1222"/>
      <c r="C49" s="504">
        <v>19</v>
      </c>
      <c r="D49" s="278"/>
      <c r="E49" s="1094"/>
      <c r="F49" s="274"/>
      <c r="G49" s="275"/>
      <c r="H49" s="275"/>
      <c r="I49" s="275"/>
      <c r="J49" s="276"/>
      <c r="L49" s="1222"/>
      <c r="M49" s="504">
        <v>19</v>
      </c>
      <c r="N49" s="278"/>
      <c r="O49" s="1094"/>
      <c r="P49" s="274"/>
      <c r="Q49" s="275"/>
      <c r="R49" s="275"/>
      <c r="S49" s="275"/>
      <c r="T49" s="276"/>
    </row>
    <row r="50" spans="2:20" ht="19.5" thickBot="1">
      <c r="B50" s="1223"/>
      <c r="C50" s="505">
        <v>20</v>
      </c>
      <c r="D50" s="279"/>
      <c r="E50" s="1093"/>
      <c r="F50" s="270"/>
      <c r="G50" s="273"/>
      <c r="H50" s="273"/>
      <c r="I50" s="273"/>
      <c r="J50" s="267"/>
      <c r="L50" s="1223"/>
      <c r="M50" s="505">
        <v>20</v>
      </c>
      <c r="N50" s="279"/>
      <c r="O50" s="1093"/>
      <c r="P50" s="270"/>
      <c r="Q50" s="273"/>
      <c r="R50" s="273"/>
      <c r="S50" s="273"/>
      <c r="T50" s="267"/>
    </row>
  </sheetData>
  <sheetProtection algorithmName="SHA-512" hashValue="Qcr9k23THJiL1y9gYFov7TCRCB8Dh5kBkymsh1P+Rtb94nxwnfFx+PfoYKYHpF/H5h9QV7n33YEbZcMe51XpSA==" saltValue="79rDb4GUoTCxO8dE67X2QA==" spinCount="100000" sheet="1" objects="1" scenarios="1"/>
  <mergeCells count="40">
    <mergeCell ref="Q29:Q30"/>
    <mergeCell ref="R29:R30"/>
    <mergeCell ref="S29:S30"/>
    <mergeCell ref="T29:T30"/>
    <mergeCell ref="L6:L27"/>
    <mergeCell ref="M6:M7"/>
    <mergeCell ref="N6:N7"/>
    <mergeCell ref="O6:O7"/>
    <mergeCell ref="L29:L50"/>
    <mergeCell ref="M29:M30"/>
    <mergeCell ref="N29:N30"/>
    <mergeCell ref="O29:O30"/>
    <mergeCell ref="P29:P30"/>
    <mergeCell ref="L4:T4"/>
    <mergeCell ref="J6:J7"/>
    <mergeCell ref="I6:I7"/>
    <mergeCell ref="R6:R7"/>
    <mergeCell ref="S6:S7"/>
    <mergeCell ref="T6:T7"/>
    <mergeCell ref="F6:F7"/>
    <mergeCell ref="E6:E7"/>
    <mergeCell ref="G6:G7"/>
    <mergeCell ref="P6:P7"/>
    <mergeCell ref="Q6:Q7"/>
    <mergeCell ref="C29:C30"/>
    <mergeCell ref="I29:I30"/>
    <mergeCell ref="B2:C2"/>
    <mergeCell ref="D2:F2"/>
    <mergeCell ref="H6:H7"/>
    <mergeCell ref="H29:H30"/>
    <mergeCell ref="B6:B27"/>
    <mergeCell ref="C6:C7"/>
    <mergeCell ref="B29:B50"/>
    <mergeCell ref="D29:D30"/>
    <mergeCell ref="D6:D7"/>
    <mergeCell ref="B4:J4"/>
    <mergeCell ref="F29:F30"/>
    <mergeCell ref="E29:E30"/>
    <mergeCell ref="G29:G30"/>
    <mergeCell ref="J29:J30"/>
  </mergeCells>
  <phoneticPr fontId="2"/>
  <dataValidations count="5">
    <dataValidation type="whole" allowBlank="1" showInputMessage="1" showErrorMessage="1" sqref="J8:J27 T31:T50 T8:T27 J31:J50" xr:uid="{FE634D18-893F-4402-AF35-9E4CC3106F16}">
      <formula1>1</formula1>
      <formula2>24</formula2>
    </dataValidation>
    <dataValidation type="list" allowBlank="1" showInputMessage="1" showErrorMessage="1" sqref="D8:D27 N31:N50 N8:N27 D31:D50" xr:uid="{D8E0DCE3-B571-4B57-BDD2-208BFD02D2F5}">
      <formula1>$AA$3:$AA$15</formula1>
    </dataValidation>
    <dataValidation type="list" allowBlank="1" showInputMessage="1" showErrorMessage="1" sqref="I8:I27 S8:S27 S31:S50 I31:I50" xr:uid="{EA9377DB-574E-4D25-B90B-20C850D5FB9D}">
      <formula1>$AD$3:$AD$4</formula1>
    </dataValidation>
    <dataValidation type="list" allowBlank="1" showInputMessage="1" showErrorMessage="1" sqref="Q31:Q50 G8:G27 Q8:Q27 G31:G50" xr:uid="{D6DB737E-A13C-4807-8A9F-79FC4E849A64}">
      <formula1>$AB$3:$AB$7</formula1>
    </dataValidation>
    <dataValidation type="list" allowBlank="1" showInputMessage="1" showErrorMessage="1" sqref="H8:H27 R8:R27 R31:R50 H31:H50" xr:uid="{47FF13A7-E68B-4D95-AD47-B40BFFBFDE50}">
      <formula1>$AC$3:$AC$5</formula1>
    </dataValidation>
  </dataValidations>
  <printOptions headings="1"/>
  <pageMargins left="0.70866141732283472" right="0.70866141732283472" top="0.74803149606299213" bottom="0.74803149606299213" header="0.31496062992125984" footer="0.31496062992125984"/>
  <pageSetup paperSize="8" scale="74"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BF3F954-DBAE-4936-89F1-DA21D7C36894}">
          <x14:formula1>
            <xm:f>基本情報!$AM$16:$AM$21</xm:f>
          </x14:formula1>
          <xm:sqref>F8:F27 P31:P50 P8:P27 F31:F50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CF99E-261D-4B96-905C-EA314CBE2BF8}">
  <dimension ref="B1:AM33"/>
  <sheetViews>
    <sheetView zoomScale="85" zoomScaleNormal="85" zoomScaleSheetLayoutView="100" workbookViewId="0">
      <pane ySplit="2" topLeftCell="A3" activePane="bottomLeft" state="frozen"/>
      <selection activeCell="L12" sqref="L12"/>
      <selection pane="bottomLeft" activeCell="E5" sqref="E5"/>
    </sheetView>
  </sheetViews>
  <sheetFormatPr defaultColWidth="7.25" defaultRowHeight="16.5"/>
  <cols>
    <col min="1" max="1" width="0.75" style="13" customWidth="1"/>
    <col min="2" max="3" width="8.75" style="13" customWidth="1"/>
    <col min="4" max="4" width="10.625" style="13" customWidth="1"/>
    <col min="5" max="16" width="4.25" style="13" customWidth="1"/>
    <col min="17" max="17" width="4.25" style="35" customWidth="1"/>
    <col min="18" max="21" width="11.25" style="13" customWidth="1"/>
    <col min="22" max="22" width="1.625" style="35" hidden="1" customWidth="1"/>
    <col min="23" max="26" width="11.25" style="13" hidden="1" customWidth="1"/>
    <col min="27" max="27" width="15.375" style="13" customWidth="1"/>
    <col min="28" max="28" width="3.375" style="13" customWidth="1"/>
    <col min="29" max="32" width="6.5" style="80" hidden="1" customWidth="1"/>
    <col min="33" max="34" width="7.25" style="13" hidden="1" customWidth="1"/>
    <col min="35" max="35" width="7.25" style="13"/>
    <col min="36" max="36" width="10.625" style="17" customWidth="1"/>
    <col min="37" max="37" width="10.625" style="13" customWidth="1"/>
    <col min="38" max="39" width="10.625" style="17" customWidth="1"/>
    <col min="40" max="41" width="10.625" style="13" customWidth="1"/>
    <col min="42" max="16384" width="7.25" style="13"/>
  </cols>
  <sheetData>
    <row r="1" spans="2:39" ht="4.9000000000000004" customHeight="1"/>
    <row r="2" spans="2:39" ht="17.25" thickBot="1">
      <c r="B2" s="374" t="s">
        <v>39</v>
      </c>
      <c r="C2" s="1199" t="str">
        <f>IF(基本情報!C2="","",基本情報!C2)</f>
        <v/>
      </c>
      <c r="D2" s="1201"/>
      <c r="E2" s="1201"/>
      <c r="F2" s="1201"/>
      <c r="G2" s="1201"/>
      <c r="H2" s="494"/>
      <c r="I2" s="495"/>
      <c r="AC2" s="81" t="s">
        <v>82</v>
      </c>
      <c r="AD2" s="81" t="s">
        <v>97</v>
      </c>
      <c r="AE2" s="81" t="s">
        <v>100</v>
      </c>
      <c r="AF2" s="81" t="s">
        <v>201</v>
      </c>
      <c r="AG2" s="81" t="s">
        <v>61</v>
      </c>
      <c r="AH2" s="281" t="s">
        <v>454</v>
      </c>
      <c r="AJ2" s="13"/>
      <c r="AL2" s="13"/>
      <c r="AM2" s="13"/>
    </row>
    <row r="3" spans="2:39" ht="19.5" customHeight="1" thickBot="1">
      <c r="B3" s="32" t="s">
        <v>74</v>
      </c>
      <c r="D3" s="16"/>
      <c r="E3" s="16"/>
      <c r="F3" s="16"/>
      <c r="G3" s="16"/>
      <c r="H3" s="16"/>
      <c r="I3" s="16"/>
      <c r="J3" s="16"/>
      <c r="K3" s="16"/>
      <c r="L3" s="16"/>
      <c r="M3" s="16"/>
      <c r="N3" s="16"/>
      <c r="O3" s="16"/>
      <c r="P3" s="16"/>
      <c r="Q3" s="16"/>
      <c r="R3" s="1249" t="s">
        <v>612</v>
      </c>
      <c r="S3" s="1250"/>
      <c r="T3" s="1250"/>
      <c r="U3" s="1251"/>
      <c r="V3" s="16"/>
      <c r="W3" s="1249" t="s">
        <v>502</v>
      </c>
      <c r="X3" s="1250"/>
      <c r="Y3" s="1250"/>
      <c r="Z3" s="1251"/>
      <c r="AC3" s="81"/>
      <c r="AD3" s="81"/>
      <c r="AE3" s="81"/>
      <c r="AF3" s="81"/>
      <c r="AG3" s="81"/>
      <c r="AH3" s="14">
        <v>4500</v>
      </c>
      <c r="AJ3" s="13"/>
      <c r="AL3" s="13"/>
      <c r="AM3" s="13"/>
    </row>
    <row r="4" spans="2:39" s="17" customFormat="1" ht="18.600000000000001" customHeight="1">
      <c r="B4" s="1246"/>
      <c r="C4" s="1246"/>
      <c r="D4" s="1246"/>
      <c r="E4" s="914">
        <v>4</v>
      </c>
      <c r="F4" s="914">
        <v>5</v>
      </c>
      <c r="G4" s="914">
        <v>6</v>
      </c>
      <c r="H4" s="914">
        <v>7</v>
      </c>
      <c r="I4" s="914">
        <v>8</v>
      </c>
      <c r="J4" s="914">
        <v>9</v>
      </c>
      <c r="K4" s="914">
        <v>10</v>
      </c>
      <c r="L4" s="914">
        <v>11</v>
      </c>
      <c r="M4" s="914">
        <v>12</v>
      </c>
      <c r="N4" s="914">
        <v>1</v>
      </c>
      <c r="O4" s="914">
        <v>2</v>
      </c>
      <c r="P4" s="914">
        <v>3</v>
      </c>
      <c r="Q4" s="18"/>
      <c r="R4" s="377" t="s">
        <v>71</v>
      </c>
      <c r="S4" s="377" t="s">
        <v>72</v>
      </c>
      <c r="T4" s="377" t="s">
        <v>70</v>
      </c>
      <c r="U4" s="377" t="s">
        <v>167</v>
      </c>
      <c r="V4" s="18"/>
      <c r="W4" s="377" t="s">
        <v>71</v>
      </c>
      <c r="X4" s="377" t="s">
        <v>72</v>
      </c>
      <c r="Y4" s="377" t="s">
        <v>70</v>
      </c>
      <c r="Z4" s="377" t="s">
        <v>167</v>
      </c>
      <c r="AC4" s="81" t="s">
        <v>83</v>
      </c>
      <c r="AD4" s="81" t="s">
        <v>98</v>
      </c>
      <c r="AE4" s="81" t="s">
        <v>101</v>
      </c>
      <c r="AF4" s="81" t="s">
        <v>109</v>
      </c>
      <c r="AG4" s="81" t="s">
        <v>22</v>
      </c>
    </row>
    <row r="5" spans="2:39">
      <c r="B5" s="1245" t="s">
        <v>37</v>
      </c>
      <c r="C5" s="1245"/>
      <c r="D5" s="1248"/>
      <c r="E5" s="496"/>
      <c r="F5" s="496" t="str">
        <f>IF(E5="","",E5)</f>
        <v/>
      </c>
      <c r="G5" s="496" t="str">
        <f t="shared" ref="G5:P5" si="0">IF(F5="","",F5)</f>
        <v/>
      </c>
      <c r="H5" s="496" t="str">
        <f t="shared" si="0"/>
        <v/>
      </c>
      <c r="I5" s="496" t="str">
        <f t="shared" si="0"/>
        <v/>
      </c>
      <c r="J5" s="496" t="str">
        <f t="shared" si="0"/>
        <v/>
      </c>
      <c r="K5" s="496" t="str">
        <f t="shared" si="0"/>
        <v/>
      </c>
      <c r="L5" s="496" t="str">
        <f t="shared" si="0"/>
        <v/>
      </c>
      <c r="M5" s="496" t="str">
        <f t="shared" si="0"/>
        <v/>
      </c>
      <c r="N5" s="496" t="str">
        <f t="shared" si="0"/>
        <v/>
      </c>
      <c r="O5" s="496" t="str">
        <f t="shared" si="0"/>
        <v/>
      </c>
      <c r="P5" s="496" t="str">
        <f t="shared" si="0"/>
        <v/>
      </c>
      <c r="Q5" s="34"/>
      <c r="R5" s="252">
        <f>IFERROR(単価表!AV41,0)</f>
        <v>0</v>
      </c>
      <c r="S5" s="252">
        <f>IFERROR(単価表!AW41,0)</f>
        <v>0</v>
      </c>
      <c r="T5" s="36">
        <f>基本情報!$G$7</f>
        <v>0</v>
      </c>
      <c r="U5" s="36">
        <f>S5*T5</f>
        <v>0</v>
      </c>
      <c r="V5" s="34"/>
      <c r="W5" s="252">
        <f>R5</f>
        <v>0</v>
      </c>
      <c r="X5" s="252">
        <f>S5</f>
        <v>0</v>
      </c>
      <c r="Y5" s="36">
        <f>基本情報!$G$7</f>
        <v>0</v>
      </c>
      <c r="Z5" s="36">
        <f>X5*Y5</f>
        <v>0</v>
      </c>
      <c r="AC5" s="81" t="s">
        <v>84</v>
      </c>
      <c r="AD5" s="81" t="s">
        <v>99</v>
      </c>
      <c r="AE5" s="81" t="s">
        <v>102</v>
      </c>
      <c r="AF5" s="81" t="s">
        <v>110</v>
      </c>
      <c r="AG5" s="81"/>
      <c r="AJ5" s="13"/>
      <c r="AL5" s="13"/>
      <c r="AM5" s="13"/>
    </row>
    <row r="6" spans="2:39" ht="16.5" customHeight="1">
      <c r="B6" s="1243" t="s">
        <v>75</v>
      </c>
      <c r="C6" s="1244"/>
      <c r="D6" s="498"/>
      <c r="E6" s="497"/>
      <c r="F6" s="496" t="str">
        <f t="shared" ref="F6:P6" si="1">IF(E6="","",E6)</f>
        <v/>
      </c>
      <c r="G6" s="496" t="str">
        <f t="shared" si="1"/>
        <v/>
      </c>
      <c r="H6" s="496" t="str">
        <f t="shared" si="1"/>
        <v/>
      </c>
      <c r="I6" s="496" t="str">
        <f t="shared" si="1"/>
        <v/>
      </c>
      <c r="J6" s="496" t="str">
        <f t="shared" si="1"/>
        <v/>
      </c>
      <c r="K6" s="496" t="str">
        <f t="shared" si="1"/>
        <v/>
      </c>
      <c r="L6" s="496" t="str">
        <f t="shared" si="1"/>
        <v/>
      </c>
      <c r="M6" s="496" t="str">
        <f t="shared" si="1"/>
        <v/>
      </c>
      <c r="N6" s="496" t="str">
        <f t="shared" si="1"/>
        <v/>
      </c>
      <c r="O6" s="496" t="str">
        <f t="shared" si="1"/>
        <v/>
      </c>
      <c r="P6" s="496" t="str">
        <f t="shared" si="1"/>
        <v/>
      </c>
      <c r="Q6" s="34"/>
      <c r="R6" s="252">
        <f>IF(D6="",0,単価表!AX39)</f>
        <v>0</v>
      </c>
      <c r="S6" s="252">
        <f>IF(D6="",0,単価表!AY39)</f>
        <v>0</v>
      </c>
      <c r="T6" s="36">
        <f>基本情報!$G$7</f>
        <v>0</v>
      </c>
      <c r="U6" s="36">
        <f>S6*T6</f>
        <v>0</v>
      </c>
      <c r="V6" s="34"/>
      <c r="W6" s="252">
        <f>R6</f>
        <v>0</v>
      </c>
      <c r="X6" s="252">
        <f>S6</f>
        <v>0</v>
      </c>
      <c r="Y6" s="36">
        <f>基本情報!$G$7</f>
        <v>0</v>
      </c>
      <c r="Z6" s="36">
        <f>X6*Y6</f>
        <v>0</v>
      </c>
      <c r="AC6" s="81" t="s">
        <v>85</v>
      </c>
      <c r="AE6" s="81" t="s">
        <v>103</v>
      </c>
      <c r="AF6" s="81" t="s">
        <v>111</v>
      </c>
      <c r="AG6" s="81"/>
      <c r="AJ6" s="13"/>
      <c r="AL6" s="13"/>
      <c r="AM6" s="13"/>
    </row>
    <row r="7" spans="2:39">
      <c r="B7" s="1245" t="s">
        <v>68</v>
      </c>
      <c r="C7" s="1245"/>
      <c r="D7" s="1258"/>
      <c r="E7" s="496"/>
      <c r="F7" s="496" t="str">
        <f t="shared" ref="F7:P7" si="2">IF(E7="","",E7)</f>
        <v/>
      </c>
      <c r="G7" s="496" t="str">
        <f t="shared" si="2"/>
        <v/>
      </c>
      <c r="H7" s="496" t="str">
        <f t="shared" si="2"/>
        <v/>
      </c>
      <c r="I7" s="496" t="str">
        <f t="shared" si="2"/>
        <v/>
      </c>
      <c r="J7" s="496" t="str">
        <f t="shared" si="2"/>
        <v/>
      </c>
      <c r="K7" s="496" t="str">
        <f t="shared" si="2"/>
        <v/>
      </c>
      <c r="L7" s="496" t="str">
        <f t="shared" si="2"/>
        <v/>
      </c>
      <c r="M7" s="496" t="str">
        <f t="shared" si="2"/>
        <v/>
      </c>
      <c r="N7" s="496" t="str">
        <f t="shared" si="2"/>
        <v/>
      </c>
      <c r="O7" s="496" t="str">
        <f t="shared" si="2"/>
        <v/>
      </c>
      <c r="P7" s="496" t="str">
        <f t="shared" si="2"/>
        <v/>
      </c>
      <c r="Q7" s="34"/>
      <c r="R7" s="38"/>
      <c r="S7" s="38"/>
      <c r="T7" s="37"/>
      <c r="U7" s="37"/>
      <c r="V7" s="34"/>
      <c r="W7" s="38"/>
      <c r="X7" s="38"/>
      <c r="Y7" s="37"/>
      <c r="Z7" s="37"/>
      <c r="AC7" s="81" t="s">
        <v>86</v>
      </c>
      <c r="AE7" s="81" t="s">
        <v>104</v>
      </c>
      <c r="AF7" s="81" t="s">
        <v>112</v>
      </c>
      <c r="AG7" s="81"/>
      <c r="AJ7" s="13"/>
      <c r="AL7" s="13"/>
      <c r="AM7" s="13"/>
    </row>
    <row r="8" spans="2:39" ht="16.5" customHeight="1">
      <c r="B8" s="1243" t="s">
        <v>76</v>
      </c>
      <c r="C8" s="1244"/>
      <c r="D8" s="498"/>
      <c r="E8" s="497"/>
      <c r="F8" s="496" t="str">
        <f t="shared" ref="F8:P8" si="3">IF(E8="","",E8)</f>
        <v/>
      </c>
      <c r="G8" s="496" t="str">
        <f t="shared" si="3"/>
        <v/>
      </c>
      <c r="H8" s="496" t="str">
        <f t="shared" si="3"/>
        <v/>
      </c>
      <c r="I8" s="496" t="str">
        <f t="shared" si="3"/>
        <v/>
      </c>
      <c r="J8" s="496" t="str">
        <f t="shared" si="3"/>
        <v/>
      </c>
      <c r="K8" s="496" t="str">
        <f t="shared" si="3"/>
        <v/>
      </c>
      <c r="L8" s="496" t="str">
        <f t="shared" si="3"/>
        <v/>
      </c>
      <c r="M8" s="496" t="str">
        <f t="shared" si="3"/>
        <v/>
      </c>
      <c r="N8" s="496" t="str">
        <f t="shared" si="3"/>
        <v/>
      </c>
      <c r="O8" s="496" t="str">
        <f t="shared" si="3"/>
        <v/>
      </c>
      <c r="P8" s="496" t="str">
        <f t="shared" si="3"/>
        <v/>
      </c>
      <c r="Q8" s="34"/>
      <c r="R8" s="381">
        <f>IF(D8="標準",単価表!BB39,IF(D8="都市部",単価表!BC39,0))</f>
        <v>0</v>
      </c>
      <c r="S8" s="38"/>
      <c r="T8" s="37"/>
      <c r="U8" s="37"/>
      <c r="V8" s="34"/>
      <c r="W8" s="381">
        <f>R8</f>
        <v>0</v>
      </c>
      <c r="X8" s="38"/>
      <c r="Y8" s="37"/>
      <c r="Z8" s="37"/>
      <c r="AC8" s="81" t="s">
        <v>87</v>
      </c>
      <c r="AE8" s="81" t="s">
        <v>105</v>
      </c>
      <c r="AF8" s="81" t="s">
        <v>117</v>
      </c>
      <c r="AG8" s="81"/>
      <c r="AJ8" s="13"/>
      <c r="AL8" s="13"/>
      <c r="AM8" s="13"/>
    </row>
    <row r="9" spans="2:39" ht="16.899999999999999" customHeight="1">
      <c r="B9" s="1243" t="s">
        <v>54</v>
      </c>
      <c r="C9" s="1244"/>
      <c r="D9" s="498"/>
      <c r="E9" s="497"/>
      <c r="F9" s="496" t="str">
        <f t="shared" ref="F9:P9" si="4">IF(E9="","",E9)</f>
        <v/>
      </c>
      <c r="G9" s="496" t="str">
        <f t="shared" si="4"/>
        <v/>
      </c>
      <c r="H9" s="496" t="str">
        <f t="shared" si="4"/>
        <v/>
      </c>
      <c r="I9" s="496" t="str">
        <f t="shared" si="4"/>
        <v/>
      </c>
      <c r="J9" s="496" t="str">
        <f t="shared" si="4"/>
        <v/>
      </c>
      <c r="K9" s="496" t="str">
        <f t="shared" si="4"/>
        <v/>
      </c>
      <c r="L9" s="496" t="str">
        <f t="shared" si="4"/>
        <v/>
      </c>
      <c r="M9" s="496" t="str">
        <f t="shared" si="4"/>
        <v/>
      </c>
      <c r="N9" s="496" t="str">
        <f t="shared" si="4"/>
        <v/>
      </c>
      <c r="O9" s="496" t="str">
        <f t="shared" si="4"/>
        <v/>
      </c>
      <c r="P9" s="496" t="str">
        <f t="shared" si="4"/>
        <v/>
      </c>
      <c r="Q9" s="34"/>
      <c r="R9" s="381">
        <f>IF(D9="ａ標準",単価表!BE39,IF(D9="ｂ標準",単価表!BE41,IF(D9="ｃ標準",単価表!BE43,IF(D9="ｄ標準",単価表!BE45,IF(D9="ａ都市部",単価表!BF39,IF(D9="ｂ都市部",単価表!BF41,IF(D9="ｃ都市部",単価表!BF43,IF(D9="ｄ都市部",単価表!BF45,0))))))))</f>
        <v>0</v>
      </c>
      <c r="S9" s="38"/>
      <c r="T9" s="37"/>
      <c r="U9" s="37"/>
      <c r="V9" s="34"/>
      <c r="W9" s="381">
        <f>R9</f>
        <v>0</v>
      </c>
      <c r="X9" s="38"/>
      <c r="Y9" s="37"/>
      <c r="Z9" s="37"/>
      <c r="AC9" s="81" t="s">
        <v>88</v>
      </c>
      <c r="AE9" s="81" t="s">
        <v>106</v>
      </c>
      <c r="AF9" s="81"/>
      <c r="AG9" s="81"/>
      <c r="AJ9" s="13"/>
      <c r="AL9" s="13"/>
      <c r="AM9" s="13"/>
    </row>
    <row r="10" spans="2:39" ht="16.899999999999999" customHeight="1">
      <c r="B10" s="1245" t="s">
        <v>38</v>
      </c>
      <c r="C10" s="1245"/>
      <c r="D10" s="1247"/>
      <c r="E10" s="496"/>
      <c r="F10" s="496" t="str">
        <f t="shared" ref="F10:P10" si="5">IF(E10="","",E10)</f>
        <v/>
      </c>
      <c r="G10" s="496" t="str">
        <f t="shared" si="5"/>
        <v/>
      </c>
      <c r="H10" s="496" t="str">
        <f t="shared" si="5"/>
        <v/>
      </c>
      <c r="I10" s="496" t="str">
        <f t="shared" si="5"/>
        <v/>
      </c>
      <c r="J10" s="496" t="str">
        <f t="shared" si="5"/>
        <v/>
      </c>
      <c r="K10" s="496" t="str">
        <f t="shared" si="5"/>
        <v/>
      </c>
      <c r="L10" s="496" t="str">
        <f t="shared" si="5"/>
        <v/>
      </c>
      <c r="M10" s="496" t="str">
        <f t="shared" si="5"/>
        <v/>
      </c>
      <c r="N10" s="496" t="str">
        <f t="shared" si="5"/>
        <v/>
      </c>
      <c r="O10" s="496" t="str">
        <f t="shared" si="5"/>
        <v/>
      </c>
      <c r="P10" s="496" t="str">
        <f t="shared" si="5"/>
        <v/>
      </c>
      <c r="Q10" s="34"/>
      <c r="R10" s="252">
        <f>IFERROR(単価表!BG39,0)</f>
        <v>0</v>
      </c>
      <c r="S10" s="252">
        <f>IFERROR(単価表!BH39,0)</f>
        <v>0</v>
      </c>
      <c r="T10" s="36">
        <f>基本情報!$G$7</f>
        <v>0</v>
      </c>
      <c r="U10" s="36">
        <f>S10*T10</f>
        <v>0</v>
      </c>
      <c r="V10" s="34"/>
      <c r="W10" s="252">
        <f>R10</f>
        <v>0</v>
      </c>
      <c r="X10" s="252">
        <f>S10</f>
        <v>0</v>
      </c>
      <c r="Y10" s="36">
        <f>基本情報!$G$7</f>
        <v>0</v>
      </c>
      <c r="Z10" s="36">
        <f>X10*Y10</f>
        <v>0</v>
      </c>
      <c r="AC10" s="81" t="s">
        <v>89</v>
      </c>
      <c r="AE10" s="81" t="s">
        <v>107</v>
      </c>
      <c r="AG10" s="81"/>
      <c r="AJ10" s="13"/>
      <c r="AL10" s="13"/>
      <c r="AM10" s="13"/>
    </row>
    <row r="11" spans="2:39">
      <c r="B11" s="32" t="s">
        <v>23</v>
      </c>
      <c r="D11" s="16"/>
      <c r="E11" s="16"/>
      <c r="F11" s="16"/>
      <c r="G11" s="16"/>
      <c r="H11" s="16"/>
      <c r="I11" s="16"/>
      <c r="J11" s="16"/>
      <c r="K11" s="16"/>
      <c r="L11" s="16"/>
      <c r="M11" s="16"/>
      <c r="N11" s="16"/>
      <c r="O11" s="16"/>
      <c r="P11" s="16"/>
      <c r="Q11" s="16"/>
      <c r="V11" s="16"/>
      <c r="AC11" s="81" t="s">
        <v>90</v>
      </c>
      <c r="AD11" s="81"/>
      <c r="AE11" s="81" t="s">
        <v>108</v>
      </c>
      <c r="AF11" s="82">
        <v>1780</v>
      </c>
      <c r="AG11" s="81"/>
      <c r="AJ11" s="13"/>
      <c r="AL11" s="13"/>
      <c r="AM11" s="13"/>
    </row>
    <row r="12" spans="2:39" s="17" customFormat="1" ht="18.600000000000001" customHeight="1">
      <c r="B12" s="1246"/>
      <c r="C12" s="1246"/>
      <c r="D12" s="1246"/>
      <c r="E12" s="914">
        <v>4</v>
      </c>
      <c r="F12" s="914">
        <v>5</v>
      </c>
      <c r="G12" s="914">
        <v>6</v>
      </c>
      <c r="H12" s="914">
        <v>7</v>
      </c>
      <c r="I12" s="914">
        <v>8</v>
      </c>
      <c r="J12" s="914">
        <v>9</v>
      </c>
      <c r="K12" s="914">
        <v>10</v>
      </c>
      <c r="L12" s="914">
        <v>11</v>
      </c>
      <c r="M12" s="914">
        <v>12</v>
      </c>
      <c r="N12" s="914">
        <v>1</v>
      </c>
      <c r="O12" s="914">
        <v>2</v>
      </c>
      <c r="P12" s="914">
        <v>3</v>
      </c>
      <c r="Q12" s="18"/>
      <c r="R12" s="30" t="s">
        <v>71</v>
      </c>
      <c r="S12" s="30" t="s">
        <v>72</v>
      </c>
      <c r="T12" s="30" t="s">
        <v>70</v>
      </c>
      <c r="U12" s="30" t="s">
        <v>73</v>
      </c>
      <c r="V12" s="18"/>
      <c r="W12" s="30" t="s">
        <v>71</v>
      </c>
      <c r="X12" s="30" t="s">
        <v>72</v>
      </c>
      <c r="Y12" s="30" t="s">
        <v>70</v>
      </c>
      <c r="Z12" s="30" t="s">
        <v>73</v>
      </c>
      <c r="AC12" s="81" t="s">
        <v>91</v>
      </c>
      <c r="AD12" s="80"/>
      <c r="AE12" s="81"/>
      <c r="AF12" s="82">
        <v>1580</v>
      </c>
      <c r="AG12" s="81"/>
    </row>
    <row r="13" spans="2:39">
      <c r="B13" s="1245" t="s">
        <v>18</v>
      </c>
      <c r="C13" s="1245"/>
      <c r="D13" s="1245"/>
      <c r="E13" s="496"/>
      <c r="F13" s="496" t="str">
        <f t="shared" ref="F13:P16" si="6">IF(E13="","",E13)</f>
        <v/>
      </c>
      <c r="G13" s="496" t="str">
        <f t="shared" si="6"/>
        <v/>
      </c>
      <c r="H13" s="496" t="str">
        <f t="shared" si="6"/>
        <v/>
      </c>
      <c r="I13" s="496" t="str">
        <f t="shared" si="6"/>
        <v/>
      </c>
      <c r="J13" s="496" t="str">
        <f t="shared" si="6"/>
        <v/>
      </c>
      <c r="K13" s="496" t="str">
        <f t="shared" si="6"/>
        <v/>
      </c>
      <c r="L13" s="496" t="str">
        <f t="shared" si="6"/>
        <v/>
      </c>
      <c r="M13" s="496" t="str">
        <f t="shared" si="6"/>
        <v/>
      </c>
      <c r="N13" s="496" t="str">
        <f t="shared" si="6"/>
        <v/>
      </c>
      <c r="O13" s="496" t="str">
        <f t="shared" si="6"/>
        <v/>
      </c>
      <c r="P13" s="496" t="str">
        <f t="shared" si="6"/>
        <v/>
      </c>
      <c r="Q13" s="34"/>
      <c r="R13" s="499">
        <v>256850</v>
      </c>
      <c r="S13" s="499">
        <v>2560</v>
      </c>
      <c r="T13" s="36">
        <f>基本情報!$G$7</f>
        <v>0</v>
      </c>
      <c r="U13" s="36">
        <f>R13+S13*T13</f>
        <v>256850</v>
      </c>
      <c r="V13" s="34"/>
      <c r="W13" s="499">
        <v>256850</v>
      </c>
      <c r="X13" s="499">
        <v>2560</v>
      </c>
      <c r="Y13" s="36">
        <f>基本情報!$G$7</f>
        <v>0</v>
      </c>
      <c r="Z13" s="36">
        <f>W13+X13*Y13</f>
        <v>256850</v>
      </c>
      <c r="AA13" s="32" t="s">
        <v>121</v>
      </c>
      <c r="AB13" s="32"/>
      <c r="AC13" s="81" t="s">
        <v>92</v>
      </c>
      <c r="AE13" s="81"/>
      <c r="AF13" s="82">
        <v>1560</v>
      </c>
      <c r="AG13" s="81"/>
      <c r="AJ13" s="13"/>
      <c r="AL13" s="13"/>
      <c r="AM13" s="13"/>
    </row>
    <row r="14" spans="2:39" ht="16.149999999999999" customHeight="1">
      <c r="B14" s="1259" t="s">
        <v>62</v>
      </c>
      <c r="C14" s="1260"/>
      <c r="D14" s="374" t="s">
        <v>12</v>
      </c>
      <c r="E14" s="496"/>
      <c r="F14" s="496" t="str">
        <f t="shared" si="6"/>
        <v/>
      </c>
      <c r="G14" s="496" t="str">
        <f t="shared" si="6"/>
        <v/>
      </c>
      <c r="H14" s="496" t="str">
        <f t="shared" si="6"/>
        <v/>
      </c>
      <c r="I14" s="496" t="str">
        <f t="shared" si="6"/>
        <v/>
      </c>
      <c r="J14" s="496" t="str">
        <f t="shared" si="6"/>
        <v/>
      </c>
      <c r="K14" s="496" t="str">
        <f t="shared" si="6"/>
        <v/>
      </c>
      <c r="L14" s="496" t="str">
        <f t="shared" si="6"/>
        <v/>
      </c>
      <c r="M14" s="496" t="str">
        <f t="shared" si="6"/>
        <v/>
      </c>
      <c r="N14" s="496" t="str">
        <f t="shared" si="6"/>
        <v/>
      </c>
      <c r="O14" s="496" t="str">
        <f t="shared" si="6"/>
        <v/>
      </c>
      <c r="P14" s="496" t="str">
        <f t="shared" si="6"/>
        <v/>
      </c>
      <c r="Q14" s="34"/>
      <c r="R14" s="499">
        <v>49870</v>
      </c>
      <c r="S14" s="499">
        <v>490</v>
      </c>
      <c r="T14" s="36">
        <f>基本情報!$G$7</f>
        <v>0</v>
      </c>
      <c r="U14" s="36">
        <f t="shared" ref="U14:U16" si="7">R14+S14*T14</f>
        <v>49870</v>
      </c>
      <c r="V14" s="34"/>
      <c r="W14" s="499">
        <v>49870</v>
      </c>
      <c r="X14" s="499">
        <v>490</v>
      </c>
      <c r="Y14" s="36">
        <f>基本情報!$G$7</f>
        <v>0</v>
      </c>
      <c r="Z14" s="36">
        <f>W14+X14*Y14</f>
        <v>49870</v>
      </c>
      <c r="AA14" s="32" t="s">
        <v>121</v>
      </c>
      <c r="AB14" s="32"/>
      <c r="AC14" s="81" t="s">
        <v>93</v>
      </c>
      <c r="AE14" s="81"/>
      <c r="AF14" s="82">
        <v>1230</v>
      </c>
      <c r="AG14" s="81"/>
      <c r="AJ14" s="13"/>
      <c r="AL14" s="13"/>
      <c r="AM14" s="13"/>
    </row>
    <row r="15" spans="2:39">
      <c r="B15" s="1261"/>
      <c r="C15" s="1262"/>
      <c r="D15" s="374" t="s">
        <v>13</v>
      </c>
      <c r="E15" s="496"/>
      <c r="F15" s="496" t="str">
        <f t="shared" si="6"/>
        <v/>
      </c>
      <c r="G15" s="496" t="str">
        <f t="shared" si="6"/>
        <v/>
      </c>
      <c r="H15" s="496" t="str">
        <f t="shared" si="6"/>
        <v/>
      </c>
      <c r="I15" s="496" t="str">
        <f t="shared" si="6"/>
        <v/>
      </c>
      <c r="J15" s="496" t="str">
        <f t="shared" si="6"/>
        <v/>
      </c>
      <c r="K15" s="496" t="str">
        <f t="shared" si="6"/>
        <v/>
      </c>
      <c r="L15" s="496" t="str">
        <f t="shared" si="6"/>
        <v/>
      </c>
      <c r="M15" s="496" t="str">
        <f t="shared" si="6"/>
        <v/>
      </c>
      <c r="N15" s="496" t="str">
        <f t="shared" si="6"/>
        <v/>
      </c>
      <c r="O15" s="496" t="str">
        <f t="shared" si="6"/>
        <v/>
      </c>
      <c r="P15" s="496" t="str">
        <f t="shared" si="6"/>
        <v/>
      </c>
      <c r="Q15" s="34"/>
      <c r="R15" s="499">
        <v>33250</v>
      </c>
      <c r="S15" s="499">
        <v>330</v>
      </c>
      <c r="T15" s="36">
        <f>基本情報!$G$7</f>
        <v>0</v>
      </c>
      <c r="U15" s="36">
        <f t="shared" si="7"/>
        <v>33250</v>
      </c>
      <c r="V15" s="34"/>
      <c r="W15" s="499">
        <v>33250</v>
      </c>
      <c r="X15" s="499">
        <v>330</v>
      </c>
      <c r="Y15" s="36">
        <f>基本情報!$G$7</f>
        <v>0</v>
      </c>
      <c r="Z15" s="36">
        <f>W15+X15*Y15</f>
        <v>33250</v>
      </c>
      <c r="AA15" s="32" t="s">
        <v>121</v>
      </c>
      <c r="AB15" s="32"/>
      <c r="AC15" s="81" t="s">
        <v>94</v>
      </c>
      <c r="AE15" s="81"/>
      <c r="AF15" s="82">
        <v>110</v>
      </c>
      <c r="AG15" s="81"/>
      <c r="AJ15" s="13"/>
      <c r="AL15" s="13"/>
      <c r="AM15" s="13"/>
    </row>
    <row r="16" spans="2:39">
      <c r="B16" s="1245" t="s">
        <v>19</v>
      </c>
      <c r="C16" s="1245"/>
      <c r="D16" s="1248"/>
      <c r="E16" s="496"/>
      <c r="F16" s="496" t="str">
        <f t="shared" si="6"/>
        <v/>
      </c>
      <c r="G16" s="496" t="str">
        <f t="shared" si="6"/>
        <v/>
      </c>
      <c r="H16" s="496" t="str">
        <f t="shared" si="6"/>
        <v/>
      </c>
      <c r="I16" s="496" t="str">
        <f t="shared" si="6"/>
        <v/>
      </c>
      <c r="J16" s="496" t="str">
        <f t="shared" si="6"/>
        <v/>
      </c>
      <c r="K16" s="496" t="str">
        <f t="shared" si="6"/>
        <v/>
      </c>
      <c r="L16" s="496" t="str">
        <f t="shared" si="6"/>
        <v/>
      </c>
      <c r="M16" s="496" t="str">
        <f t="shared" si="6"/>
        <v/>
      </c>
      <c r="N16" s="496" t="str">
        <f t="shared" si="6"/>
        <v/>
      </c>
      <c r="O16" s="496" t="str">
        <f t="shared" si="6"/>
        <v/>
      </c>
      <c r="P16" s="496" t="str">
        <f t="shared" si="6"/>
        <v/>
      </c>
      <c r="Q16" s="34"/>
      <c r="R16" s="499">
        <v>46100</v>
      </c>
      <c r="S16" s="499">
        <v>460</v>
      </c>
      <c r="T16" s="36">
        <f>基本情報!$G$7</f>
        <v>0</v>
      </c>
      <c r="U16" s="36">
        <f t="shared" si="7"/>
        <v>46100</v>
      </c>
      <c r="V16" s="34"/>
      <c r="W16" s="499">
        <v>46100</v>
      </c>
      <c r="X16" s="499">
        <v>460</v>
      </c>
      <c r="Y16" s="36">
        <f>基本情報!$G$7</f>
        <v>0</v>
      </c>
      <c r="Z16" s="36">
        <f>W16+X16*Y16</f>
        <v>46100</v>
      </c>
      <c r="AA16" s="32" t="s">
        <v>121</v>
      </c>
      <c r="AB16" s="32"/>
      <c r="AC16" s="81" t="s">
        <v>95</v>
      </c>
      <c r="AE16" s="81"/>
      <c r="AG16" s="81"/>
      <c r="AJ16" s="13"/>
      <c r="AL16" s="13"/>
      <c r="AM16" s="13"/>
    </row>
    <row r="17" spans="2:39" ht="16.149999999999999" customHeight="1">
      <c r="B17" s="1243" t="s">
        <v>41</v>
      </c>
      <c r="C17" s="1244"/>
      <c r="D17" s="498"/>
      <c r="E17" s="493"/>
      <c r="F17" s="33"/>
      <c r="G17" s="33"/>
      <c r="H17" s="33"/>
      <c r="I17" s="33"/>
      <c r="J17" s="33"/>
      <c r="K17" s="33"/>
      <c r="L17" s="33"/>
      <c r="M17" s="33"/>
      <c r="N17" s="33"/>
      <c r="O17" s="33"/>
      <c r="P17" s="33"/>
      <c r="Q17" s="34"/>
      <c r="R17" s="37"/>
      <c r="S17" s="38"/>
      <c r="T17" s="38"/>
      <c r="U17" s="39" t="str">
        <f>IF(D17="○",処遇Ⅱ!H38,"")</f>
        <v/>
      </c>
      <c r="V17" s="34"/>
      <c r="W17" s="38"/>
      <c r="X17" s="38"/>
      <c r="Y17" s="38"/>
      <c r="Z17" s="39" t="str">
        <f>IF(D17="○",処遇Ⅱ!H43,"")</f>
        <v/>
      </c>
      <c r="AA17" s="32" t="s">
        <v>121</v>
      </c>
      <c r="AB17" s="32"/>
      <c r="AC17" s="81" t="s">
        <v>96</v>
      </c>
      <c r="AE17" s="81"/>
      <c r="AJ17" s="13"/>
      <c r="AL17" s="13"/>
      <c r="AM17" s="13"/>
    </row>
    <row r="18" spans="2:39" ht="16.149999999999999" customHeight="1">
      <c r="B18" s="1243" t="s">
        <v>77</v>
      </c>
      <c r="C18" s="1244"/>
      <c r="D18" s="498"/>
      <c r="E18" s="493"/>
      <c r="F18" s="33"/>
      <c r="G18" s="33"/>
      <c r="H18" s="33"/>
      <c r="I18" s="33"/>
      <c r="J18" s="33"/>
      <c r="K18" s="33"/>
      <c r="L18" s="33"/>
      <c r="M18" s="33"/>
      <c r="N18" s="33"/>
      <c r="O18" s="33"/>
      <c r="P18" s="33"/>
      <c r="Q18" s="34"/>
      <c r="R18" s="37"/>
      <c r="S18" s="38"/>
      <c r="T18" s="38"/>
      <c r="U18" s="36" t="str">
        <f>IF(D18="","",IF(D18="１級地",AF11,IF(D18="２級地",AF12,IF(D18="３級地",AF13,IF(D18="４級地",AF14,AF15)))))</f>
        <v/>
      </c>
      <c r="V18" s="34"/>
      <c r="W18" s="38"/>
      <c r="X18" s="38"/>
      <c r="Y18" s="38"/>
      <c r="Z18" s="36" t="str">
        <f>IF(D18="","",IF(D18="１級地",AF11,IF(D18="２級地",AF12,IF(D18="３級地",AF13,IF(D18="４級地",AF14,AF15)))))</f>
        <v/>
      </c>
      <c r="AC18" s="81"/>
      <c r="AJ18" s="13"/>
      <c r="AL18" s="13"/>
      <c r="AM18" s="13"/>
    </row>
    <row r="19" spans="2:39">
      <c r="B19" s="1245" t="s">
        <v>78</v>
      </c>
      <c r="C19" s="1245"/>
      <c r="D19" s="1247"/>
      <c r="E19" s="33"/>
      <c r="F19" s="33"/>
      <c r="G19" s="33"/>
      <c r="H19" s="33"/>
      <c r="I19" s="33"/>
      <c r="J19" s="33"/>
      <c r="K19" s="33"/>
      <c r="L19" s="33"/>
      <c r="M19" s="33"/>
      <c r="N19" s="33"/>
      <c r="O19" s="33"/>
      <c r="P19" s="496"/>
      <c r="Q19" s="34"/>
      <c r="R19" s="37"/>
      <c r="S19" s="38"/>
      <c r="T19" s="38"/>
      <c r="U19" s="37"/>
      <c r="V19" s="34"/>
      <c r="W19" s="499">
        <v>6090</v>
      </c>
      <c r="X19" s="38"/>
      <c r="Y19" s="38"/>
      <c r="Z19" s="39" t="str">
        <f>IF(P19="○",W19,"")</f>
        <v/>
      </c>
      <c r="AA19" s="32" t="s">
        <v>185</v>
      </c>
      <c r="AC19" s="81"/>
    </row>
    <row r="20" spans="2:39">
      <c r="B20" s="1245" t="s">
        <v>79</v>
      </c>
      <c r="C20" s="1245"/>
      <c r="D20" s="1245"/>
      <c r="E20" s="33"/>
      <c r="F20" s="33"/>
      <c r="G20" s="33"/>
      <c r="H20" s="33"/>
      <c r="I20" s="33"/>
      <c r="J20" s="33"/>
      <c r="K20" s="33"/>
      <c r="L20" s="33"/>
      <c r="M20" s="33"/>
      <c r="N20" s="33"/>
      <c r="O20" s="33"/>
      <c r="P20" s="496"/>
      <c r="Q20" s="34"/>
      <c r="R20" s="37"/>
      <c r="S20" s="38"/>
      <c r="T20" s="38"/>
      <c r="U20" s="37"/>
      <c r="V20" s="34"/>
      <c r="W20" s="499">
        <v>152680</v>
      </c>
      <c r="X20" s="38"/>
      <c r="Y20" s="38"/>
      <c r="Z20" s="39" t="str">
        <f>IF(P20="○",W20,"")</f>
        <v/>
      </c>
      <c r="AA20" s="32" t="s">
        <v>170</v>
      </c>
      <c r="AC20" s="81"/>
    </row>
    <row r="21" spans="2:39" ht="16.149999999999999" customHeight="1">
      <c r="B21" s="1252" t="s">
        <v>518</v>
      </c>
      <c r="C21" s="1253"/>
      <c r="D21" s="374" t="s">
        <v>118</v>
      </c>
      <c r="E21" s="33"/>
      <c r="F21" s="33"/>
      <c r="G21" s="33"/>
      <c r="H21" s="33"/>
      <c r="I21" s="33"/>
      <c r="J21" s="33"/>
      <c r="K21" s="33"/>
      <c r="L21" s="33"/>
      <c r="M21" s="33"/>
      <c r="N21" s="33"/>
      <c r="O21" s="33"/>
      <c r="P21" s="496"/>
      <c r="Q21" s="34"/>
      <c r="R21" s="37"/>
      <c r="S21" s="38"/>
      <c r="T21" s="38"/>
      <c r="U21" s="37"/>
      <c r="V21" s="34"/>
      <c r="W21" s="499">
        <v>456000</v>
      </c>
      <c r="X21" s="38"/>
      <c r="Y21" s="38"/>
      <c r="Z21" s="39" t="str">
        <f>IF(P21="○",W21,"")</f>
        <v/>
      </c>
      <c r="AA21" s="32" t="s">
        <v>170</v>
      </c>
      <c r="AC21" s="81"/>
    </row>
    <row r="22" spans="2:39">
      <c r="B22" s="1254"/>
      <c r="C22" s="1255"/>
      <c r="D22" s="374" t="s">
        <v>119</v>
      </c>
      <c r="E22" s="33"/>
      <c r="F22" s="33"/>
      <c r="G22" s="33"/>
      <c r="H22" s="33"/>
      <c r="I22" s="33"/>
      <c r="J22" s="33"/>
      <c r="K22" s="33"/>
      <c r="L22" s="33"/>
      <c r="M22" s="33"/>
      <c r="N22" s="33"/>
      <c r="O22" s="33"/>
      <c r="P22" s="496"/>
      <c r="Q22" s="34"/>
      <c r="R22" s="37"/>
      <c r="S22" s="38"/>
      <c r="T22" s="38"/>
      <c r="U22" s="37"/>
      <c r="V22" s="34"/>
      <c r="W22" s="499">
        <v>760000</v>
      </c>
      <c r="X22" s="38"/>
      <c r="Y22" s="38"/>
      <c r="Z22" s="39" t="str">
        <f>IF(P22="○",W22,"")</f>
        <v/>
      </c>
      <c r="AA22" s="32" t="s">
        <v>170</v>
      </c>
      <c r="AC22" s="81"/>
    </row>
    <row r="23" spans="2:39" ht="16.899999999999999" customHeight="1">
      <c r="B23" s="1256"/>
      <c r="C23" s="1257"/>
      <c r="D23" s="374" t="s">
        <v>120</v>
      </c>
      <c r="E23" s="33"/>
      <c r="F23" s="33"/>
      <c r="G23" s="33"/>
      <c r="H23" s="33"/>
      <c r="I23" s="33"/>
      <c r="J23" s="33"/>
      <c r="K23" s="33"/>
      <c r="L23" s="33"/>
      <c r="M23" s="33"/>
      <c r="N23" s="33"/>
      <c r="O23" s="33"/>
      <c r="P23" s="496"/>
      <c r="Q23" s="34"/>
      <c r="R23" s="37"/>
      <c r="S23" s="38"/>
      <c r="T23" s="38"/>
      <c r="U23" s="37"/>
      <c r="V23" s="34"/>
      <c r="W23" s="499">
        <v>1065000</v>
      </c>
      <c r="X23" s="38"/>
      <c r="Y23" s="38"/>
      <c r="Z23" s="39" t="str">
        <f>IF(P23="○",W23,"")</f>
        <v/>
      </c>
      <c r="AA23" s="32" t="s">
        <v>170</v>
      </c>
      <c r="AC23" s="81"/>
    </row>
    <row r="24" spans="2:39">
      <c r="B24" s="1245" t="s">
        <v>20</v>
      </c>
      <c r="C24" s="1245"/>
      <c r="D24" s="1245"/>
      <c r="E24" s="33"/>
      <c r="F24" s="33"/>
      <c r="G24" s="33"/>
      <c r="H24" s="33"/>
      <c r="I24" s="33"/>
      <c r="J24" s="33"/>
      <c r="K24" s="33"/>
      <c r="L24" s="33"/>
      <c r="M24" s="33"/>
      <c r="N24" s="33"/>
      <c r="O24" s="33"/>
      <c r="P24" s="496"/>
      <c r="Q24" s="34"/>
      <c r="R24" s="37"/>
      <c r="S24" s="38"/>
      <c r="T24" s="38"/>
      <c r="U24" s="37"/>
      <c r="V24" s="34"/>
      <c r="W24" s="37"/>
      <c r="X24" s="38"/>
      <c r="Y24" s="38"/>
      <c r="Z24" s="499">
        <v>160000</v>
      </c>
      <c r="AA24" s="32" t="s">
        <v>170</v>
      </c>
      <c r="AC24" s="81"/>
    </row>
    <row r="25" spans="2:39" ht="16.149999999999999" customHeight="1">
      <c r="B25" s="1245" t="s">
        <v>21</v>
      </c>
      <c r="C25" s="1245"/>
      <c r="D25" s="1245"/>
      <c r="E25" s="33"/>
      <c r="F25" s="33"/>
      <c r="G25" s="33"/>
      <c r="H25" s="33"/>
      <c r="I25" s="33"/>
      <c r="J25" s="33"/>
      <c r="K25" s="33"/>
      <c r="L25" s="33"/>
      <c r="M25" s="33"/>
      <c r="N25" s="33"/>
      <c r="O25" s="33"/>
      <c r="P25" s="496"/>
      <c r="Q25" s="34"/>
      <c r="R25" s="37"/>
      <c r="S25" s="38"/>
      <c r="T25" s="38"/>
      <c r="U25" s="37"/>
      <c r="V25" s="34"/>
      <c r="W25" s="499">
        <v>96840</v>
      </c>
      <c r="X25" s="38"/>
      <c r="Y25" s="38"/>
      <c r="Z25" s="39" t="str">
        <f>IF(P25="○",W25,"")</f>
        <v/>
      </c>
      <c r="AA25" s="32" t="s">
        <v>170</v>
      </c>
      <c r="AC25" s="81"/>
    </row>
    <row r="26" spans="2:39">
      <c r="B26" s="1263" t="s">
        <v>80</v>
      </c>
      <c r="C26" s="1264"/>
      <c r="D26" s="374" t="s">
        <v>12</v>
      </c>
      <c r="E26" s="496"/>
      <c r="F26" s="496" t="str">
        <f t="shared" ref="F26:P28" si="8">IF(E26="","",E26)</f>
        <v/>
      </c>
      <c r="G26" s="496" t="str">
        <f t="shared" si="8"/>
        <v/>
      </c>
      <c r="H26" s="496" t="str">
        <f t="shared" si="8"/>
        <v/>
      </c>
      <c r="I26" s="496" t="str">
        <f t="shared" si="8"/>
        <v/>
      </c>
      <c r="J26" s="496" t="str">
        <f t="shared" si="8"/>
        <v/>
      </c>
      <c r="K26" s="496" t="str">
        <f t="shared" si="8"/>
        <v/>
      </c>
      <c r="L26" s="496" t="str">
        <f t="shared" si="8"/>
        <v/>
      </c>
      <c r="M26" s="496" t="str">
        <f t="shared" si="8"/>
        <v/>
      </c>
      <c r="N26" s="496" t="str">
        <f t="shared" si="8"/>
        <v/>
      </c>
      <c r="O26" s="496" t="str">
        <f t="shared" si="8"/>
        <v/>
      </c>
      <c r="P26" s="496" t="str">
        <f t="shared" si="8"/>
        <v/>
      </c>
      <c r="Q26" s="34"/>
      <c r="R26" s="499">
        <v>76960</v>
      </c>
      <c r="S26" s="499">
        <v>760</v>
      </c>
      <c r="T26" s="36">
        <f>基本情報!$G$7</f>
        <v>0</v>
      </c>
      <c r="U26" s="36">
        <f>R26+S26*T26</f>
        <v>76960</v>
      </c>
      <c r="V26" s="34"/>
      <c r="W26" s="499">
        <v>76960</v>
      </c>
      <c r="X26" s="499">
        <v>760</v>
      </c>
      <c r="Y26" s="36">
        <f>基本情報!$G$7</f>
        <v>0</v>
      </c>
      <c r="Z26" s="36">
        <f>W26+X26*Y26</f>
        <v>76960</v>
      </c>
      <c r="AA26" s="32" t="s">
        <v>121</v>
      </c>
      <c r="AC26" s="81"/>
    </row>
    <row r="27" spans="2:39">
      <c r="B27" s="1265"/>
      <c r="C27" s="1266"/>
      <c r="D27" s="374" t="s">
        <v>13</v>
      </c>
      <c r="E27" s="496"/>
      <c r="F27" s="496" t="str">
        <f t="shared" si="8"/>
        <v/>
      </c>
      <c r="G27" s="496" t="str">
        <f t="shared" si="8"/>
        <v/>
      </c>
      <c r="H27" s="496" t="str">
        <f t="shared" si="8"/>
        <v/>
      </c>
      <c r="I27" s="496" t="str">
        <f t="shared" si="8"/>
        <v/>
      </c>
      <c r="J27" s="496" t="str">
        <f t="shared" si="8"/>
        <v/>
      </c>
      <c r="K27" s="496" t="str">
        <f t="shared" si="8"/>
        <v/>
      </c>
      <c r="L27" s="496" t="str">
        <f t="shared" si="8"/>
        <v/>
      </c>
      <c r="M27" s="496" t="str">
        <f t="shared" si="8"/>
        <v/>
      </c>
      <c r="N27" s="496" t="str">
        <f t="shared" si="8"/>
        <v/>
      </c>
      <c r="O27" s="496" t="str">
        <f t="shared" si="8"/>
        <v/>
      </c>
      <c r="P27" s="496" t="str">
        <f t="shared" si="8"/>
        <v/>
      </c>
      <c r="Q27" s="34"/>
      <c r="R27" s="499">
        <v>50000</v>
      </c>
      <c r="S27" s="499">
        <v>500</v>
      </c>
      <c r="T27" s="36">
        <f>基本情報!$G$7</f>
        <v>0</v>
      </c>
      <c r="U27" s="36">
        <f>R27+S27*T27</f>
        <v>50000</v>
      </c>
      <c r="V27" s="34"/>
      <c r="W27" s="499">
        <v>50000</v>
      </c>
      <c r="X27" s="499">
        <v>500</v>
      </c>
      <c r="Y27" s="36">
        <f>基本情報!$G$7</f>
        <v>0</v>
      </c>
      <c r="Z27" s="36">
        <f>W27+X27*Y27</f>
        <v>50000</v>
      </c>
      <c r="AA27" s="32" t="s">
        <v>121</v>
      </c>
      <c r="AC27" s="81"/>
    </row>
    <row r="28" spans="2:39">
      <c r="B28" s="1267"/>
      <c r="C28" s="1268"/>
      <c r="D28" s="373" t="s">
        <v>113</v>
      </c>
      <c r="E28" s="496"/>
      <c r="F28" s="496" t="str">
        <f t="shared" si="8"/>
        <v/>
      </c>
      <c r="G28" s="496" t="str">
        <f t="shared" si="8"/>
        <v/>
      </c>
      <c r="H28" s="496" t="str">
        <f t="shared" si="8"/>
        <v/>
      </c>
      <c r="I28" s="496" t="str">
        <f t="shared" si="8"/>
        <v/>
      </c>
      <c r="J28" s="496" t="str">
        <f t="shared" si="8"/>
        <v/>
      </c>
      <c r="K28" s="496" t="str">
        <f t="shared" si="8"/>
        <v/>
      </c>
      <c r="L28" s="496" t="str">
        <f t="shared" si="8"/>
        <v/>
      </c>
      <c r="M28" s="496" t="str">
        <f t="shared" si="8"/>
        <v/>
      </c>
      <c r="N28" s="496" t="str">
        <f t="shared" si="8"/>
        <v/>
      </c>
      <c r="O28" s="496" t="str">
        <f t="shared" si="8"/>
        <v/>
      </c>
      <c r="P28" s="496" t="str">
        <f t="shared" si="8"/>
        <v/>
      </c>
      <c r="Q28" s="34"/>
      <c r="R28" s="499">
        <v>10000</v>
      </c>
      <c r="S28" s="37"/>
      <c r="T28" s="37"/>
      <c r="U28" s="39">
        <f>R28</f>
        <v>10000</v>
      </c>
      <c r="V28" s="34"/>
      <c r="W28" s="499">
        <v>10000</v>
      </c>
      <c r="X28" s="37"/>
      <c r="Y28" s="37"/>
      <c r="Z28" s="39">
        <f>W28</f>
        <v>10000</v>
      </c>
      <c r="AA28" s="32" t="s">
        <v>121</v>
      </c>
      <c r="AC28" s="81"/>
    </row>
    <row r="29" spans="2:39">
      <c r="B29" s="1245" t="s">
        <v>81</v>
      </c>
      <c r="C29" s="1245"/>
      <c r="D29" s="1245"/>
      <c r="E29" s="33"/>
      <c r="F29" s="33"/>
      <c r="G29" s="33"/>
      <c r="H29" s="33"/>
      <c r="I29" s="33"/>
      <c r="J29" s="33"/>
      <c r="K29" s="33"/>
      <c r="L29" s="33"/>
      <c r="M29" s="33"/>
      <c r="N29" s="33"/>
      <c r="O29" s="33"/>
      <c r="P29" s="496"/>
      <c r="Q29" s="34"/>
      <c r="R29" s="37"/>
      <c r="S29" s="38"/>
      <c r="T29" s="37"/>
      <c r="U29" s="37"/>
      <c r="V29" s="34"/>
      <c r="W29" s="499">
        <v>150000</v>
      </c>
      <c r="X29" s="38"/>
      <c r="Y29" s="37"/>
      <c r="Z29" s="39" t="str">
        <f>IF(P29="○",W29,"")</f>
        <v/>
      </c>
      <c r="AA29" s="32" t="s">
        <v>170</v>
      </c>
    </row>
    <row r="30" spans="2:39" ht="16.149999999999999" customHeight="1">
      <c r="B30" s="32" t="s">
        <v>168</v>
      </c>
    </row>
    <row r="31" spans="2:39" ht="16.149999999999999" customHeight="1">
      <c r="B31" s="1246"/>
      <c r="C31" s="1246"/>
      <c r="D31" s="1246"/>
      <c r="E31" s="914">
        <v>4</v>
      </c>
      <c r="F31" s="914">
        <v>5</v>
      </c>
      <c r="G31" s="914">
        <v>6</v>
      </c>
      <c r="H31" s="914">
        <v>7</v>
      </c>
      <c r="I31" s="914">
        <v>8</v>
      </c>
      <c r="J31" s="914">
        <v>9</v>
      </c>
      <c r="K31" s="914">
        <v>10</v>
      </c>
      <c r="L31" s="914">
        <v>11</v>
      </c>
      <c r="M31" s="914">
        <v>12</v>
      </c>
      <c r="N31" s="914">
        <v>1</v>
      </c>
      <c r="O31" s="914">
        <v>2</v>
      </c>
      <c r="P31" s="914">
        <v>3</v>
      </c>
    </row>
    <row r="32" spans="2:39" ht="16.149999999999999" customHeight="1">
      <c r="B32" s="1245" t="s">
        <v>57</v>
      </c>
      <c r="C32" s="1245"/>
      <c r="D32" s="1245"/>
      <c r="E32" s="496"/>
      <c r="F32" s="496" t="str">
        <f t="shared" ref="F32:P32" si="9">IF(E32="","",E32)</f>
        <v/>
      </c>
      <c r="G32" s="496" t="str">
        <f t="shared" si="9"/>
        <v/>
      </c>
      <c r="H32" s="496" t="str">
        <f t="shared" si="9"/>
        <v/>
      </c>
      <c r="I32" s="496" t="str">
        <f t="shared" si="9"/>
        <v/>
      </c>
      <c r="J32" s="496" t="str">
        <f t="shared" si="9"/>
        <v/>
      </c>
      <c r="K32" s="496" t="str">
        <f t="shared" si="9"/>
        <v/>
      </c>
      <c r="L32" s="496" t="str">
        <f t="shared" si="9"/>
        <v/>
      </c>
      <c r="M32" s="496" t="str">
        <f t="shared" si="9"/>
        <v/>
      </c>
      <c r="N32" s="496" t="str">
        <f t="shared" si="9"/>
        <v/>
      </c>
      <c r="O32" s="496" t="str">
        <f t="shared" si="9"/>
        <v/>
      </c>
      <c r="P32" s="496" t="str">
        <f t="shared" si="9"/>
        <v/>
      </c>
    </row>
    <row r="33" ht="16.149999999999999" customHeight="1"/>
  </sheetData>
  <mergeCells count="25">
    <mergeCell ref="R3:U3"/>
    <mergeCell ref="W3:Z3"/>
    <mergeCell ref="C2:G2"/>
    <mergeCell ref="B21:C23"/>
    <mergeCell ref="B31:D31"/>
    <mergeCell ref="B29:D29"/>
    <mergeCell ref="B4:D4"/>
    <mergeCell ref="B5:D5"/>
    <mergeCell ref="B7:D7"/>
    <mergeCell ref="B10:D10"/>
    <mergeCell ref="B20:D20"/>
    <mergeCell ref="B24:D24"/>
    <mergeCell ref="B17:C17"/>
    <mergeCell ref="B14:C15"/>
    <mergeCell ref="B26:C28"/>
    <mergeCell ref="B6:C6"/>
    <mergeCell ref="B8:C8"/>
    <mergeCell ref="B9:C9"/>
    <mergeCell ref="B18:C18"/>
    <mergeCell ref="B32:D32"/>
    <mergeCell ref="B12:D12"/>
    <mergeCell ref="B13:D13"/>
    <mergeCell ref="B19:D19"/>
    <mergeCell ref="B25:D25"/>
    <mergeCell ref="B16:D16"/>
  </mergeCells>
  <phoneticPr fontId="2"/>
  <dataValidations count="6">
    <dataValidation type="list" allowBlank="1" showInputMessage="1" showErrorMessage="1" sqref="Q13:Q29 D17 E17:O18 Q5:Q10" xr:uid="{9E0878B1-377B-436F-875C-F9FCD363E786}">
      <formula1>$AG$3:$AG$4</formula1>
    </dataValidation>
    <dataValidation type="list" allowBlank="1" showInputMessage="1" showErrorMessage="1" sqref="D18" xr:uid="{0D848F70-AD7D-4582-8293-7A58C01A7FBA}">
      <formula1>$AF$3:$AF$8</formula1>
    </dataValidation>
    <dataValidation type="list" allowBlank="1" showInputMessage="1" showErrorMessage="1" sqref="D6" xr:uid="{29398D35-B878-4179-9787-9AB44436CEFA}">
      <formula1>$AC$3:$AC$17</formula1>
    </dataValidation>
    <dataValidation type="list" allowBlank="1" showInputMessage="1" showErrorMessage="1" sqref="D8" xr:uid="{DD927EFD-47AB-4916-8576-34BF4580DAEF}">
      <formula1>$AD$3:$AD$5</formula1>
    </dataValidation>
    <dataValidation type="list" allowBlank="1" showInputMessage="1" showErrorMessage="1" sqref="D9" xr:uid="{A2AF17E7-06A0-44D9-BD5A-5CE470A4D916}">
      <formula1>$AE$3:$AE$11</formula1>
    </dataValidation>
    <dataValidation type="list" allowBlank="1" showInputMessage="1" sqref="P29 E5:P10 E13:P16 E26:P28 P19:P25 E32:P32" xr:uid="{D04A7536-3DEE-4337-9249-469F0C6A064D}">
      <formula1>$AG$3:$AG$4</formula1>
    </dataValidation>
  </dataValidations>
  <printOptions headings="1"/>
  <pageMargins left="0.70866141732283472" right="0.70866141732283472" top="0.74803149606299213" bottom="0.74803149606299213" header="0.31496062992125984" footer="0.31496062992125984"/>
  <pageSetup paperSize="8"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C293F-9E66-4E45-ACBF-1100C8788C95}">
  <sheetPr>
    <tabColor theme="1"/>
  </sheetPr>
  <dimension ref="A1:CI550"/>
  <sheetViews>
    <sheetView view="pageBreakPreview" zoomScaleNormal="70" zoomScaleSheetLayoutView="100" workbookViewId="0">
      <selection activeCell="AV7" sqref="AV7"/>
    </sheetView>
  </sheetViews>
  <sheetFormatPr defaultRowHeight="13.5"/>
  <cols>
    <col min="1" max="2" width="9.75" style="95" customWidth="1"/>
    <col min="3" max="3" width="9.375" style="96" customWidth="1"/>
    <col min="4" max="4" width="6.875" style="92" customWidth="1"/>
    <col min="5" max="5" width="8.125" style="97" customWidth="1"/>
    <col min="6" max="6" width="6.875" style="98" customWidth="1"/>
    <col min="7" max="7" width="8.125" style="97" customWidth="1"/>
    <col min="8" max="8" width="6.25" style="92" customWidth="1"/>
    <col min="9" max="9" width="7" style="97" customWidth="1"/>
    <col min="10" max="10" width="7.625" style="99" customWidth="1"/>
    <col min="11" max="11" width="6.25" style="98" customWidth="1"/>
    <col min="12" max="12" width="6.875" style="97" customWidth="1"/>
    <col min="13" max="13" width="7.625" style="99" customWidth="1"/>
    <col min="14" max="14" width="6.875" style="92" customWidth="1"/>
    <col min="15" max="15" width="11.375" style="93" bestFit="1" customWidth="1"/>
    <col min="16" max="17" width="13.625" style="98" customWidth="1"/>
    <col min="18" max="19" width="6.125" style="92" customWidth="1"/>
    <col min="20" max="20" width="6" style="100" bestFit="1" customWidth="1"/>
    <col min="21" max="22" width="6.125" style="92" customWidth="1"/>
    <col min="23" max="23" width="5.875" style="98" customWidth="1"/>
    <col min="24" max="24" width="10.75" style="92" customWidth="1"/>
    <col min="25" max="25" width="9.75" style="100" customWidth="1"/>
    <col min="26" max="26" width="2.25" style="92" customWidth="1"/>
    <col min="27" max="27" width="8.25" style="100" customWidth="1"/>
    <col min="28" max="28" width="6.625" style="98" customWidth="1"/>
    <col min="29" max="29" width="12.25" style="92" bestFit="1" customWidth="1"/>
    <col min="30" max="32" width="12.5" style="92" customWidth="1"/>
    <col min="33" max="33" width="12.5" style="100" customWidth="1"/>
    <col min="34" max="34" width="17.75" style="100" customWidth="1"/>
    <col min="35" max="43" width="9" style="88"/>
    <col min="44" max="44" width="5" style="88" bestFit="1" customWidth="1"/>
    <col min="45" max="49" width="10" style="88" customWidth="1"/>
    <col min="50" max="52" width="10" style="94" customWidth="1"/>
    <col min="53" max="87" width="10.125" style="94" customWidth="1"/>
    <col min="88" max="251" width="9" style="94"/>
    <col min="252" max="252" width="1.75" style="94" customWidth="1"/>
    <col min="253" max="253" width="2.5" style="94" customWidth="1"/>
    <col min="254" max="254" width="3.625" style="94" customWidth="1"/>
    <col min="255" max="255" width="2.75" style="94" customWidth="1"/>
    <col min="256" max="256" width="0.875" style="94" customWidth="1"/>
    <col min="257" max="257" width="1.25" style="94" customWidth="1"/>
    <col min="258" max="258" width="5.375" style="94" customWidth="1"/>
    <col min="259" max="259" width="6.5" style="94" customWidth="1"/>
    <col min="260" max="260" width="4.125" style="94" customWidth="1"/>
    <col min="261" max="261" width="7.875" style="94" customWidth="1"/>
    <col min="262" max="262" width="8.75" style="94" customWidth="1"/>
    <col min="263" max="266" width="6.25" style="94" customWidth="1"/>
    <col min="267" max="267" width="4.875" style="94" customWidth="1"/>
    <col min="268" max="268" width="2.5" style="94" customWidth="1"/>
    <col min="269" max="269" width="4.875" style="94" customWidth="1"/>
    <col min="270" max="507" width="9" style="94"/>
    <col min="508" max="508" width="1.75" style="94" customWidth="1"/>
    <col min="509" max="509" width="2.5" style="94" customWidth="1"/>
    <col min="510" max="510" width="3.625" style="94" customWidth="1"/>
    <col min="511" max="511" width="2.75" style="94" customWidth="1"/>
    <col min="512" max="512" width="0.875" style="94" customWidth="1"/>
    <col min="513" max="513" width="1.25" style="94" customWidth="1"/>
    <col min="514" max="514" width="5.375" style="94" customWidth="1"/>
    <col min="515" max="515" width="6.5" style="94" customWidth="1"/>
    <col min="516" max="516" width="4.125" style="94" customWidth="1"/>
    <col min="517" max="517" width="7.875" style="94" customWidth="1"/>
    <col min="518" max="518" width="8.75" style="94" customWidth="1"/>
    <col min="519" max="522" width="6.25" style="94" customWidth="1"/>
    <col min="523" max="523" width="4.875" style="94" customWidth="1"/>
    <col min="524" max="524" width="2.5" style="94" customWidth="1"/>
    <col min="525" max="525" width="4.875" style="94" customWidth="1"/>
    <col min="526" max="763" width="9" style="94"/>
    <col min="764" max="764" width="1.75" style="94" customWidth="1"/>
    <col min="765" max="765" width="2.5" style="94" customWidth="1"/>
    <col min="766" max="766" width="3.625" style="94" customWidth="1"/>
    <col min="767" max="767" width="2.75" style="94" customWidth="1"/>
    <col min="768" max="768" width="0.875" style="94" customWidth="1"/>
    <col min="769" max="769" width="1.25" style="94" customWidth="1"/>
    <col min="770" max="770" width="5.375" style="94" customWidth="1"/>
    <col min="771" max="771" width="6.5" style="94" customWidth="1"/>
    <col min="772" max="772" width="4.125" style="94" customWidth="1"/>
    <col min="773" max="773" width="7.875" style="94" customWidth="1"/>
    <col min="774" max="774" width="8.75" style="94" customWidth="1"/>
    <col min="775" max="778" width="6.25" style="94" customWidth="1"/>
    <col min="779" max="779" width="4.875" style="94" customWidth="1"/>
    <col min="780" max="780" width="2.5" style="94" customWidth="1"/>
    <col min="781" max="781" width="4.875" style="94" customWidth="1"/>
    <col min="782" max="1019" width="9" style="94"/>
    <col min="1020" max="1020" width="1.75" style="94" customWidth="1"/>
    <col min="1021" max="1021" width="2.5" style="94" customWidth="1"/>
    <col min="1022" max="1022" width="3.625" style="94" customWidth="1"/>
    <col min="1023" max="1023" width="2.75" style="94" customWidth="1"/>
    <col min="1024" max="1024" width="0.875" style="94" customWidth="1"/>
    <col min="1025" max="1025" width="1.25" style="94" customWidth="1"/>
    <col min="1026" max="1026" width="5.375" style="94" customWidth="1"/>
    <col min="1027" max="1027" width="6.5" style="94" customWidth="1"/>
    <col min="1028" max="1028" width="4.125" style="94" customWidth="1"/>
    <col min="1029" max="1029" width="7.875" style="94" customWidth="1"/>
    <col min="1030" max="1030" width="8.75" style="94" customWidth="1"/>
    <col min="1031" max="1034" width="6.25" style="94" customWidth="1"/>
    <col min="1035" max="1035" width="4.875" style="94" customWidth="1"/>
    <col min="1036" max="1036" width="2.5" style="94" customWidth="1"/>
    <col min="1037" max="1037" width="4.875" style="94" customWidth="1"/>
    <col min="1038" max="1275" width="9" style="94"/>
    <col min="1276" max="1276" width="1.75" style="94" customWidth="1"/>
    <col min="1277" max="1277" width="2.5" style="94" customWidth="1"/>
    <col min="1278" max="1278" width="3.625" style="94" customWidth="1"/>
    <col min="1279" max="1279" width="2.75" style="94" customWidth="1"/>
    <col min="1280" max="1280" width="0.875" style="94" customWidth="1"/>
    <col min="1281" max="1281" width="1.25" style="94" customWidth="1"/>
    <col min="1282" max="1282" width="5.375" style="94" customWidth="1"/>
    <col min="1283" max="1283" width="6.5" style="94" customWidth="1"/>
    <col min="1284" max="1284" width="4.125" style="94" customWidth="1"/>
    <col min="1285" max="1285" width="7.875" style="94" customWidth="1"/>
    <col min="1286" max="1286" width="8.75" style="94" customWidth="1"/>
    <col min="1287" max="1290" width="6.25" style="94" customWidth="1"/>
    <col min="1291" max="1291" width="4.875" style="94" customWidth="1"/>
    <col min="1292" max="1292" width="2.5" style="94" customWidth="1"/>
    <col min="1293" max="1293" width="4.875" style="94" customWidth="1"/>
    <col min="1294" max="1531" width="9" style="94"/>
    <col min="1532" max="1532" width="1.75" style="94" customWidth="1"/>
    <col min="1533" max="1533" width="2.5" style="94" customWidth="1"/>
    <col min="1534" max="1534" width="3.625" style="94" customWidth="1"/>
    <col min="1535" max="1535" width="2.75" style="94" customWidth="1"/>
    <col min="1536" max="1536" width="0.875" style="94" customWidth="1"/>
    <col min="1537" max="1537" width="1.25" style="94" customWidth="1"/>
    <col min="1538" max="1538" width="5.375" style="94" customWidth="1"/>
    <col min="1539" max="1539" width="6.5" style="94" customWidth="1"/>
    <col min="1540" max="1540" width="4.125" style="94" customWidth="1"/>
    <col min="1541" max="1541" width="7.875" style="94" customWidth="1"/>
    <col min="1542" max="1542" width="8.75" style="94" customWidth="1"/>
    <col min="1543" max="1546" width="6.25" style="94" customWidth="1"/>
    <col min="1547" max="1547" width="4.875" style="94" customWidth="1"/>
    <col min="1548" max="1548" width="2.5" style="94" customWidth="1"/>
    <col min="1549" max="1549" width="4.875" style="94" customWidth="1"/>
    <col min="1550" max="1787" width="9" style="94"/>
    <col min="1788" max="1788" width="1.75" style="94" customWidth="1"/>
    <col min="1789" max="1789" width="2.5" style="94" customWidth="1"/>
    <col min="1790" max="1790" width="3.625" style="94" customWidth="1"/>
    <col min="1791" max="1791" width="2.75" style="94" customWidth="1"/>
    <col min="1792" max="1792" width="0.875" style="94" customWidth="1"/>
    <col min="1793" max="1793" width="1.25" style="94" customWidth="1"/>
    <col min="1794" max="1794" width="5.375" style="94" customWidth="1"/>
    <col min="1795" max="1795" width="6.5" style="94" customWidth="1"/>
    <col min="1796" max="1796" width="4.125" style="94" customWidth="1"/>
    <col min="1797" max="1797" width="7.875" style="94" customWidth="1"/>
    <col min="1798" max="1798" width="8.75" style="94" customWidth="1"/>
    <col min="1799" max="1802" width="6.25" style="94" customWidth="1"/>
    <col min="1803" max="1803" width="4.875" style="94" customWidth="1"/>
    <col min="1804" max="1804" width="2.5" style="94" customWidth="1"/>
    <col min="1805" max="1805" width="4.875" style="94" customWidth="1"/>
    <col min="1806" max="2043" width="9" style="94"/>
    <col min="2044" max="2044" width="1.75" style="94" customWidth="1"/>
    <col min="2045" max="2045" width="2.5" style="94" customWidth="1"/>
    <col min="2046" max="2046" width="3.625" style="94" customWidth="1"/>
    <col min="2047" max="2047" width="2.75" style="94" customWidth="1"/>
    <col min="2048" max="2048" width="0.875" style="94" customWidth="1"/>
    <col min="2049" max="2049" width="1.25" style="94" customWidth="1"/>
    <col min="2050" max="2050" width="5.375" style="94" customWidth="1"/>
    <col min="2051" max="2051" width="6.5" style="94" customWidth="1"/>
    <col min="2052" max="2052" width="4.125" style="94" customWidth="1"/>
    <col min="2053" max="2053" width="7.875" style="94" customWidth="1"/>
    <col min="2054" max="2054" width="8.75" style="94" customWidth="1"/>
    <col min="2055" max="2058" width="6.25" style="94" customWidth="1"/>
    <col min="2059" max="2059" width="4.875" style="94" customWidth="1"/>
    <col min="2060" max="2060" width="2.5" style="94" customWidth="1"/>
    <col min="2061" max="2061" width="4.875" style="94" customWidth="1"/>
    <col min="2062" max="2299" width="9" style="94"/>
    <col min="2300" max="2300" width="1.75" style="94" customWidth="1"/>
    <col min="2301" max="2301" width="2.5" style="94" customWidth="1"/>
    <col min="2302" max="2302" width="3.625" style="94" customWidth="1"/>
    <col min="2303" max="2303" width="2.75" style="94" customWidth="1"/>
    <col min="2304" max="2304" width="0.875" style="94" customWidth="1"/>
    <col min="2305" max="2305" width="1.25" style="94" customWidth="1"/>
    <col min="2306" max="2306" width="5.375" style="94" customWidth="1"/>
    <col min="2307" max="2307" width="6.5" style="94" customWidth="1"/>
    <col min="2308" max="2308" width="4.125" style="94" customWidth="1"/>
    <col min="2309" max="2309" width="7.875" style="94" customWidth="1"/>
    <col min="2310" max="2310" width="8.75" style="94" customWidth="1"/>
    <col min="2311" max="2314" width="6.25" style="94" customWidth="1"/>
    <col min="2315" max="2315" width="4.875" style="94" customWidth="1"/>
    <col min="2316" max="2316" width="2.5" style="94" customWidth="1"/>
    <col min="2317" max="2317" width="4.875" style="94" customWidth="1"/>
    <col min="2318" max="2555" width="9" style="94"/>
    <col min="2556" max="2556" width="1.75" style="94" customWidth="1"/>
    <col min="2557" max="2557" width="2.5" style="94" customWidth="1"/>
    <col min="2558" max="2558" width="3.625" style="94" customWidth="1"/>
    <col min="2559" max="2559" width="2.75" style="94" customWidth="1"/>
    <col min="2560" max="2560" width="0.875" style="94" customWidth="1"/>
    <col min="2561" max="2561" width="1.25" style="94" customWidth="1"/>
    <col min="2562" max="2562" width="5.375" style="94" customWidth="1"/>
    <col min="2563" max="2563" width="6.5" style="94" customWidth="1"/>
    <col min="2564" max="2564" width="4.125" style="94" customWidth="1"/>
    <col min="2565" max="2565" width="7.875" style="94" customWidth="1"/>
    <col min="2566" max="2566" width="8.75" style="94" customWidth="1"/>
    <col min="2567" max="2570" width="6.25" style="94" customWidth="1"/>
    <col min="2571" max="2571" width="4.875" style="94" customWidth="1"/>
    <col min="2572" max="2572" width="2.5" style="94" customWidth="1"/>
    <col min="2573" max="2573" width="4.875" style="94" customWidth="1"/>
    <col min="2574" max="2811" width="9" style="94"/>
    <col min="2812" max="2812" width="1.75" style="94" customWidth="1"/>
    <col min="2813" max="2813" width="2.5" style="94" customWidth="1"/>
    <col min="2814" max="2814" width="3.625" style="94" customWidth="1"/>
    <col min="2815" max="2815" width="2.75" style="94" customWidth="1"/>
    <col min="2816" max="2816" width="0.875" style="94" customWidth="1"/>
    <col min="2817" max="2817" width="1.25" style="94" customWidth="1"/>
    <col min="2818" max="2818" width="5.375" style="94" customWidth="1"/>
    <col min="2819" max="2819" width="6.5" style="94" customWidth="1"/>
    <col min="2820" max="2820" width="4.125" style="94" customWidth="1"/>
    <col min="2821" max="2821" width="7.875" style="94" customWidth="1"/>
    <col min="2822" max="2822" width="8.75" style="94" customWidth="1"/>
    <col min="2823" max="2826" width="6.25" style="94" customWidth="1"/>
    <col min="2827" max="2827" width="4.875" style="94" customWidth="1"/>
    <col min="2828" max="2828" width="2.5" style="94" customWidth="1"/>
    <col min="2829" max="2829" width="4.875" style="94" customWidth="1"/>
    <col min="2830" max="3067" width="9" style="94"/>
    <col min="3068" max="3068" width="1.75" style="94" customWidth="1"/>
    <col min="3069" max="3069" width="2.5" style="94" customWidth="1"/>
    <col min="3070" max="3070" width="3.625" style="94" customWidth="1"/>
    <col min="3071" max="3071" width="2.75" style="94" customWidth="1"/>
    <col min="3072" max="3072" width="0.875" style="94" customWidth="1"/>
    <col min="3073" max="3073" width="1.25" style="94" customWidth="1"/>
    <col min="3074" max="3074" width="5.375" style="94" customWidth="1"/>
    <col min="3075" max="3075" width="6.5" style="94" customWidth="1"/>
    <col min="3076" max="3076" width="4.125" style="94" customWidth="1"/>
    <col min="3077" max="3077" width="7.875" style="94" customWidth="1"/>
    <col min="3078" max="3078" width="8.75" style="94" customWidth="1"/>
    <col min="3079" max="3082" width="6.25" style="94" customWidth="1"/>
    <col min="3083" max="3083" width="4.875" style="94" customWidth="1"/>
    <col min="3084" max="3084" width="2.5" style="94" customWidth="1"/>
    <col min="3085" max="3085" width="4.875" style="94" customWidth="1"/>
    <col min="3086" max="3323" width="9" style="94"/>
    <col min="3324" max="3324" width="1.75" style="94" customWidth="1"/>
    <col min="3325" max="3325" width="2.5" style="94" customWidth="1"/>
    <col min="3326" max="3326" width="3.625" style="94" customWidth="1"/>
    <col min="3327" max="3327" width="2.75" style="94" customWidth="1"/>
    <col min="3328" max="3328" width="0.875" style="94" customWidth="1"/>
    <col min="3329" max="3329" width="1.25" style="94" customWidth="1"/>
    <col min="3330" max="3330" width="5.375" style="94" customWidth="1"/>
    <col min="3331" max="3331" width="6.5" style="94" customWidth="1"/>
    <col min="3332" max="3332" width="4.125" style="94" customWidth="1"/>
    <col min="3333" max="3333" width="7.875" style="94" customWidth="1"/>
    <col min="3334" max="3334" width="8.75" style="94" customWidth="1"/>
    <col min="3335" max="3338" width="6.25" style="94" customWidth="1"/>
    <col min="3339" max="3339" width="4.875" style="94" customWidth="1"/>
    <col min="3340" max="3340" width="2.5" style="94" customWidth="1"/>
    <col min="3341" max="3341" width="4.875" style="94" customWidth="1"/>
    <col min="3342" max="3579" width="9" style="94"/>
    <col min="3580" max="3580" width="1.75" style="94" customWidth="1"/>
    <col min="3581" max="3581" width="2.5" style="94" customWidth="1"/>
    <col min="3582" max="3582" width="3.625" style="94" customWidth="1"/>
    <col min="3583" max="3583" width="2.75" style="94" customWidth="1"/>
    <col min="3584" max="3584" width="0.875" style="94" customWidth="1"/>
    <col min="3585" max="3585" width="1.25" style="94" customWidth="1"/>
    <col min="3586" max="3586" width="5.375" style="94" customWidth="1"/>
    <col min="3587" max="3587" width="6.5" style="94" customWidth="1"/>
    <col min="3588" max="3588" width="4.125" style="94" customWidth="1"/>
    <col min="3589" max="3589" width="7.875" style="94" customWidth="1"/>
    <col min="3590" max="3590" width="8.75" style="94" customWidth="1"/>
    <col min="3591" max="3594" width="6.25" style="94" customWidth="1"/>
    <col min="3595" max="3595" width="4.875" style="94" customWidth="1"/>
    <col min="3596" max="3596" width="2.5" style="94" customWidth="1"/>
    <col min="3597" max="3597" width="4.875" style="94" customWidth="1"/>
    <col min="3598" max="3835" width="9" style="94"/>
    <col min="3836" max="3836" width="1.75" style="94" customWidth="1"/>
    <col min="3837" max="3837" width="2.5" style="94" customWidth="1"/>
    <col min="3838" max="3838" width="3.625" style="94" customWidth="1"/>
    <col min="3839" max="3839" width="2.75" style="94" customWidth="1"/>
    <col min="3840" max="3840" width="0.875" style="94" customWidth="1"/>
    <col min="3841" max="3841" width="1.25" style="94" customWidth="1"/>
    <col min="3842" max="3842" width="5.375" style="94" customWidth="1"/>
    <col min="3843" max="3843" width="6.5" style="94" customWidth="1"/>
    <col min="3844" max="3844" width="4.125" style="94" customWidth="1"/>
    <col min="3845" max="3845" width="7.875" style="94" customWidth="1"/>
    <col min="3846" max="3846" width="8.75" style="94" customWidth="1"/>
    <col min="3847" max="3850" width="6.25" style="94" customWidth="1"/>
    <col min="3851" max="3851" width="4.875" style="94" customWidth="1"/>
    <col min="3852" max="3852" width="2.5" style="94" customWidth="1"/>
    <col min="3853" max="3853" width="4.875" style="94" customWidth="1"/>
    <col min="3854" max="4091" width="9" style="94"/>
    <col min="4092" max="4092" width="1.75" style="94" customWidth="1"/>
    <col min="4093" max="4093" width="2.5" style="94" customWidth="1"/>
    <col min="4094" max="4094" width="3.625" style="94" customWidth="1"/>
    <col min="4095" max="4095" width="2.75" style="94" customWidth="1"/>
    <col min="4096" max="4096" width="0.875" style="94" customWidth="1"/>
    <col min="4097" max="4097" width="1.25" style="94" customWidth="1"/>
    <col min="4098" max="4098" width="5.375" style="94" customWidth="1"/>
    <col min="4099" max="4099" width="6.5" style="94" customWidth="1"/>
    <col min="4100" max="4100" width="4.125" style="94" customWidth="1"/>
    <col min="4101" max="4101" width="7.875" style="94" customWidth="1"/>
    <col min="4102" max="4102" width="8.75" style="94" customWidth="1"/>
    <col min="4103" max="4106" width="6.25" style="94" customWidth="1"/>
    <col min="4107" max="4107" width="4.875" style="94" customWidth="1"/>
    <col min="4108" max="4108" width="2.5" style="94" customWidth="1"/>
    <col min="4109" max="4109" width="4.875" style="94" customWidth="1"/>
    <col min="4110" max="4347" width="9" style="94"/>
    <col min="4348" max="4348" width="1.75" style="94" customWidth="1"/>
    <col min="4349" max="4349" width="2.5" style="94" customWidth="1"/>
    <col min="4350" max="4350" width="3.625" style="94" customWidth="1"/>
    <col min="4351" max="4351" width="2.75" style="94" customWidth="1"/>
    <col min="4352" max="4352" width="0.875" style="94" customWidth="1"/>
    <col min="4353" max="4353" width="1.25" style="94" customWidth="1"/>
    <col min="4354" max="4354" width="5.375" style="94" customWidth="1"/>
    <col min="4355" max="4355" width="6.5" style="94" customWidth="1"/>
    <col min="4356" max="4356" width="4.125" style="94" customWidth="1"/>
    <col min="4357" max="4357" width="7.875" style="94" customWidth="1"/>
    <col min="4358" max="4358" width="8.75" style="94" customWidth="1"/>
    <col min="4359" max="4362" width="6.25" style="94" customWidth="1"/>
    <col min="4363" max="4363" width="4.875" style="94" customWidth="1"/>
    <col min="4364" max="4364" width="2.5" style="94" customWidth="1"/>
    <col min="4365" max="4365" width="4.875" style="94" customWidth="1"/>
    <col min="4366" max="4603" width="9" style="94"/>
    <col min="4604" max="4604" width="1.75" style="94" customWidth="1"/>
    <col min="4605" max="4605" width="2.5" style="94" customWidth="1"/>
    <col min="4606" max="4606" width="3.625" style="94" customWidth="1"/>
    <col min="4607" max="4607" width="2.75" style="94" customWidth="1"/>
    <col min="4608" max="4608" width="0.875" style="94" customWidth="1"/>
    <col min="4609" max="4609" width="1.25" style="94" customWidth="1"/>
    <col min="4610" max="4610" width="5.375" style="94" customWidth="1"/>
    <col min="4611" max="4611" width="6.5" style="94" customWidth="1"/>
    <col min="4612" max="4612" width="4.125" style="94" customWidth="1"/>
    <col min="4613" max="4613" width="7.875" style="94" customWidth="1"/>
    <col min="4614" max="4614" width="8.75" style="94" customWidth="1"/>
    <col min="4615" max="4618" width="6.25" style="94" customWidth="1"/>
    <col min="4619" max="4619" width="4.875" style="94" customWidth="1"/>
    <col min="4620" max="4620" width="2.5" style="94" customWidth="1"/>
    <col min="4621" max="4621" width="4.875" style="94" customWidth="1"/>
    <col min="4622" max="4859" width="9" style="94"/>
    <col min="4860" max="4860" width="1.75" style="94" customWidth="1"/>
    <col min="4861" max="4861" width="2.5" style="94" customWidth="1"/>
    <col min="4862" max="4862" width="3.625" style="94" customWidth="1"/>
    <col min="4863" max="4863" width="2.75" style="94" customWidth="1"/>
    <col min="4864" max="4864" width="0.875" style="94" customWidth="1"/>
    <col min="4865" max="4865" width="1.25" style="94" customWidth="1"/>
    <col min="4866" max="4866" width="5.375" style="94" customWidth="1"/>
    <col min="4867" max="4867" width="6.5" style="94" customWidth="1"/>
    <col min="4868" max="4868" width="4.125" style="94" customWidth="1"/>
    <col min="4869" max="4869" width="7.875" style="94" customWidth="1"/>
    <col min="4870" max="4870" width="8.75" style="94" customWidth="1"/>
    <col min="4871" max="4874" width="6.25" style="94" customWidth="1"/>
    <col min="4875" max="4875" width="4.875" style="94" customWidth="1"/>
    <col min="4876" max="4876" width="2.5" style="94" customWidth="1"/>
    <col min="4877" max="4877" width="4.875" style="94" customWidth="1"/>
    <col min="4878" max="5115" width="9" style="94"/>
    <col min="5116" max="5116" width="1.75" style="94" customWidth="1"/>
    <col min="5117" max="5117" width="2.5" style="94" customWidth="1"/>
    <col min="5118" max="5118" width="3.625" style="94" customWidth="1"/>
    <col min="5119" max="5119" width="2.75" style="94" customWidth="1"/>
    <col min="5120" max="5120" width="0.875" style="94" customWidth="1"/>
    <col min="5121" max="5121" width="1.25" style="94" customWidth="1"/>
    <col min="5122" max="5122" width="5.375" style="94" customWidth="1"/>
    <col min="5123" max="5123" width="6.5" style="94" customWidth="1"/>
    <col min="5124" max="5124" width="4.125" style="94" customWidth="1"/>
    <col min="5125" max="5125" width="7.875" style="94" customWidth="1"/>
    <col min="5126" max="5126" width="8.75" style="94" customWidth="1"/>
    <col min="5127" max="5130" width="6.25" style="94" customWidth="1"/>
    <col min="5131" max="5131" width="4.875" style="94" customWidth="1"/>
    <col min="5132" max="5132" width="2.5" style="94" customWidth="1"/>
    <col min="5133" max="5133" width="4.875" style="94" customWidth="1"/>
    <col min="5134" max="5371" width="9" style="94"/>
    <col min="5372" max="5372" width="1.75" style="94" customWidth="1"/>
    <col min="5373" max="5373" width="2.5" style="94" customWidth="1"/>
    <col min="5374" max="5374" width="3.625" style="94" customWidth="1"/>
    <col min="5375" max="5375" width="2.75" style="94" customWidth="1"/>
    <col min="5376" max="5376" width="0.875" style="94" customWidth="1"/>
    <col min="5377" max="5377" width="1.25" style="94" customWidth="1"/>
    <col min="5378" max="5378" width="5.375" style="94" customWidth="1"/>
    <col min="5379" max="5379" width="6.5" style="94" customWidth="1"/>
    <col min="5380" max="5380" width="4.125" style="94" customWidth="1"/>
    <col min="5381" max="5381" width="7.875" style="94" customWidth="1"/>
    <col min="5382" max="5382" width="8.75" style="94" customWidth="1"/>
    <col min="5383" max="5386" width="6.25" style="94" customWidth="1"/>
    <col min="5387" max="5387" width="4.875" style="94" customWidth="1"/>
    <col min="5388" max="5388" width="2.5" style="94" customWidth="1"/>
    <col min="5389" max="5389" width="4.875" style="94" customWidth="1"/>
    <col min="5390" max="5627" width="9" style="94"/>
    <col min="5628" max="5628" width="1.75" style="94" customWidth="1"/>
    <col min="5629" max="5629" width="2.5" style="94" customWidth="1"/>
    <col min="5630" max="5630" width="3.625" style="94" customWidth="1"/>
    <col min="5631" max="5631" width="2.75" style="94" customWidth="1"/>
    <col min="5632" max="5632" width="0.875" style="94" customWidth="1"/>
    <col min="5633" max="5633" width="1.25" style="94" customWidth="1"/>
    <col min="5634" max="5634" width="5.375" style="94" customWidth="1"/>
    <col min="5635" max="5635" width="6.5" style="94" customWidth="1"/>
    <col min="5636" max="5636" width="4.125" style="94" customWidth="1"/>
    <col min="5637" max="5637" width="7.875" style="94" customWidth="1"/>
    <col min="5638" max="5638" width="8.75" style="94" customWidth="1"/>
    <col min="5639" max="5642" width="6.25" style="94" customWidth="1"/>
    <col min="5643" max="5643" width="4.875" style="94" customWidth="1"/>
    <col min="5644" max="5644" width="2.5" style="94" customWidth="1"/>
    <col min="5645" max="5645" width="4.875" style="94" customWidth="1"/>
    <col min="5646" max="5883" width="9" style="94"/>
    <col min="5884" max="5884" width="1.75" style="94" customWidth="1"/>
    <col min="5885" max="5885" width="2.5" style="94" customWidth="1"/>
    <col min="5886" max="5886" width="3.625" style="94" customWidth="1"/>
    <col min="5887" max="5887" width="2.75" style="94" customWidth="1"/>
    <col min="5888" max="5888" width="0.875" style="94" customWidth="1"/>
    <col min="5889" max="5889" width="1.25" style="94" customWidth="1"/>
    <col min="5890" max="5890" width="5.375" style="94" customWidth="1"/>
    <col min="5891" max="5891" width="6.5" style="94" customWidth="1"/>
    <col min="5892" max="5892" width="4.125" style="94" customWidth="1"/>
    <col min="5893" max="5893" width="7.875" style="94" customWidth="1"/>
    <col min="5894" max="5894" width="8.75" style="94" customWidth="1"/>
    <col min="5895" max="5898" width="6.25" style="94" customWidth="1"/>
    <col min="5899" max="5899" width="4.875" style="94" customWidth="1"/>
    <col min="5900" max="5900" width="2.5" style="94" customWidth="1"/>
    <col min="5901" max="5901" width="4.875" style="94" customWidth="1"/>
    <col min="5902" max="6139" width="9" style="94"/>
    <col min="6140" max="6140" width="1.75" style="94" customWidth="1"/>
    <col min="6141" max="6141" width="2.5" style="94" customWidth="1"/>
    <col min="6142" max="6142" width="3.625" style="94" customWidth="1"/>
    <col min="6143" max="6143" width="2.75" style="94" customWidth="1"/>
    <col min="6144" max="6144" width="0.875" style="94" customWidth="1"/>
    <col min="6145" max="6145" width="1.25" style="94" customWidth="1"/>
    <col min="6146" max="6146" width="5.375" style="94" customWidth="1"/>
    <col min="6147" max="6147" width="6.5" style="94" customWidth="1"/>
    <col min="6148" max="6148" width="4.125" style="94" customWidth="1"/>
    <col min="6149" max="6149" width="7.875" style="94" customWidth="1"/>
    <col min="6150" max="6150" width="8.75" style="94" customWidth="1"/>
    <col min="6151" max="6154" width="6.25" style="94" customWidth="1"/>
    <col min="6155" max="6155" width="4.875" style="94" customWidth="1"/>
    <col min="6156" max="6156" width="2.5" style="94" customWidth="1"/>
    <col min="6157" max="6157" width="4.875" style="94" customWidth="1"/>
    <col min="6158" max="6395" width="9" style="94"/>
    <col min="6396" max="6396" width="1.75" style="94" customWidth="1"/>
    <col min="6397" max="6397" width="2.5" style="94" customWidth="1"/>
    <col min="6398" max="6398" width="3.625" style="94" customWidth="1"/>
    <col min="6399" max="6399" width="2.75" style="94" customWidth="1"/>
    <col min="6400" max="6400" width="0.875" style="94" customWidth="1"/>
    <col min="6401" max="6401" width="1.25" style="94" customWidth="1"/>
    <col min="6402" max="6402" width="5.375" style="94" customWidth="1"/>
    <col min="6403" max="6403" width="6.5" style="94" customWidth="1"/>
    <col min="6404" max="6404" width="4.125" style="94" customWidth="1"/>
    <col min="6405" max="6405" width="7.875" style="94" customWidth="1"/>
    <col min="6406" max="6406" width="8.75" style="94" customWidth="1"/>
    <col min="6407" max="6410" width="6.25" style="94" customWidth="1"/>
    <col min="6411" max="6411" width="4.875" style="94" customWidth="1"/>
    <col min="6412" max="6412" width="2.5" style="94" customWidth="1"/>
    <col min="6413" max="6413" width="4.875" style="94" customWidth="1"/>
    <col min="6414" max="6651" width="9" style="94"/>
    <col min="6652" max="6652" width="1.75" style="94" customWidth="1"/>
    <col min="6653" max="6653" width="2.5" style="94" customWidth="1"/>
    <col min="6654" max="6654" width="3.625" style="94" customWidth="1"/>
    <col min="6655" max="6655" width="2.75" style="94" customWidth="1"/>
    <col min="6656" max="6656" width="0.875" style="94" customWidth="1"/>
    <col min="6657" max="6657" width="1.25" style="94" customWidth="1"/>
    <col min="6658" max="6658" width="5.375" style="94" customWidth="1"/>
    <col min="6659" max="6659" width="6.5" style="94" customWidth="1"/>
    <col min="6660" max="6660" width="4.125" style="94" customWidth="1"/>
    <col min="6661" max="6661" width="7.875" style="94" customWidth="1"/>
    <col min="6662" max="6662" width="8.75" style="94" customWidth="1"/>
    <col min="6663" max="6666" width="6.25" style="94" customWidth="1"/>
    <col min="6667" max="6667" width="4.875" style="94" customWidth="1"/>
    <col min="6668" max="6668" width="2.5" style="94" customWidth="1"/>
    <col min="6669" max="6669" width="4.875" style="94" customWidth="1"/>
    <col min="6670" max="6907" width="9" style="94"/>
    <col min="6908" max="6908" width="1.75" style="94" customWidth="1"/>
    <col min="6909" max="6909" width="2.5" style="94" customWidth="1"/>
    <col min="6910" max="6910" width="3.625" style="94" customWidth="1"/>
    <col min="6911" max="6911" width="2.75" style="94" customWidth="1"/>
    <col min="6912" max="6912" width="0.875" style="94" customWidth="1"/>
    <col min="6913" max="6913" width="1.25" style="94" customWidth="1"/>
    <col min="6914" max="6914" width="5.375" style="94" customWidth="1"/>
    <col min="6915" max="6915" width="6.5" style="94" customWidth="1"/>
    <col min="6916" max="6916" width="4.125" style="94" customWidth="1"/>
    <col min="6917" max="6917" width="7.875" style="94" customWidth="1"/>
    <col min="6918" max="6918" width="8.75" style="94" customWidth="1"/>
    <col min="6919" max="6922" width="6.25" style="94" customWidth="1"/>
    <col min="6923" max="6923" width="4.875" style="94" customWidth="1"/>
    <col min="6924" max="6924" width="2.5" style="94" customWidth="1"/>
    <col min="6925" max="6925" width="4.875" style="94" customWidth="1"/>
    <col min="6926" max="7163" width="9" style="94"/>
    <col min="7164" max="7164" width="1.75" style="94" customWidth="1"/>
    <col min="7165" max="7165" width="2.5" style="94" customWidth="1"/>
    <col min="7166" max="7166" width="3.625" style="94" customWidth="1"/>
    <col min="7167" max="7167" width="2.75" style="94" customWidth="1"/>
    <col min="7168" max="7168" width="0.875" style="94" customWidth="1"/>
    <col min="7169" max="7169" width="1.25" style="94" customWidth="1"/>
    <col min="7170" max="7170" width="5.375" style="94" customWidth="1"/>
    <col min="7171" max="7171" width="6.5" style="94" customWidth="1"/>
    <col min="7172" max="7172" width="4.125" style="94" customWidth="1"/>
    <col min="7173" max="7173" width="7.875" style="94" customWidth="1"/>
    <col min="7174" max="7174" width="8.75" style="94" customWidth="1"/>
    <col min="7175" max="7178" width="6.25" style="94" customWidth="1"/>
    <col min="7179" max="7179" width="4.875" style="94" customWidth="1"/>
    <col min="7180" max="7180" width="2.5" style="94" customWidth="1"/>
    <col min="7181" max="7181" width="4.875" style="94" customWidth="1"/>
    <col min="7182" max="7419" width="9" style="94"/>
    <col min="7420" max="7420" width="1.75" style="94" customWidth="1"/>
    <col min="7421" max="7421" width="2.5" style="94" customWidth="1"/>
    <col min="7422" max="7422" width="3.625" style="94" customWidth="1"/>
    <col min="7423" max="7423" width="2.75" style="94" customWidth="1"/>
    <col min="7424" max="7424" width="0.875" style="94" customWidth="1"/>
    <col min="7425" max="7425" width="1.25" style="94" customWidth="1"/>
    <col min="7426" max="7426" width="5.375" style="94" customWidth="1"/>
    <col min="7427" max="7427" width="6.5" style="94" customWidth="1"/>
    <col min="7428" max="7428" width="4.125" style="94" customWidth="1"/>
    <col min="7429" max="7429" width="7.875" style="94" customWidth="1"/>
    <col min="7430" max="7430" width="8.75" style="94" customWidth="1"/>
    <col min="7431" max="7434" width="6.25" style="94" customWidth="1"/>
    <col min="7435" max="7435" width="4.875" style="94" customWidth="1"/>
    <col min="7436" max="7436" width="2.5" style="94" customWidth="1"/>
    <col min="7437" max="7437" width="4.875" style="94" customWidth="1"/>
    <col min="7438" max="7675" width="9" style="94"/>
    <col min="7676" max="7676" width="1.75" style="94" customWidth="1"/>
    <col min="7677" max="7677" width="2.5" style="94" customWidth="1"/>
    <col min="7678" max="7678" width="3.625" style="94" customWidth="1"/>
    <col min="7679" max="7679" width="2.75" style="94" customWidth="1"/>
    <col min="7680" max="7680" width="0.875" style="94" customWidth="1"/>
    <col min="7681" max="7681" width="1.25" style="94" customWidth="1"/>
    <col min="7682" max="7682" width="5.375" style="94" customWidth="1"/>
    <col min="7683" max="7683" width="6.5" style="94" customWidth="1"/>
    <col min="7684" max="7684" width="4.125" style="94" customWidth="1"/>
    <col min="7685" max="7685" width="7.875" style="94" customWidth="1"/>
    <col min="7686" max="7686" width="8.75" style="94" customWidth="1"/>
    <col min="7687" max="7690" width="6.25" style="94" customWidth="1"/>
    <col min="7691" max="7691" width="4.875" style="94" customWidth="1"/>
    <col min="7692" max="7692" width="2.5" style="94" customWidth="1"/>
    <col min="7693" max="7693" width="4.875" style="94" customWidth="1"/>
    <col min="7694" max="7931" width="9" style="94"/>
    <col min="7932" max="7932" width="1.75" style="94" customWidth="1"/>
    <col min="7933" max="7933" width="2.5" style="94" customWidth="1"/>
    <col min="7934" max="7934" width="3.625" style="94" customWidth="1"/>
    <col min="7935" max="7935" width="2.75" style="94" customWidth="1"/>
    <col min="7936" max="7936" width="0.875" style="94" customWidth="1"/>
    <col min="7937" max="7937" width="1.25" style="94" customWidth="1"/>
    <col min="7938" max="7938" width="5.375" style="94" customWidth="1"/>
    <col min="7939" max="7939" width="6.5" style="94" customWidth="1"/>
    <col min="7940" max="7940" width="4.125" style="94" customWidth="1"/>
    <col min="7941" max="7941" width="7.875" style="94" customWidth="1"/>
    <col min="7942" max="7942" width="8.75" style="94" customWidth="1"/>
    <col min="7943" max="7946" width="6.25" style="94" customWidth="1"/>
    <col min="7947" max="7947" width="4.875" style="94" customWidth="1"/>
    <col min="7948" max="7948" width="2.5" style="94" customWidth="1"/>
    <col min="7949" max="7949" width="4.875" style="94" customWidth="1"/>
    <col min="7950" max="8187" width="9" style="94"/>
    <col min="8188" max="8188" width="1.75" style="94" customWidth="1"/>
    <col min="8189" max="8189" width="2.5" style="94" customWidth="1"/>
    <col min="8190" max="8190" width="3.625" style="94" customWidth="1"/>
    <col min="8191" max="8191" width="2.75" style="94" customWidth="1"/>
    <col min="8192" max="8192" width="0.875" style="94" customWidth="1"/>
    <col min="8193" max="8193" width="1.25" style="94" customWidth="1"/>
    <col min="8194" max="8194" width="5.375" style="94" customWidth="1"/>
    <col min="8195" max="8195" width="6.5" style="94" customWidth="1"/>
    <col min="8196" max="8196" width="4.125" style="94" customWidth="1"/>
    <col min="8197" max="8197" width="7.875" style="94" customWidth="1"/>
    <col min="8198" max="8198" width="8.75" style="94" customWidth="1"/>
    <col min="8199" max="8202" width="6.25" style="94" customWidth="1"/>
    <col min="8203" max="8203" width="4.875" style="94" customWidth="1"/>
    <col min="8204" max="8204" width="2.5" style="94" customWidth="1"/>
    <col min="8205" max="8205" width="4.875" style="94" customWidth="1"/>
    <col min="8206" max="8443" width="9" style="94"/>
    <col min="8444" max="8444" width="1.75" style="94" customWidth="1"/>
    <col min="8445" max="8445" width="2.5" style="94" customWidth="1"/>
    <col min="8446" max="8446" width="3.625" style="94" customWidth="1"/>
    <col min="8447" max="8447" width="2.75" style="94" customWidth="1"/>
    <col min="8448" max="8448" width="0.875" style="94" customWidth="1"/>
    <col min="8449" max="8449" width="1.25" style="94" customWidth="1"/>
    <col min="8450" max="8450" width="5.375" style="94" customWidth="1"/>
    <col min="8451" max="8451" width="6.5" style="94" customWidth="1"/>
    <col min="8452" max="8452" width="4.125" style="94" customWidth="1"/>
    <col min="8453" max="8453" width="7.875" style="94" customWidth="1"/>
    <col min="8454" max="8454" width="8.75" style="94" customWidth="1"/>
    <col min="8455" max="8458" width="6.25" style="94" customWidth="1"/>
    <col min="8459" max="8459" width="4.875" style="94" customWidth="1"/>
    <col min="8460" max="8460" width="2.5" style="94" customWidth="1"/>
    <col min="8461" max="8461" width="4.875" style="94" customWidth="1"/>
    <col min="8462" max="8699" width="9" style="94"/>
    <col min="8700" max="8700" width="1.75" style="94" customWidth="1"/>
    <col min="8701" max="8701" width="2.5" style="94" customWidth="1"/>
    <col min="8702" max="8702" width="3.625" style="94" customWidth="1"/>
    <col min="8703" max="8703" width="2.75" style="94" customWidth="1"/>
    <col min="8704" max="8704" width="0.875" style="94" customWidth="1"/>
    <col min="8705" max="8705" width="1.25" style="94" customWidth="1"/>
    <col min="8706" max="8706" width="5.375" style="94" customWidth="1"/>
    <col min="8707" max="8707" width="6.5" style="94" customWidth="1"/>
    <col min="8708" max="8708" width="4.125" style="94" customWidth="1"/>
    <col min="8709" max="8709" width="7.875" style="94" customWidth="1"/>
    <col min="8710" max="8710" width="8.75" style="94" customWidth="1"/>
    <col min="8711" max="8714" width="6.25" style="94" customWidth="1"/>
    <col min="8715" max="8715" width="4.875" style="94" customWidth="1"/>
    <col min="8716" max="8716" width="2.5" style="94" customWidth="1"/>
    <col min="8717" max="8717" width="4.875" style="94" customWidth="1"/>
    <col min="8718" max="8955" width="9" style="94"/>
    <col min="8956" max="8956" width="1.75" style="94" customWidth="1"/>
    <col min="8957" max="8957" width="2.5" style="94" customWidth="1"/>
    <col min="8958" max="8958" width="3.625" style="94" customWidth="1"/>
    <col min="8959" max="8959" width="2.75" style="94" customWidth="1"/>
    <col min="8960" max="8960" width="0.875" style="94" customWidth="1"/>
    <col min="8961" max="8961" width="1.25" style="94" customWidth="1"/>
    <col min="8962" max="8962" width="5.375" style="94" customWidth="1"/>
    <col min="8963" max="8963" width="6.5" style="94" customWidth="1"/>
    <col min="8964" max="8964" width="4.125" style="94" customWidth="1"/>
    <col min="8965" max="8965" width="7.875" style="94" customWidth="1"/>
    <col min="8966" max="8966" width="8.75" style="94" customWidth="1"/>
    <col min="8967" max="8970" width="6.25" style="94" customWidth="1"/>
    <col min="8971" max="8971" width="4.875" style="94" customWidth="1"/>
    <col min="8972" max="8972" width="2.5" style="94" customWidth="1"/>
    <col min="8973" max="8973" width="4.875" style="94" customWidth="1"/>
    <col min="8974" max="9211" width="9" style="94"/>
    <col min="9212" max="9212" width="1.75" style="94" customWidth="1"/>
    <col min="9213" max="9213" width="2.5" style="94" customWidth="1"/>
    <col min="9214" max="9214" width="3.625" style="94" customWidth="1"/>
    <col min="9215" max="9215" width="2.75" style="94" customWidth="1"/>
    <col min="9216" max="9216" width="0.875" style="94" customWidth="1"/>
    <col min="9217" max="9217" width="1.25" style="94" customWidth="1"/>
    <col min="9218" max="9218" width="5.375" style="94" customWidth="1"/>
    <col min="9219" max="9219" width="6.5" style="94" customWidth="1"/>
    <col min="9220" max="9220" width="4.125" style="94" customWidth="1"/>
    <col min="9221" max="9221" width="7.875" style="94" customWidth="1"/>
    <col min="9222" max="9222" width="8.75" style="94" customWidth="1"/>
    <col min="9223" max="9226" width="6.25" style="94" customWidth="1"/>
    <col min="9227" max="9227" width="4.875" style="94" customWidth="1"/>
    <col min="9228" max="9228" width="2.5" style="94" customWidth="1"/>
    <col min="9229" max="9229" width="4.875" style="94" customWidth="1"/>
    <col min="9230" max="9467" width="9" style="94"/>
    <col min="9468" max="9468" width="1.75" style="94" customWidth="1"/>
    <col min="9469" max="9469" width="2.5" style="94" customWidth="1"/>
    <col min="9470" max="9470" width="3.625" style="94" customWidth="1"/>
    <col min="9471" max="9471" width="2.75" style="94" customWidth="1"/>
    <col min="9472" max="9472" width="0.875" style="94" customWidth="1"/>
    <col min="9473" max="9473" width="1.25" style="94" customWidth="1"/>
    <col min="9474" max="9474" width="5.375" style="94" customWidth="1"/>
    <col min="9475" max="9475" width="6.5" style="94" customWidth="1"/>
    <col min="9476" max="9476" width="4.125" style="94" customWidth="1"/>
    <col min="9477" max="9477" width="7.875" style="94" customWidth="1"/>
    <col min="9478" max="9478" width="8.75" style="94" customWidth="1"/>
    <col min="9479" max="9482" width="6.25" style="94" customWidth="1"/>
    <col min="9483" max="9483" width="4.875" style="94" customWidth="1"/>
    <col min="9484" max="9484" width="2.5" style="94" customWidth="1"/>
    <col min="9485" max="9485" width="4.875" style="94" customWidth="1"/>
    <col min="9486" max="9723" width="9" style="94"/>
    <col min="9724" max="9724" width="1.75" style="94" customWidth="1"/>
    <col min="9725" max="9725" width="2.5" style="94" customWidth="1"/>
    <col min="9726" max="9726" width="3.625" style="94" customWidth="1"/>
    <col min="9727" max="9727" width="2.75" style="94" customWidth="1"/>
    <col min="9728" max="9728" width="0.875" style="94" customWidth="1"/>
    <col min="9729" max="9729" width="1.25" style="94" customWidth="1"/>
    <col min="9730" max="9730" width="5.375" style="94" customWidth="1"/>
    <col min="9731" max="9731" width="6.5" style="94" customWidth="1"/>
    <col min="9732" max="9732" width="4.125" style="94" customWidth="1"/>
    <col min="9733" max="9733" width="7.875" style="94" customWidth="1"/>
    <col min="9734" max="9734" width="8.75" style="94" customWidth="1"/>
    <col min="9735" max="9738" width="6.25" style="94" customWidth="1"/>
    <col min="9739" max="9739" width="4.875" style="94" customWidth="1"/>
    <col min="9740" max="9740" width="2.5" style="94" customWidth="1"/>
    <col min="9741" max="9741" width="4.875" style="94" customWidth="1"/>
    <col min="9742" max="9979" width="9" style="94"/>
    <col min="9980" max="9980" width="1.75" style="94" customWidth="1"/>
    <col min="9981" max="9981" width="2.5" style="94" customWidth="1"/>
    <col min="9982" max="9982" width="3.625" style="94" customWidth="1"/>
    <col min="9983" max="9983" width="2.75" style="94" customWidth="1"/>
    <col min="9984" max="9984" width="0.875" style="94" customWidth="1"/>
    <col min="9985" max="9985" width="1.25" style="94" customWidth="1"/>
    <col min="9986" max="9986" width="5.375" style="94" customWidth="1"/>
    <col min="9987" max="9987" width="6.5" style="94" customWidth="1"/>
    <col min="9988" max="9988" width="4.125" style="94" customWidth="1"/>
    <col min="9989" max="9989" width="7.875" style="94" customWidth="1"/>
    <col min="9990" max="9990" width="8.75" style="94" customWidth="1"/>
    <col min="9991" max="9994" width="6.25" style="94" customWidth="1"/>
    <col min="9995" max="9995" width="4.875" style="94" customWidth="1"/>
    <col min="9996" max="9996" width="2.5" style="94" customWidth="1"/>
    <col min="9997" max="9997" width="4.875" style="94" customWidth="1"/>
    <col min="9998" max="10235" width="9" style="94"/>
    <col min="10236" max="10236" width="1.75" style="94" customWidth="1"/>
    <col min="10237" max="10237" width="2.5" style="94" customWidth="1"/>
    <col min="10238" max="10238" width="3.625" style="94" customWidth="1"/>
    <col min="10239" max="10239" width="2.75" style="94" customWidth="1"/>
    <col min="10240" max="10240" width="0.875" style="94" customWidth="1"/>
    <col min="10241" max="10241" width="1.25" style="94" customWidth="1"/>
    <col min="10242" max="10242" width="5.375" style="94" customWidth="1"/>
    <col min="10243" max="10243" width="6.5" style="94" customWidth="1"/>
    <col min="10244" max="10244" width="4.125" style="94" customWidth="1"/>
    <col min="10245" max="10245" width="7.875" style="94" customWidth="1"/>
    <col min="10246" max="10246" width="8.75" style="94" customWidth="1"/>
    <col min="10247" max="10250" width="6.25" style="94" customWidth="1"/>
    <col min="10251" max="10251" width="4.875" style="94" customWidth="1"/>
    <col min="10252" max="10252" width="2.5" style="94" customWidth="1"/>
    <col min="10253" max="10253" width="4.875" style="94" customWidth="1"/>
    <col min="10254" max="10491" width="9" style="94"/>
    <col min="10492" max="10492" width="1.75" style="94" customWidth="1"/>
    <col min="10493" max="10493" width="2.5" style="94" customWidth="1"/>
    <col min="10494" max="10494" width="3.625" style="94" customWidth="1"/>
    <col min="10495" max="10495" width="2.75" style="94" customWidth="1"/>
    <col min="10496" max="10496" width="0.875" style="94" customWidth="1"/>
    <col min="10497" max="10497" width="1.25" style="94" customWidth="1"/>
    <col min="10498" max="10498" width="5.375" style="94" customWidth="1"/>
    <col min="10499" max="10499" width="6.5" style="94" customWidth="1"/>
    <col min="10500" max="10500" width="4.125" style="94" customWidth="1"/>
    <col min="10501" max="10501" width="7.875" style="94" customWidth="1"/>
    <col min="10502" max="10502" width="8.75" style="94" customWidth="1"/>
    <col min="10503" max="10506" width="6.25" style="94" customWidth="1"/>
    <col min="10507" max="10507" width="4.875" style="94" customWidth="1"/>
    <col min="10508" max="10508" width="2.5" style="94" customWidth="1"/>
    <col min="10509" max="10509" width="4.875" style="94" customWidth="1"/>
    <col min="10510" max="10747" width="9" style="94"/>
    <col min="10748" max="10748" width="1.75" style="94" customWidth="1"/>
    <col min="10749" max="10749" width="2.5" style="94" customWidth="1"/>
    <col min="10750" max="10750" width="3.625" style="94" customWidth="1"/>
    <col min="10751" max="10751" width="2.75" style="94" customWidth="1"/>
    <col min="10752" max="10752" width="0.875" style="94" customWidth="1"/>
    <col min="10753" max="10753" width="1.25" style="94" customWidth="1"/>
    <col min="10754" max="10754" width="5.375" style="94" customWidth="1"/>
    <col min="10755" max="10755" width="6.5" style="94" customWidth="1"/>
    <col min="10756" max="10756" width="4.125" style="94" customWidth="1"/>
    <col min="10757" max="10757" width="7.875" style="94" customWidth="1"/>
    <col min="10758" max="10758" width="8.75" style="94" customWidth="1"/>
    <col min="10759" max="10762" width="6.25" style="94" customWidth="1"/>
    <col min="10763" max="10763" width="4.875" style="94" customWidth="1"/>
    <col min="10764" max="10764" width="2.5" style="94" customWidth="1"/>
    <col min="10765" max="10765" width="4.875" style="94" customWidth="1"/>
    <col min="10766" max="11003" width="9" style="94"/>
    <col min="11004" max="11004" width="1.75" style="94" customWidth="1"/>
    <col min="11005" max="11005" width="2.5" style="94" customWidth="1"/>
    <col min="11006" max="11006" width="3.625" style="94" customWidth="1"/>
    <col min="11007" max="11007" width="2.75" style="94" customWidth="1"/>
    <col min="11008" max="11008" width="0.875" style="94" customWidth="1"/>
    <col min="11009" max="11009" width="1.25" style="94" customWidth="1"/>
    <col min="11010" max="11010" width="5.375" style="94" customWidth="1"/>
    <col min="11011" max="11011" width="6.5" style="94" customWidth="1"/>
    <col min="11012" max="11012" width="4.125" style="94" customWidth="1"/>
    <col min="11013" max="11013" width="7.875" style="94" customWidth="1"/>
    <col min="11014" max="11014" width="8.75" style="94" customWidth="1"/>
    <col min="11015" max="11018" width="6.25" style="94" customWidth="1"/>
    <col min="11019" max="11019" width="4.875" style="94" customWidth="1"/>
    <col min="11020" max="11020" width="2.5" style="94" customWidth="1"/>
    <col min="11021" max="11021" width="4.875" style="94" customWidth="1"/>
    <col min="11022" max="11259" width="9" style="94"/>
    <col min="11260" max="11260" width="1.75" style="94" customWidth="1"/>
    <col min="11261" max="11261" width="2.5" style="94" customWidth="1"/>
    <col min="11262" max="11262" width="3.625" style="94" customWidth="1"/>
    <col min="11263" max="11263" width="2.75" style="94" customWidth="1"/>
    <col min="11264" max="11264" width="0.875" style="94" customWidth="1"/>
    <col min="11265" max="11265" width="1.25" style="94" customWidth="1"/>
    <col min="11266" max="11266" width="5.375" style="94" customWidth="1"/>
    <col min="11267" max="11267" width="6.5" style="94" customWidth="1"/>
    <col min="11268" max="11268" width="4.125" style="94" customWidth="1"/>
    <col min="11269" max="11269" width="7.875" style="94" customWidth="1"/>
    <col min="11270" max="11270" width="8.75" style="94" customWidth="1"/>
    <col min="11271" max="11274" width="6.25" style="94" customWidth="1"/>
    <col min="11275" max="11275" width="4.875" style="94" customWidth="1"/>
    <col min="11276" max="11276" width="2.5" style="94" customWidth="1"/>
    <col min="11277" max="11277" width="4.875" style="94" customWidth="1"/>
    <col min="11278" max="11515" width="9" style="94"/>
    <col min="11516" max="11516" width="1.75" style="94" customWidth="1"/>
    <col min="11517" max="11517" width="2.5" style="94" customWidth="1"/>
    <col min="11518" max="11518" width="3.625" style="94" customWidth="1"/>
    <col min="11519" max="11519" width="2.75" style="94" customWidth="1"/>
    <col min="11520" max="11520" width="0.875" style="94" customWidth="1"/>
    <col min="11521" max="11521" width="1.25" style="94" customWidth="1"/>
    <col min="11522" max="11522" width="5.375" style="94" customWidth="1"/>
    <col min="11523" max="11523" width="6.5" style="94" customWidth="1"/>
    <col min="11524" max="11524" width="4.125" style="94" customWidth="1"/>
    <col min="11525" max="11525" width="7.875" style="94" customWidth="1"/>
    <col min="11526" max="11526" width="8.75" style="94" customWidth="1"/>
    <col min="11527" max="11530" width="6.25" style="94" customWidth="1"/>
    <col min="11531" max="11531" width="4.875" style="94" customWidth="1"/>
    <col min="11532" max="11532" width="2.5" style="94" customWidth="1"/>
    <col min="11533" max="11533" width="4.875" style="94" customWidth="1"/>
    <col min="11534" max="11771" width="9" style="94"/>
    <col min="11772" max="11772" width="1.75" style="94" customWidth="1"/>
    <col min="11773" max="11773" width="2.5" style="94" customWidth="1"/>
    <col min="11774" max="11774" width="3.625" style="94" customWidth="1"/>
    <col min="11775" max="11775" width="2.75" style="94" customWidth="1"/>
    <col min="11776" max="11776" width="0.875" style="94" customWidth="1"/>
    <col min="11777" max="11777" width="1.25" style="94" customWidth="1"/>
    <col min="11778" max="11778" width="5.375" style="94" customWidth="1"/>
    <col min="11779" max="11779" width="6.5" style="94" customWidth="1"/>
    <col min="11780" max="11780" width="4.125" style="94" customWidth="1"/>
    <col min="11781" max="11781" width="7.875" style="94" customWidth="1"/>
    <col min="11782" max="11782" width="8.75" style="94" customWidth="1"/>
    <col min="11783" max="11786" width="6.25" style="94" customWidth="1"/>
    <col min="11787" max="11787" width="4.875" style="94" customWidth="1"/>
    <col min="11788" max="11788" width="2.5" style="94" customWidth="1"/>
    <col min="11789" max="11789" width="4.875" style="94" customWidth="1"/>
    <col min="11790" max="12027" width="9" style="94"/>
    <col min="12028" max="12028" width="1.75" style="94" customWidth="1"/>
    <col min="12029" max="12029" width="2.5" style="94" customWidth="1"/>
    <col min="12030" max="12030" width="3.625" style="94" customWidth="1"/>
    <col min="12031" max="12031" width="2.75" style="94" customWidth="1"/>
    <col min="12032" max="12032" width="0.875" style="94" customWidth="1"/>
    <col min="12033" max="12033" width="1.25" style="94" customWidth="1"/>
    <col min="12034" max="12034" width="5.375" style="94" customWidth="1"/>
    <col min="12035" max="12035" width="6.5" style="94" customWidth="1"/>
    <col min="12036" max="12036" width="4.125" style="94" customWidth="1"/>
    <col min="12037" max="12037" width="7.875" style="94" customWidth="1"/>
    <col min="12038" max="12038" width="8.75" style="94" customWidth="1"/>
    <col min="12039" max="12042" width="6.25" style="94" customWidth="1"/>
    <col min="12043" max="12043" width="4.875" style="94" customWidth="1"/>
    <col min="12044" max="12044" width="2.5" style="94" customWidth="1"/>
    <col min="12045" max="12045" width="4.875" style="94" customWidth="1"/>
    <col min="12046" max="12283" width="9" style="94"/>
    <col min="12284" max="12284" width="1.75" style="94" customWidth="1"/>
    <col min="12285" max="12285" width="2.5" style="94" customWidth="1"/>
    <col min="12286" max="12286" width="3.625" style="94" customWidth="1"/>
    <col min="12287" max="12287" width="2.75" style="94" customWidth="1"/>
    <col min="12288" max="12288" width="0.875" style="94" customWidth="1"/>
    <col min="12289" max="12289" width="1.25" style="94" customWidth="1"/>
    <col min="12290" max="12290" width="5.375" style="94" customWidth="1"/>
    <col min="12291" max="12291" width="6.5" style="94" customWidth="1"/>
    <col min="12292" max="12292" width="4.125" style="94" customWidth="1"/>
    <col min="12293" max="12293" width="7.875" style="94" customWidth="1"/>
    <col min="12294" max="12294" width="8.75" style="94" customWidth="1"/>
    <col min="12295" max="12298" width="6.25" style="94" customWidth="1"/>
    <col min="12299" max="12299" width="4.875" style="94" customWidth="1"/>
    <col min="12300" max="12300" width="2.5" style="94" customWidth="1"/>
    <col min="12301" max="12301" width="4.875" style="94" customWidth="1"/>
    <col min="12302" max="12539" width="9" style="94"/>
    <col min="12540" max="12540" width="1.75" style="94" customWidth="1"/>
    <col min="12541" max="12541" width="2.5" style="94" customWidth="1"/>
    <col min="12542" max="12542" width="3.625" style="94" customWidth="1"/>
    <col min="12543" max="12543" width="2.75" style="94" customWidth="1"/>
    <col min="12544" max="12544" width="0.875" style="94" customWidth="1"/>
    <col min="12545" max="12545" width="1.25" style="94" customWidth="1"/>
    <col min="12546" max="12546" width="5.375" style="94" customWidth="1"/>
    <col min="12547" max="12547" width="6.5" style="94" customWidth="1"/>
    <col min="12548" max="12548" width="4.125" style="94" customWidth="1"/>
    <col min="12549" max="12549" width="7.875" style="94" customWidth="1"/>
    <col min="12550" max="12550" width="8.75" style="94" customWidth="1"/>
    <col min="12551" max="12554" width="6.25" style="94" customWidth="1"/>
    <col min="12555" max="12555" width="4.875" style="94" customWidth="1"/>
    <col min="12556" max="12556" width="2.5" style="94" customWidth="1"/>
    <col min="12557" max="12557" width="4.875" style="94" customWidth="1"/>
    <col min="12558" max="12795" width="9" style="94"/>
    <col min="12796" max="12796" width="1.75" style="94" customWidth="1"/>
    <col min="12797" max="12797" width="2.5" style="94" customWidth="1"/>
    <col min="12798" max="12798" width="3.625" style="94" customWidth="1"/>
    <col min="12799" max="12799" width="2.75" style="94" customWidth="1"/>
    <col min="12800" max="12800" width="0.875" style="94" customWidth="1"/>
    <col min="12801" max="12801" width="1.25" style="94" customWidth="1"/>
    <col min="12802" max="12802" width="5.375" style="94" customWidth="1"/>
    <col min="12803" max="12803" width="6.5" style="94" customWidth="1"/>
    <col min="12804" max="12804" width="4.125" style="94" customWidth="1"/>
    <col min="12805" max="12805" width="7.875" style="94" customWidth="1"/>
    <col min="12806" max="12806" width="8.75" style="94" customWidth="1"/>
    <col min="12807" max="12810" width="6.25" style="94" customWidth="1"/>
    <col min="12811" max="12811" width="4.875" style="94" customWidth="1"/>
    <col min="12812" max="12812" width="2.5" style="94" customWidth="1"/>
    <col min="12813" max="12813" width="4.875" style="94" customWidth="1"/>
    <col min="12814" max="13051" width="9" style="94"/>
    <col min="13052" max="13052" width="1.75" style="94" customWidth="1"/>
    <col min="13053" max="13053" width="2.5" style="94" customWidth="1"/>
    <col min="13054" max="13054" width="3.625" style="94" customWidth="1"/>
    <col min="13055" max="13055" width="2.75" style="94" customWidth="1"/>
    <col min="13056" max="13056" width="0.875" style="94" customWidth="1"/>
    <col min="13057" max="13057" width="1.25" style="94" customWidth="1"/>
    <col min="13058" max="13058" width="5.375" style="94" customWidth="1"/>
    <col min="13059" max="13059" width="6.5" style="94" customWidth="1"/>
    <col min="13060" max="13060" width="4.125" style="94" customWidth="1"/>
    <col min="13061" max="13061" width="7.875" style="94" customWidth="1"/>
    <col min="13062" max="13062" width="8.75" style="94" customWidth="1"/>
    <col min="13063" max="13066" width="6.25" style="94" customWidth="1"/>
    <col min="13067" max="13067" width="4.875" style="94" customWidth="1"/>
    <col min="13068" max="13068" width="2.5" style="94" customWidth="1"/>
    <col min="13069" max="13069" width="4.875" style="94" customWidth="1"/>
    <col min="13070" max="13307" width="9" style="94"/>
    <col min="13308" max="13308" width="1.75" style="94" customWidth="1"/>
    <col min="13309" max="13309" width="2.5" style="94" customWidth="1"/>
    <col min="13310" max="13310" width="3.625" style="94" customWidth="1"/>
    <col min="13311" max="13311" width="2.75" style="94" customWidth="1"/>
    <col min="13312" max="13312" width="0.875" style="94" customWidth="1"/>
    <col min="13313" max="13313" width="1.25" style="94" customWidth="1"/>
    <col min="13314" max="13314" width="5.375" style="94" customWidth="1"/>
    <col min="13315" max="13315" width="6.5" style="94" customWidth="1"/>
    <col min="13316" max="13316" width="4.125" style="94" customWidth="1"/>
    <col min="13317" max="13317" width="7.875" style="94" customWidth="1"/>
    <col min="13318" max="13318" width="8.75" style="94" customWidth="1"/>
    <col min="13319" max="13322" width="6.25" style="94" customWidth="1"/>
    <col min="13323" max="13323" width="4.875" style="94" customWidth="1"/>
    <col min="13324" max="13324" width="2.5" style="94" customWidth="1"/>
    <col min="13325" max="13325" width="4.875" style="94" customWidth="1"/>
    <col min="13326" max="13563" width="9" style="94"/>
    <col min="13564" max="13564" width="1.75" style="94" customWidth="1"/>
    <col min="13565" max="13565" width="2.5" style="94" customWidth="1"/>
    <col min="13566" max="13566" width="3.625" style="94" customWidth="1"/>
    <col min="13567" max="13567" width="2.75" style="94" customWidth="1"/>
    <col min="13568" max="13568" width="0.875" style="94" customWidth="1"/>
    <col min="13569" max="13569" width="1.25" style="94" customWidth="1"/>
    <col min="13570" max="13570" width="5.375" style="94" customWidth="1"/>
    <col min="13571" max="13571" width="6.5" style="94" customWidth="1"/>
    <col min="13572" max="13572" width="4.125" style="94" customWidth="1"/>
    <col min="13573" max="13573" width="7.875" style="94" customWidth="1"/>
    <col min="13574" max="13574" width="8.75" style="94" customWidth="1"/>
    <col min="13575" max="13578" width="6.25" style="94" customWidth="1"/>
    <col min="13579" max="13579" width="4.875" style="94" customWidth="1"/>
    <col min="13580" max="13580" width="2.5" style="94" customWidth="1"/>
    <col min="13581" max="13581" width="4.875" style="94" customWidth="1"/>
    <col min="13582" max="13819" width="9" style="94"/>
    <col min="13820" max="13820" width="1.75" style="94" customWidth="1"/>
    <col min="13821" max="13821" width="2.5" style="94" customWidth="1"/>
    <col min="13822" max="13822" width="3.625" style="94" customWidth="1"/>
    <col min="13823" max="13823" width="2.75" style="94" customWidth="1"/>
    <col min="13824" max="13824" width="0.875" style="94" customWidth="1"/>
    <col min="13825" max="13825" width="1.25" style="94" customWidth="1"/>
    <col min="13826" max="13826" width="5.375" style="94" customWidth="1"/>
    <col min="13827" max="13827" width="6.5" style="94" customWidth="1"/>
    <col min="13828" max="13828" width="4.125" style="94" customWidth="1"/>
    <col min="13829" max="13829" width="7.875" style="94" customWidth="1"/>
    <col min="13830" max="13830" width="8.75" style="94" customWidth="1"/>
    <col min="13831" max="13834" width="6.25" style="94" customWidth="1"/>
    <col min="13835" max="13835" width="4.875" style="94" customWidth="1"/>
    <col min="13836" max="13836" width="2.5" style="94" customWidth="1"/>
    <col min="13837" max="13837" width="4.875" style="94" customWidth="1"/>
    <col min="13838" max="14075" width="9" style="94"/>
    <col min="14076" max="14076" width="1.75" style="94" customWidth="1"/>
    <col min="14077" max="14077" width="2.5" style="94" customWidth="1"/>
    <col min="14078" max="14078" width="3.625" style="94" customWidth="1"/>
    <col min="14079" max="14079" width="2.75" style="94" customWidth="1"/>
    <col min="14080" max="14080" width="0.875" style="94" customWidth="1"/>
    <col min="14081" max="14081" width="1.25" style="94" customWidth="1"/>
    <col min="14082" max="14082" width="5.375" style="94" customWidth="1"/>
    <col min="14083" max="14083" width="6.5" style="94" customWidth="1"/>
    <col min="14084" max="14084" width="4.125" style="94" customWidth="1"/>
    <col min="14085" max="14085" width="7.875" style="94" customWidth="1"/>
    <col min="14086" max="14086" width="8.75" style="94" customWidth="1"/>
    <col min="14087" max="14090" width="6.25" style="94" customWidth="1"/>
    <col min="14091" max="14091" width="4.875" style="94" customWidth="1"/>
    <col min="14092" max="14092" width="2.5" style="94" customWidth="1"/>
    <col min="14093" max="14093" width="4.875" style="94" customWidth="1"/>
    <col min="14094" max="14331" width="9" style="94"/>
    <col min="14332" max="14332" width="1.75" style="94" customWidth="1"/>
    <col min="14333" max="14333" width="2.5" style="94" customWidth="1"/>
    <col min="14334" max="14334" width="3.625" style="94" customWidth="1"/>
    <col min="14335" max="14335" width="2.75" style="94" customWidth="1"/>
    <col min="14336" max="14336" width="0.875" style="94" customWidth="1"/>
    <col min="14337" max="14337" width="1.25" style="94" customWidth="1"/>
    <col min="14338" max="14338" width="5.375" style="94" customWidth="1"/>
    <col min="14339" max="14339" width="6.5" style="94" customWidth="1"/>
    <col min="14340" max="14340" width="4.125" style="94" customWidth="1"/>
    <col min="14341" max="14341" width="7.875" style="94" customWidth="1"/>
    <col min="14342" max="14342" width="8.75" style="94" customWidth="1"/>
    <col min="14343" max="14346" width="6.25" style="94" customWidth="1"/>
    <col min="14347" max="14347" width="4.875" style="94" customWidth="1"/>
    <col min="14348" max="14348" width="2.5" style="94" customWidth="1"/>
    <col min="14349" max="14349" width="4.875" style="94" customWidth="1"/>
    <col min="14350" max="14587" width="9" style="94"/>
    <col min="14588" max="14588" width="1.75" style="94" customWidth="1"/>
    <col min="14589" max="14589" width="2.5" style="94" customWidth="1"/>
    <col min="14590" max="14590" width="3.625" style="94" customWidth="1"/>
    <col min="14591" max="14591" width="2.75" style="94" customWidth="1"/>
    <col min="14592" max="14592" width="0.875" style="94" customWidth="1"/>
    <col min="14593" max="14593" width="1.25" style="94" customWidth="1"/>
    <col min="14594" max="14594" width="5.375" style="94" customWidth="1"/>
    <col min="14595" max="14595" width="6.5" style="94" customWidth="1"/>
    <col min="14596" max="14596" width="4.125" style="94" customWidth="1"/>
    <col min="14597" max="14597" width="7.875" style="94" customWidth="1"/>
    <col min="14598" max="14598" width="8.75" style="94" customWidth="1"/>
    <col min="14599" max="14602" width="6.25" style="94" customWidth="1"/>
    <col min="14603" max="14603" width="4.875" style="94" customWidth="1"/>
    <col min="14604" max="14604" width="2.5" style="94" customWidth="1"/>
    <col min="14605" max="14605" width="4.875" style="94" customWidth="1"/>
    <col min="14606" max="14843" width="9" style="94"/>
    <col min="14844" max="14844" width="1.75" style="94" customWidth="1"/>
    <col min="14845" max="14845" width="2.5" style="94" customWidth="1"/>
    <col min="14846" max="14846" width="3.625" style="94" customWidth="1"/>
    <col min="14847" max="14847" width="2.75" style="94" customWidth="1"/>
    <col min="14848" max="14848" width="0.875" style="94" customWidth="1"/>
    <col min="14849" max="14849" width="1.25" style="94" customWidth="1"/>
    <col min="14850" max="14850" width="5.375" style="94" customWidth="1"/>
    <col min="14851" max="14851" width="6.5" style="94" customWidth="1"/>
    <col min="14852" max="14852" width="4.125" style="94" customWidth="1"/>
    <col min="14853" max="14853" width="7.875" style="94" customWidth="1"/>
    <col min="14854" max="14854" width="8.75" style="94" customWidth="1"/>
    <col min="14855" max="14858" width="6.25" style="94" customWidth="1"/>
    <col min="14859" max="14859" width="4.875" style="94" customWidth="1"/>
    <col min="14860" max="14860" width="2.5" style="94" customWidth="1"/>
    <col min="14861" max="14861" width="4.875" style="94" customWidth="1"/>
    <col min="14862" max="15099" width="9" style="94"/>
    <col min="15100" max="15100" width="1.75" style="94" customWidth="1"/>
    <col min="15101" max="15101" width="2.5" style="94" customWidth="1"/>
    <col min="15102" max="15102" width="3.625" style="94" customWidth="1"/>
    <col min="15103" max="15103" width="2.75" style="94" customWidth="1"/>
    <col min="15104" max="15104" width="0.875" style="94" customWidth="1"/>
    <col min="15105" max="15105" width="1.25" style="94" customWidth="1"/>
    <col min="15106" max="15106" width="5.375" style="94" customWidth="1"/>
    <col min="15107" max="15107" width="6.5" style="94" customWidth="1"/>
    <col min="15108" max="15108" width="4.125" style="94" customWidth="1"/>
    <col min="15109" max="15109" width="7.875" style="94" customWidth="1"/>
    <col min="15110" max="15110" width="8.75" style="94" customWidth="1"/>
    <col min="15111" max="15114" width="6.25" style="94" customWidth="1"/>
    <col min="15115" max="15115" width="4.875" style="94" customWidth="1"/>
    <col min="15116" max="15116" width="2.5" style="94" customWidth="1"/>
    <col min="15117" max="15117" width="4.875" style="94" customWidth="1"/>
    <col min="15118" max="15355" width="9" style="94"/>
    <col min="15356" max="15356" width="1.75" style="94" customWidth="1"/>
    <col min="15357" max="15357" width="2.5" style="94" customWidth="1"/>
    <col min="15358" max="15358" width="3.625" style="94" customWidth="1"/>
    <col min="15359" max="15359" width="2.75" style="94" customWidth="1"/>
    <col min="15360" max="15360" width="0.875" style="94" customWidth="1"/>
    <col min="15361" max="15361" width="1.25" style="94" customWidth="1"/>
    <col min="15362" max="15362" width="5.375" style="94" customWidth="1"/>
    <col min="15363" max="15363" width="6.5" style="94" customWidth="1"/>
    <col min="15364" max="15364" width="4.125" style="94" customWidth="1"/>
    <col min="15365" max="15365" width="7.875" style="94" customWidth="1"/>
    <col min="15366" max="15366" width="8.75" style="94" customWidth="1"/>
    <col min="15367" max="15370" width="6.25" style="94" customWidth="1"/>
    <col min="15371" max="15371" width="4.875" style="94" customWidth="1"/>
    <col min="15372" max="15372" width="2.5" style="94" customWidth="1"/>
    <col min="15373" max="15373" width="4.875" style="94" customWidth="1"/>
    <col min="15374" max="15611" width="9" style="94"/>
    <col min="15612" max="15612" width="1.75" style="94" customWidth="1"/>
    <col min="15613" max="15613" width="2.5" style="94" customWidth="1"/>
    <col min="15614" max="15614" width="3.625" style="94" customWidth="1"/>
    <col min="15615" max="15615" width="2.75" style="94" customWidth="1"/>
    <col min="15616" max="15616" width="0.875" style="94" customWidth="1"/>
    <col min="15617" max="15617" width="1.25" style="94" customWidth="1"/>
    <col min="15618" max="15618" width="5.375" style="94" customWidth="1"/>
    <col min="15619" max="15619" width="6.5" style="94" customWidth="1"/>
    <col min="15620" max="15620" width="4.125" style="94" customWidth="1"/>
    <col min="15621" max="15621" width="7.875" style="94" customWidth="1"/>
    <col min="15622" max="15622" width="8.75" style="94" customWidth="1"/>
    <col min="15623" max="15626" width="6.25" style="94" customWidth="1"/>
    <col min="15627" max="15627" width="4.875" style="94" customWidth="1"/>
    <col min="15628" max="15628" width="2.5" style="94" customWidth="1"/>
    <col min="15629" max="15629" width="4.875" style="94" customWidth="1"/>
    <col min="15630" max="15867" width="9" style="94"/>
    <col min="15868" max="15868" width="1.75" style="94" customWidth="1"/>
    <col min="15869" max="15869" width="2.5" style="94" customWidth="1"/>
    <col min="15870" max="15870" width="3.625" style="94" customWidth="1"/>
    <col min="15871" max="15871" width="2.75" style="94" customWidth="1"/>
    <col min="15872" max="15872" width="0.875" style="94" customWidth="1"/>
    <col min="15873" max="15873" width="1.25" style="94" customWidth="1"/>
    <col min="15874" max="15874" width="5.375" style="94" customWidth="1"/>
    <col min="15875" max="15875" width="6.5" style="94" customWidth="1"/>
    <col min="15876" max="15876" width="4.125" style="94" customWidth="1"/>
    <col min="15877" max="15877" width="7.875" style="94" customWidth="1"/>
    <col min="15878" max="15878" width="8.75" style="94" customWidth="1"/>
    <col min="15879" max="15882" width="6.25" style="94" customWidth="1"/>
    <col min="15883" max="15883" width="4.875" style="94" customWidth="1"/>
    <col min="15884" max="15884" width="2.5" style="94" customWidth="1"/>
    <col min="15885" max="15885" width="4.875" style="94" customWidth="1"/>
    <col min="15886" max="16123" width="9" style="94"/>
    <col min="16124" max="16124" width="1.75" style="94" customWidth="1"/>
    <col min="16125" max="16125" width="2.5" style="94" customWidth="1"/>
    <col min="16126" max="16126" width="3.625" style="94" customWidth="1"/>
    <col min="16127" max="16127" width="2.75" style="94" customWidth="1"/>
    <col min="16128" max="16128" width="0.875" style="94" customWidth="1"/>
    <col min="16129" max="16129" width="1.25" style="94" customWidth="1"/>
    <col min="16130" max="16130" width="5.375" style="94" customWidth="1"/>
    <col min="16131" max="16131" width="6.5" style="94" customWidth="1"/>
    <col min="16132" max="16132" width="4.125" style="94" customWidth="1"/>
    <col min="16133" max="16133" width="7.875" style="94" customWidth="1"/>
    <col min="16134" max="16134" width="8.75" style="94" customWidth="1"/>
    <col min="16135" max="16138" width="6.25" style="94" customWidth="1"/>
    <col min="16139" max="16139" width="4.875" style="94" customWidth="1"/>
    <col min="16140" max="16140" width="2.5" style="94" customWidth="1"/>
    <col min="16141" max="16141" width="4.875" style="94" customWidth="1"/>
    <col min="16142" max="16340" width="9" style="94"/>
    <col min="16341" max="16347" width="9" style="94" customWidth="1"/>
    <col min="16348" max="16384" width="9" style="94"/>
  </cols>
  <sheetData>
    <row r="1" spans="1:58" s="87" customFormat="1" ht="23.25" customHeight="1">
      <c r="A1" s="1335" t="s">
        <v>219</v>
      </c>
      <c r="B1" s="1335" t="s">
        <v>220</v>
      </c>
      <c r="C1" s="1336" t="s">
        <v>221</v>
      </c>
      <c r="D1" s="1324" t="s">
        <v>222</v>
      </c>
      <c r="E1" s="1324"/>
      <c r="F1" s="1324"/>
      <c r="G1" s="1324"/>
      <c r="H1" s="1324" t="s">
        <v>223</v>
      </c>
      <c r="I1" s="1324"/>
      <c r="J1" s="1324"/>
      <c r="K1" s="1324"/>
      <c r="L1" s="1324"/>
      <c r="M1" s="1324"/>
      <c r="N1" s="1330" t="s">
        <v>224</v>
      </c>
      <c r="O1" s="1331"/>
      <c r="P1" s="386" t="s">
        <v>225</v>
      </c>
      <c r="Q1" s="386" t="s">
        <v>226</v>
      </c>
      <c r="R1" s="1324" t="s">
        <v>227</v>
      </c>
      <c r="S1" s="1324"/>
      <c r="T1" s="1324" t="s">
        <v>228</v>
      </c>
      <c r="U1" s="1324"/>
      <c r="V1" s="1324"/>
      <c r="W1" s="1330" t="s">
        <v>229</v>
      </c>
      <c r="X1" s="1331"/>
      <c r="Y1" s="1317" t="s">
        <v>514</v>
      </c>
      <c r="Z1" s="387"/>
      <c r="AA1" s="1317" t="s">
        <v>230</v>
      </c>
      <c r="AB1" s="1310" t="s">
        <v>231</v>
      </c>
      <c r="AC1" s="1311"/>
      <c r="AD1" s="1321" t="s">
        <v>344</v>
      </c>
      <c r="AE1" s="1322"/>
      <c r="AF1" s="1322"/>
      <c r="AG1" s="1323"/>
      <c r="AH1" s="1317" t="s">
        <v>232</v>
      </c>
      <c r="AR1" s="1337" t="s">
        <v>349</v>
      </c>
      <c r="AV1" s="1340" t="s">
        <v>222</v>
      </c>
      <c r="AW1" s="1341"/>
      <c r="AX1" s="1340" t="s">
        <v>223</v>
      </c>
      <c r="AY1" s="1341"/>
      <c r="AZ1" s="1342" t="s">
        <v>231</v>
      </c>
      <c r="BA1" s="1343"/>
      <c r="BB1" s="1346" t="s">
        <v>398</v>
      </c>
      <c r="BC1" s="1347"/>
      <c r="BD1" s="1347"/>
      <c r="BE1" s="1348"/>
      <c r="BF1" s="1349" t="s">
        <v>232</v>
      </c>
    </row>
    <row r="2" spans="1:58" s="87" customFormat="1" ht="13.5" customHeight="1">
      <c r="A2" s="1335"/>
      <c r="B2" s="1335"/>
      <c r="C2" s="1336"/>
      <c r="D2" s="1324" t="s">
        <v>233</v>
      </c>
      <c r="E2" s="1324"/>
      <c r="F2" s="1325" t="s">
        <v>234</v>
      </c>
      <c r="G2" s="1325"/>
      <c r="H2" s="1324" t="s">
        <v>233</v>
      </c>
      <c r="I2" s="1324"/>
      <c r="J2" s="1326"/>
      <c r="K2" s="1325" t="s">
        <v>234</v>
      </c>
      <c r="L2" s="1325"/>
      <c r="M2" s="1325"/>
      <c r="N2" s="1332"/>
      <c r="O2" s="1333"/>
      <c r="P2" s="1327" t="s">
        <v>519</v>
      </c>
      <c r="Q2" s="1327" t="s">
        <v>519</v>
      </c>
      <c r="R2" s="1334"/>
      <c r="S2" s="1334"/>
      <c r="T2" s="1334"/>
      <c r="U2" s="1334"/>
      <c r="V2" s="1334"/>
      <c r="W2" s="1332"/>
      <c r="X2" s="1333"/>
      <c r="Y2" s="1318"/>
      <c r="Z2" s="387"/>
      <c r="AA2" s="1318"/>
      <c r="AB2" s="1319"/>
      <c r="AC2" s="1320"/>
      <c r="AD2" s="1328" t="s">
        <v>235</v>
      </c>
      <c r="AE2" s="1306" t="s">
        <v>236</v>
      </c>
      <c r="AF2" s="1306" t="s">
        <v>237</v>
      </c>
      <c r="AG2" s="1308" t="s">
        <v>238</v>
      </c>
      <c r="AH2" s="1318"/>
      <c r="AR2" s="1338"/>
      <c r="AV2" s="149" t="s">
        <v>233</v>
      </c>
      <c r="AW2" s="121" t="s">
        <v>234</v>
      </c>
      <c r="AX2" s="119" t="s">
        <v>233</v>
      </c>
      <c r="AY2" s="121" t="s">
        <v>234</v>
      </c>
      <c r="AZ2" s="1344"/>
      <c r="BA2" s="1345"/>
      <c r="BB2" s="1351" t="s">
        <v>235</v>
      </c>
      <c r="BC2" s="1353" t="s">
        <v>236</v>
      </c>
      <c r="BD2" s="1353" t="s">
        <v>237</v>
      </c>
      <c r="BE2" s="1355" t="s">
        <v>238</v>
      </c>
      <c r="BF2" s="1350"/>
    </row>
    <row r="3" spans="1:58" s="89" customFormat="1" ht="13.5" customHeight="1">
      <c r="A3" s="1335"/>
      <c r="B3" s="1335"/>
      <c r="C3" s="1336"/>
      <c r="D3" s="1310" t="s">
        <v>239</v>
      </c>
      <c r="E3" s="1311"/>
      <c r="F3" s="1310" t="s">
        <v>239</v>
      </c>
      <c r="G3" s="1311"/>
      <c r="H3" s="388"/>
      <c r="I3" s="389"/>
      <c r="J3" s="390"/>
      <c r="K3" s="388"/>
      <c r="L3" s="389"/>
      <c r="M3" s="391"/>
      <c r="N3" s="392"/>
      <c r="O3" s="1312" t="s">
        <v>223</v>
      </c>
      <c r="P3" s="1327"/>
      <c r="Q3" s="1327"/>
      <c r="R3" s="1314" t="s">
        <v>240</v>
      </c>
      <c r="S3" s="1315"/>
      <c r="T3" s="393"/>
      <c r="U3" s="1316" t="s">
        <v>240</v>
      </c>
      <c r="V3" s="1315"/>
      <c r="W3" s="393"/>
      <c r="X3" s="1317" t="s">
        <v>223</v>
      </c>
      <c r="Y3" s="1318"/>
      <c r="Z3" s="394"/>
      <c r="AA3" s="1318"/>
      <c r="AB3" s="393"/>
      <c r="AC3" s="1312" t="s">
        <v>223</v>
      </c>
      <c r="AD3" s="1329"/>
      <c r="AE3" s="1307"/>
      <c r="AF3" s="1307"/>
      <c r="AG3" s="1309"/>
      <c r="AH3" s="1318"/>
      <c r="AI3" s="88"/>
      <c r="AJ3" s="88"/>
      <c r="AK3" s="88"/>
      <c r="AL3" s="88"/>
      <c r="AM3" s="88"/>
      <c r="AN3" s="88"/>
      <c r="AO3" s="88"/>
      <c r="AP3" s="88"/>
      <c r="AQ3" s="88"/>
      <c r="AR3" s="1338"/>
      <c r="AS3" s="88"/>
      <c r="AT3" s="88"/>
      <c r="AU3" s="88"/>
      <c r="AV3" s="120" t="s">
        <v>239</v>
      </c>
      <c r="AW3" s="120" t="s">
        <v>239</v>
      </c>
      <c r="AX3" s="107"/>
      <c r="AY3" s="107"/>
      <c r="AZ3" s="126"/>
      <c r="BA3" s="1357" t="s">
        <v>223</v>
      </c>
      <c r="BB3" s="1352"/>
      <c r="BC3" s="1354"/>
      <c r="BD3" s="1354"/>
      <c r="BE3" s="1356"/>
      <c r="BF3" s="1350"/>
    </row>
    <row r="4" spans="1:58" s="89" customFormat="1" ht="13.5" customHeight="1" thickBot="1">
      <c r="A4" s="1312"/>
      <c r="B4" s="1312"/>
      <c r="C4" s="1317"/>
      <c r="D4" s="388"/>
      <c r="E4" s="395" t="s">
        <v>241</v>
      </c>
      <c r="F4" s="388"/>
      <c r="G4" s="395" t="s">
        <v>241</v>
      </c>
      <c r="H4" s="393"/>
      <c r="I4" s="396" t="s">
        <v>242</v>
      </c>
      <c r="J4" s="390"/>
      <c r="K4" s="397"/>
      <c r="L4" s="396" t="s">
        <v>242</v>
      </c>
      <c r="M4" s="391"/>
      <c r="N4" s="393"/>
      <c r="O4" s="1313"/>
      <c r="P4" s="1327"/>
      <c r="Q4" s="1327"/>
      <c r="R4" s="398" t="s">
        <v>243</v>
      </c>
      <c r="S4" s="399" t="s">
        <v>244</v>
      </c>
      <c r="T4" s="393"/>
      <c r="U4" s="400" t="s">
        <v>243</v>
      </c>
      <c r="V4" s="399" t="s">
        <v>244</v>
      </c>
      <c r="W4" s="388"/>
      <c r="X4" s="1318"/>
      <c r="Y4" s="1318"/>
      <c r="Z4" s="394"/>
      <c r="AA4" s="1318"/>
      <c r="AB4" s="388"/>
      <c r="AC4" s="1313"/>
      <c r="AD4" s="1329"/>
      <c r="AE4" s="1307"/>
      <c r="AF4" s="1307"/>
      <c r="AG4" s="1309"/>
      <c r="AH4" s="1318"/>
      <c r="AI4" s="88"/>
      <c r="AJ4" s="150" t="s">
        <v>353</v>
      </c>
      <c r="AK4" s="151"/>
      <c r="AL4" s="152"/>
      <c r="AM4" s="152"/>
      <c r="AN4" s="151"/>
      <c r="AO4" s="153"/>
      <c r="AP4" s="88"/>
      <c r="AQ4" s="88"/>
      <c r="AR4" s="1338"/>
      <c r="AS4" s="88"/>
      <c r="AT4" s="88"/>
      <c r="AU4" s="88"/>
      <c r="AV4" s="107"/>
      <c r="AW4" s="107"/>
      <c r="AX4" s="109"/>
      <c r="AY4" s="110"/>
      <c r="AZ4" s="127"/>
      <c r="BA4" s="1358"/>
      <c r="BB4" s="1352"/>
      <c r="BC4" s="1354"/>
      <c r="BD4" s="1354"/>
      <c r="BE4" s="1356"/>
      <c r="BF4" s="1350"/>
    </row>
    <row r="5" spans="1:58" s="89" customFormat="1" ht="12" customHeight="1">
      <c r="A5" s="401" t="s">
        <v>245</v>
      </c>
      <c r="B5" s="401" t="s">
        <v>246</v>
      </c>
      <c r="C5" s="402" t="s">
        <v>247</v>
      </c>
      <c r="D5" s="1302" t="s">
        <v>248</v>
      </c>
      <c r="E5" s="1302"/>
      <c r="F5" s="1302" t="s">
        <v>248</v>
      </c>
      <c r="G5" s="1302"/>
      <c r="H5" s="1302" t="s">
        <v>249</v>
      </c>
      <c r="I5" s="1302"/>
      <c r="J5" s="1302"/>
      <c r="K5" s="1305" t="s">
        <v>249</v>
      </c>
      <c r="L5" s="1305"/>
      <c r="M5" s="1305"/>
      <c r="N5" s="1302" t="s">
        <v>250</v>
      </c>
      <c r="O5" s="1302"/>
      <c r="P5" s="403" t="s">
        <v>251</v>
      </c>
      <c r="Q5" s="403" t="s">
        <v>252</v>
      </c>
      <c r="R5" s="1302" t="s">
        <v>253</v>
      </c>
      <c r="S5" s="1302"/>
      <c r="T5" s="1302" t="s">
        <v>254</v>
      </c>
      <c r="U5" s="1302"/>
      <c r="V5" s="1302"/>
      <c r="W5" s="1302" t="s">
        <v>255</v>
      </c>
      <c r="X5" s="1302"/>
      <c r="Y5" s="403" t="s">
        <v>256</v>
      </c>
      <c r="Z5" s="394"/>
      <c r="AA5" s="403" t="s">
        <v>257</v>
      </c>
      <c r="AB5" s="1280" t="s">
        <v>258</v>
      </c>
      <c r="AC5" s="1303"/>
      <c r="AD5" s="1280" t="s">
        <v>259</v>
      </c>
      <c r="AE5" s="1304"/>
      <c r="AF5" s="1304"/>
      <c r="AG5" s="1303"/>
      <c r="AH5" s="403" t="s">
        <v>260</v>
      </c>
      <c r="AI5" s="88"/>
      <c r="AJ5" s="201" t="s">
        <v>340</v>
      </c>
      <c r="AK5" s="202" t="s">
        <v>341</v>
      </c>
      <c r="AL5" s="203" t="s">
        <v>354</v>
      </c>
      <c r="AM5" s="204" t="s">
        <v>355</v>
      </c>
      <c r="AN5" s="237" t="s">
        <v>399</v>
      </c>
      <c r="AO5" s="153"/>
      <c r="AP5" s="88"/>
      <c r="AQ5" s="88"/>
      <c r="AR5" s="1338"/>
      <c r="AS5" s="88"/>
      <c r="AT5" s="88"/>
      <c r="AU5" s="88"/>
      <c r="AV5" s="114" t="s">
        <v>248</v>
      </c>
      <c r="AW5" s="114" t="s">
        <v>248</v>
      </c>
      <c r="AX5" s="114" t="s">
        <v>249</v>
      </c>
      <c r="AY5" s="122" t="s">
        <v>249</v>
      </c>
      <c r="AZ5" s="1359" t="s">
        <v>258</v>
      </c>
      <c r="BA5" s="1360"/>
      <c r="BB5" s="1361" t="s">
        <v>259</v>
      </c>
      <c r="BC5" s="1362"/>
      <c r="BD5" s="1362"/>
      <c r="BE5" s="1363"/>
      <c r="BF5" s="129" t="s">
        <v>260</v>
      </c>
    </row>
    <row r="6" spans="1:58" s="91" customFormat="1" ht="12.75" customHeight="1">
      <c r="A6" s="404" t="s">
        <v>261</v>
      </c>
      <c r="B6" s="404" t="s">
        <v>262</v>
      </c>
      <c r="C6" s="404" t="s">
        <v>263</v>
      </c>
      <c r="D6" s="405" t="s">
        <v>264</v>
      </c>
      <c r="E6" s="406"/>
      <c r="F6" s="407" t="s">
        <v>265</v>
      </c>
      <c r="G6" s="406"/>
      <c r="H6" s="405" t="s">
        <v>266</v>
      </c>
      <c r="I6" s="406"/>
      <c r="J6" s="408"/>
      <c r="K6" s="407" t="s">
        <v>267</v>
      </c>
      <c r="L6" s="406"/>
      <c r="M6" s="408"/>
      <c r="N6" s="405" t="s">
        <v>268</v>
      </c>
      <c r="O6" s="405" t="s">
        <v>269</v>
      </c>
      <c r="P6" s="409"/>
      <c r="Q6" s="409"/>
      <c r="R6" s="410" t="s">
        <v>270</v>
      </c>
      <c r="S6" s="410" t="s">
        <v>271</v>
      </c>
      <c r="T6" s="411" t="s">
        <v>272</v>
      </c>
      <c r="U6" s="410" t="s">
        <v>273</v>
      </c>
      <c r="V6" s="410" t="s">
        <v>274</v>
      </c>
      <c r="W6" s="409" t="s">
        <v>275</v>
      </c>
      <c r="X6" s="412" t="s">
        <v>276</v>
      </c>
      <c r="Y6" s="411"/>
      <c r="Z6" s="413"/>
      <c r="AA6" s="411" t="s">
        <v>277</v>
      </c>
      <c r="AB6" s="409" t="s">
        <v>278</v>
      </c>
      <c r="AC6" s="412" t="s">
        <v>279</v>
      </c>
      <c r="AD6" s="414" t="s">
        <v>280</v>
      </c>
      <c r="AE6" s="414" t="s">
        <v>281</v>
      </c>
      <c r="AF6" s="414" t="s">
        <v>282</v>
      </c>
      <c r="AG6" s="415" t="s">
        <v>283</v>
      </c>
      <c r="AH6" s="411" t="s">
        <v>284</v>
      </c>
      <c r="AI6" s="90"/>
      <c r="AJ6" s="205" t="s">
        <v>356</v>
      </c>
      <c r="AK6" s="154" t="s">
        <v>338</v>
      </c>
      <c r="AL6" s="155">
        <v>17103</v>
      </c>
      <c r="AM6" s="206">
        <v>15477</v>
      </c>
      <c r="AN6" s="238">
        <v>10478</v>
      </c>
      <c r="AO6" s="153"/>
      <c r="AP6" s="90"/>
      <c r="AQ6" s="90"/>
      <c r="AR6" s="1338"/>
      <c r="AS6" s="143" t="s">
        <v>339</v>
      </c>
      <c r="AT6" s="105" t="s">
        <v>340</v>
      </c>
      <c r="AU6" s="106" t="s">
        <v>341</v>
      </c>
      <c r="AV6" s="115" t="s">
        <v>264</v>
      </c>
      <c r="AW6" s="116" t="s">
        <v>265</v>
      </c>
      <c r="AX6" s="115" t="s">
        <v>266</v>
      </c>
      <c r="AY6" s="116" t="s">
        <v>267</v>
      </c>
      <c r="AZ6" s="130" t="s">
        <v>278</v>
      </c>
      <c r="BA6" s="131" t="s">
        <v>279</v>
      </c>
      <c r="BB6" s="136" t="s">
        <v>280</v>
      </c>
      <c r="BC6" s="136" t="s">
        <v>281</v>
      </c>
      <c r="BD6" s="136" t="s">
        <v>282</v>
      </c>
      <c r="BE6" s="137" t="s">
        <v>283</v>
      </c>
      <c r="BF6" s="137" t="s">
        <v>284</v>
      </c>
    </row>
    <row r="7" spans="1:58" s="89" customFormat="1" ht="13.5" customHeight="1">
      <c r="A7" s="416" t="s">
        <v>285</v>
      </c>
      <c r="B7" s="416" t="s">
        <v>286</v>
      </c>
      <c r="C7" s="417" t="s">
        <v>334</v>
      </c>
      <c r="D7" s="418">
        <v>125110</v>
      </c>
      <c r="E7" s="419">
        <v>132900</v>
      </c>
      <c r="F7" s="418">
        <v>98940</v>
      </c>
      <c r="G7" s="419">
        <v>106730</v>
      </c>
      <c r="H7" s="420">
        <v>1230</v>
      </c>
      <c r="I7" s="421">
        <v>1300</v>
      </c>
      <c r="J7" s="422" t="s">
        <v>731</v>
      </c>
      <c r="K7" s="420">
        <v>970</v>
      </c>
      <c r="L7" s="421">
        <v>1040</v>
      </c>
      <c r="M7" s="422" t="s">
        <v>287</v>
      </c>
      <c r="N7" s="423">
        <v>7790</v>
      </c>
      <c r="O7" s="424">
        <v>70</v>
      </c>
      <c r="P7" s="425"/>
      <c r="Q7" s="425"/>
      <c r="R7" s="1278">
        <v>7200</v>
      </c>
      <c r="S7" s="1281">
        <v>7900</v>
      </c>
      <c r="T7" s="426" t="s">
        <v>288</v>
      </c>
      <c r="U7" s="427">
        <v>15800</v>
      </c>
      <c r="V7" s="428">
        <v>17600</v>
      </c>
      <c r="W7" s="425">
        <v>23380</v>
      </c>
      <c r="X7" s="429">
        <v>230</v>
      </c>
      <c r="Y7" s="1284">
        <v>4500</v>
      </c>
      <c r="Z7" s="1301" t="s">
        <v>289</v>
      </c>
      <c r="AA7" s="430"/>
      <c r="AB7" s="1286">
        <v>27190</v>
      </c>
      <c r="AC7" s="1289">
        <v>270</v>
      </c>
      <c r="AD7" s="1292" t="s">
        <v>290</v>
      </c>
      <c r="AE7" s="1294" t="s">
        <v>290</v>
      </c>
      <c r="AF7" s="1294" t="s">
        <v>290</v>
      </c>
      <c r="AG7" s="1297" t="s">
        <v>290</v>
      </c>
      <c r="AH7" s="1269" t="s">
        <v>500</v>
      </c>
      <c r="AI7" s="88"/>
      <c r="AJ7" s="205" t="s">
        <v>356</v>
      </c>
      <c r="AK7" s="157" t="s">
        <v>337</v>
      </c>
      <c r="AL7" s="158">
        <v>11682</v>
      </c>
      <c r="AM7" s="207">
        <v>10056</v>
      </c>
      <c r="AN7" s="238">
        <v>10478</v>
      </c>
      <c r="AO7" s="153"/>
      <c r="AP7" s="88"/>
      <c r="AQ7" s="88"/>
      <c r="AR7" s="1338"/>
      <c r="AS7" s="144">
        <f>基本情報!C3</f>
        <v>0</v>
      </c>
      <c r="AT7" s="102" t="str">
        <f>基本情報!AA4</f>
        <v/>
      </c>
      <c r="AU7" s="103" t="s">
        <v>333</v>
      </c>
      <c r="AV7" s="123" t="e">
        <f>DGET($A$6:$AH$550,AV6,AS6:AU7)</f>
        <v>#VALUE!</v>
      </c>
      <c r="AW7" s="123" t="e">
        <f>DGET($A$6:$AH$550,AW6,AS6:AU7)</f>
        <v>#VALUE!</v>
      </c>
      <c r="AX7" s="123" t="e">
        <f>DGET($A$6:$AH$550,AX6,AS6:AU7)</f>
        <v>#VALUE!</v>
      </c>
      <c r="AY7" s="123" t="e">
        <f>DGET($A$6:$AH$550,AY6,AS6:AU7)</f>
        <v>#VALUE!</v>
      </c>
      <c r="AZ7" s="132" t="e">
        <f>DGET($A$6:$AH$550,AZ6,AS6:AU7)</f>
        <v>#VALUE!</v>
      </c>
      <c r="BA7" s="132" t="e">
        <f>DGET($A$6:$AH$550,BA6,AS6:AU7)</f>
        <v>#VALUE!</v>
      </c>
      <c r="BB7" s="138" t="e">
        <f>DGET($A$6:$AH$550,BB6,AS6:AU7)</f>
        <v>#VALUE!</v>
      </c>
      <c r="BC7" s="138"/>
      <c r="BD7" s="138"/>
      <c r="BE7" s="138"/>
      <c r="BF7" s="138"/>
    </row>
    <row r="8" spans="1:58" s="89" customFormat="1" ht="13.5" customHeight="1">
      <c r="A8" s="431" t="s">
        <v>291</v>
      </c>
      <c r="B8" s="432" t="s">
        <v>286</v>
      </c>
      <c r="C8" s="433" t="s">
        <v>336</v>
      </c>
      <c r="D8" s="434">
        <v>132900</v>
      </c>
      <c r="E8" s="435">
        <v>195500</v>
      </c>
      <c r="F8" s="434">
        <v>106730</v>
      </c>
      <c r="G8" s="435">
        <v>169330</v>
      </c>
      <c r="H8" s="436">
        <v>1300</v>
      </c>
      <c r="I8" s="437">
        <v>1840</v>
      </c>
      <c r="J8" s="438" t="s">
        <v>731</v>
      </c>
      <c r="K8" s="436">
        <v>1040</v>
      </c>
      <c r="L8" s="437">
        <v>1580</v>
      </c>
      <c r="M8" s="438" t="s">
        <v>287</v>
      </c>
      <c r="N8" s="439">
        <v>7790</v>
      </c>
      <c r="O8" s="440">
        <v>70</v>
      </c>
      <c r="P8" s="441"/>
      <c r="Q8" s="441"/>
      <c r="R8" s="1279"/>
      <c r="S8" s="1282"/>
      <c r="T8" s="393" t="s">
        <v>292</v>
      </c>
      <c r="U8" s="442">
        <v>8700</v>
      </c>
      <c r="V8" s="443">
        <v>9700</v>
      </c>
      <c r="W8" s="441">
        <v>23380</v>
      </c>
      <c r="X8" s="444"/>
      <c r="Y8" s="1285"/>
      <c r="Z8" s="1301"/>
      <c r="AA8" s="445"/>
      <c r="AB8" s="1287"/>
      <c r="AC8" s="1290"/>
      <c r="AD8" s="1293"/>
      <c r="AE8" s="1295"/>
      <c r="AF8" s="1295"/>
      <c r="AG8" s="1298"/>
      <c r="AH8" s="1270"/>
      <c r="AI8" s="88"/>
      <c r="AJ8" s="205" t="s">
        <v>356</v>
      </c>
      <c r="AK8" s="157" t="s">
        <v>335</v>
      </c>
      <c r="AL8" s="158">
        <v>7888</v>
      </c>
      <c r="AM8" s="207">
        <v>6262</v>
      </c>
      <c r="AN8" s="238">
        <v>1809</v>
      </c>
      <c r="AO8" s="153"/>
      <c r="AP8" s="88"/>
      <c r="AQ8" s="88"/>
      <c r="AR8" s="1338"/>
      <c r="AS8" s="145" t="s">
        <v>339</v>
      </c>
      <c r="AT8" s="101" t="s">
        <v>340</v>
      </c>
      <c r="AU8" s="104" t="s">
        <v>341</v>
      </c>
      <c r="AV8" s="115" t="s">
        <v>264</v>
      </c>
      <c r="AW8" s="116" t="s">
        <v>265</v>
      </c>
      <c r="AX8" s="115" t="s">
        <v>266</v>
      </c>
      <c r="AY8" s="116" t="s">
        <v>267</v>
      </c>
      <c r="AZ8" s="130" t="s">
        <v>278</v>
      </c>
      <c r="BA8" s="131" t="s">
        <v>279</v>
      </c>
      <c r="BB8" s="136" t="s">
        <v>280</v>
      </c>
      <c r="BC8" s="136" t="s">
        <v>281</v>
      </c>
      <c r="BD8" s="136" t="s">
        <v>282</v>
      </c>
      <c r="BE8" s="137" t="s">
        <v>283</v>
      </c>
      <c r="BF8" s="137" t="s">
        <v>284</v>
      </c>
    </row>
    <row r="9" spans="1:58" s="89" customFormat="1" ht="13.5" customHeight="1">
      <c r="A9" s="431" t="s">
        <v>291</v>
      </c>
      <c r="B9" s="432" t="s">
        <v>286</v>
      </c>
      <c r="C9" s="433" t="s">
        <v>337</v>
      </c>
      <c r="D9" s="434">
        <v>195500</v>
      </c>
      <c r="E9" s="435">
        <v>273460</v>
      </c>
      <c r="F9" s="434">
        <v>169330</v>
      </c>
      <c r="G9" s="435">
        <v>247290</v>
      </c>
      <c r="H9" s="436">
        <v>1840</v>
      </c>
      <c r="I9" s="437">
        <v>2620</v>
      </c>
      <c r="J9" s="438" t="s">
        <v>731</v>
      </c>
      <c r="K9" s="436">
        <v>1580</v>
      </c>
      <c r="L9" s="437">
        <v>2360</v>
      </c>
      <c r="M9" s="438" t="s">
        <v>287</v>
      </c>
      <c r="N9" s="446"/>
      <c r="O9" s="447"/>
      <c r="P9" s="441"/>
      <c r="Q9" s="441"/>
      <c r="R9" s="1279"/>
      <c r="S9" s="1282"/>
      <c r="T9" s="393" t="s">
        <v>293</v>
      </c>
      <c r="U9" s="442">
        <v>7600</v>
      </c>
      <c r="V9" s="443">
        <v>8400</v>
      </c>
      <c r="W9" s="441">
        <v>23380</v>
      </c>
      <c r="X9" s="444"/>
      <c r="Y9" s="448"/>
      <c r="Z9" s="1301"/>
      <c r="AA9" s="445"/>
      <c r="AB9" s="1287"/>
      <c r="AC9" s="1290"/>
      <c r="AD9" s="1271">
        <v>0.01</v>
      </c>
      <c r="AE9" s="1273">
        <v>0.03</v>
      </c>
      <c r="AF9" s="1273">
        <v>0.04</v>
      </c>
      <c r="AG9" s="1275">
        <v>0.05</v>
      </c>
      <c r="AH9" s="1277">
        <v>0.79</v>
      </c>
      <c r="AI9" s="88"/>
      <c r="AJ9" s="208" t="s">
        <v>356</v>
      </c>
      <c r="AK9" s="159" t="s">
        <v>333</v>
      </c>
      <c r="AL9" s="158">
        <v>7346</v>
      </c>
      <c r="AM9" s="207">
        <v>5720</v>
      </c>
      <c r="AN9" s="238">
        <v>1809</v>
      </c>
      <c r="AO9" s="153"/>
      <c r="AP9" s="88"/>
      <c r="AQ9" s="88"/>
      <c r="AR9" s="1338"/>
      <c r="AS9" s="144">
        <f>AS7</f>
        <v>0</v>
      </c>
      <c r="AT9" s="102" t="str">
        <f>AT7</f>
        <v/>
      </c>
      <c r="AU9" s="103" t="s">
        <v>335</v>
      </c>
      <c r="AV9" s="123" t="e">
        <f>DGET($A$6:$AH$550,AV8,AS8:AU9)</f>
        <v>#VALUE!</v>
      </c>
      <c r="AW9" s="123" t="e">
        <f>DGET($A$6:$AH$550,AW8,AS8:AU9)</f>
        <v>#VALUE!</v>
      </c>
      <c r="AX9" s="123" t="e">
        <f>DGET($A$6:$AH$550,AX8,AS8:AU9)</f>
        <v>#VALUE!</v>
      </c>
      <c r="AY9" s="123" t="e">
        <f>DGET($A$6:$AH$550,AY8,AS8:AU9)</f>
        <v>#VALUE!</v>
      </c>
      <c r="AZ9" s="132" t="e">
        <f>AZ7</f>
        <v>#VALUE!</v>
      </c>
      <c r="BA9" s="132" t="e">
        <f>BA7</f>
        <v>#VALUE!</v>
      </c>
      <c r="BB9" s="138" t="e">
        <f>DGET($A$6:$AH$550,BB8,AS8:AU9)</f>
        <v>#VALUE!</v>
      </c>
      <c r="BC9" s="138"/>
      <c r="BD9" s="138"/>
      <c r="BE9" s="138"/>
      <c r="BF9" s="138"/>
    </row>
    <row r="10" spans="1:58" s="89" customFormat="1" ht="13.5" customHeight="1">
      <c r="A10" s="431" t="s">
        <v>291</v>
      </c>
      <c r="B10" s="449" t="s">
        <v>286</v>
      </c>
      <c r="C10" s="450" t="s">
        <v>338</v>
      </c>
      <c r="D10" s="451">
        <v>273460</v>
      </c>
      <c r="E10" s="452"/>
      <c r="F10" s="451">
        <v>247290</v>
      </c>
      <c r="G10" s="452"/>
      <c r="H10" s="439">
        <v>2620</v>
      </c>
      <c r="I10" s="453"/>
      <c r="J10" s="454" t="s">
        <v>731</v>
      </c>
      <c r="K10" s="439">
        <v>2360</v>
      </c>
      <c r="L10" s="453"/>
      <c r="M10" s="454" t="s">
        <v>287</v>
      </c>
      <c r="N10" s="446"/>
      <c r="O10" s="455"/>
      <c r="P10" s="441"/>
      <c r="Q10" s="441"/>
      <c r="R10" s="1280"/>
      <c r="S10" s="1283"/>
      <c r="T10" s="456" t="s">
        <v>294</v>
      </c>
      <c r="U10" s="457">
        <v>6800</v>
      </c>
      <c r="V10" s="458">
        <v>7500</v>
      </c>
      <c r="W10" s="459">
        <v>23380</v>
      </c>
      <c r="X10" s="460"/>
      <c r="Y10" s="448"/>
      <c r="Z10" s="1301"/>
      <c r="AA10" s="445"/>
      <c r="AB10" s="1288"/>
      <c r="AC10" s="1291"/>
      <c r="AD10" s="1272"/>
      <c r="AE10" s="1274"/>
      <c r="AF10" s="1274"/>
      <c r="AG10" s="1276"/>
      <c r="AH10" s="1277"/>
      <c r="AI10" s="88"/>
      <c r="AJ10" s="209" t="s">
        <v>357</v>
      </c>
      <c r="AK10" s="154" t="s">
        <v>338</v>
      </c>
      <c r="AL10" s="158">
        <v>15079</v>
      </c>
      <c r="AM10" s="207">
        <v>13995</v>
      </c>
      <c r="AN10" s="156"/>
      <c r="AO10" s="153"/>
      <c r="AP10" s="88"/>
      <c r="AQ10" s="88"/>
      <c r="AR10" s="1338"/>
      <c r="AS10" s="145" t="s">
        <v>339</v>
      </c>
      <c r="AT10" s="101" t="s">
        <v>340</v>
      </c>
      <c r="AU10" s="104" t="s">
        <v>341</v>
      </c>
      <c r="AV10" s="115" t="s">
        <v>264</v>
      </c>
      <c r="AW10" s="116" t="s">
        <v>265</v>
      </c>
      <c r="AX10" s="115" t="s">
        <v>266</v>
      </c>
      <c r="AY10" s="116" t="s">
        <v>267</v>
      </c>
      <c r="AZ10" s="130" t="s">
        <v>278</v>
      </c>
      <c r="BA10" s="131" t="s">
        <v>279</v>
      </c>
      <c r="BB10" s="134" t="s">
        <v>280</v>
      </c>
      <c r="BC10" s="134" t="s">
        <v>281</v>
      </c>
      <c r="BD10" s="134" t="s">
        <v>282</v>
      </c>
      <c r="BE10" s="135" t="s">
        <v>283</v>
      </c>
      <c r="BF10" s="135" t="s">
        <v>284</v>
      </c>
    </row>
    <row r="11" spans="1:58" s="89" customFormat="1" ht="13.5" customHeight="1">
      <c r="A11" s="431" t="s">
        <v>291</v>
      </c>
      <c r="B11" s="416" t="s">
        <v>295</v>
      </c>
      <c r="C11" s="417" t="s">
        <v>334</v>
      </c>
      <c r="D11" s="418">
        <v>90210</v>
      </c>
      <c r="E11" s="419">
        <v>98000</v>
      </c>
      <c r="F11" s="418">
        <v>72770</v>
      </c>
      <c r="G11" s="419">
        <v>80560</v>
      </c>
      <c r="H11" s="420">
        <v>880</v>
      </c>
      <c r="I11" s="421">
        <v>950</v>
      </c>
      <c r="J11" s="422" t="s">
        <v>731</v>
      </c>
      <c r="K11" s="420">
        <v>700</v>
      </c>
      <c r="L11" s="421">
        <v>770</v>
      </c>
      <c r="M11" s="422" t="s">
        <v>287</v>
      </c>
      <c r="N11" s="423">
        <v>7790</v>
      </c>
      <c r="O11" s="424">
        <v>70</v>
      </c>
      <c r="P11" s="441"/>
      <c r="Q11" s="441"/>
      <c r="R11" s="1278">
        <v>5000</v>
      </c>
      <c r="S11" s="1281">
        <v>5500</v>
      </c>
      <c r="T11" s="426" t="s">
        <v>288</v>
      </c>
      <c r="U11" s="427">
        <v>10900</v>
      </c>
      <c r="V11" s="428">
        <v>12200</v>
      </c>
      <c r="W11" s="425">
        <v>15590</v>
      </c>
      <c r="X11" s="429">
        <v>150</v>
      </c>
      <c r="Y11" s="1284">
        <v>4500</v>
      </c>
      <c r="Z11" s="1301"/>
      <c r="AA11" s="445"/>
      <c r="AB11" s="1286">
        <v>18130</v>
      </c>
      <c r="AC11" s="1289">
        <v>180</v>
      </c>
      <c r="AD11" s="1292" t="s">
        <v>290</v>
      </c>
      <c r="AE11" s="1294" t="s">
        <v>290</v>
      </c>
      <c r="AF11" s="1294" t="s">
        <v>290</v>
      </c>
      <c r="AG11" s="1297" t="s">
        <v>290</v>
      </c>
      <c r="AH11" s="1269" t="s">
        <v>296</v>
      </c>
      <c r="AI11" s="88"/>
      <c r="AJ11" s="209" t="s">
        <v>357</v>
      </c>
      <c r="AK11" s="157" t="s">
        <v>337</v>
      </c>
      <c r="AL11" s="158">
        <v>9658</v>
      </c>
      <c r="AM11" s="207">
        <v>8574</v>
      </c>
      <c r="AN11" s="156"/>
      <c r="AO11" s="153"/>
      <c r="AP11" s="88"/>
      <c r="AQ11" s="88"/>
      <c r="AR11" s="1338"/>
      <c r="AS11" s="144">
        <f>AS7</f>
        <v>0</v>
      </c>
      <c r="AT11" s="102" t="str">
        <f>AT7</f>
        <v/>
      </c>
      <c r="AU11" s="103" t="s">
        <v>342</v>
      </c>
      <c r="AV11" s="123" t="e">
        <f>DGET($A$6:$AH$550,AV10,AS10:AU11)</f>
        <v>#VALUE!</v>
      </c>
      <c r="AW11" s="123" t="e">
        <f>DGET($A$6:$AH$550,AW10,AS10:AU11)</f>
        <v>#VALUE!</v>
      </c>
      <c r="AX11" s="123" t="e">
        <f>DGET($A$6:$AH$550,AX10,AS10:AU11)</f>
        <v>#VALUE!</v>
      </c>
      <c r="AY11" s="123" t="e">
        <f>DGET($A$6:$AH$550,AY10,AS10:AU11)</f>
        <v>#VALUE!</v>
      </c>
      <c r="AZ11" s="132" t="e">
        <f>AZ7</f>
        <v>#VALUE!</v>
      </c>
      <c r="BA11" s="132" t="e">
        <f>BA7</f>
        <v>#VALUE!</v>
      </c>
      <c r="BB11" s="133" t="e">
        <f>DGET($A$6:$AH$550,BB10,AS10:AU11)</f>
        <v>#VALUE!</v>
      </c>
      <c r="BC11" s="133" t="e">
        <f>DGET($A$6:$AH$550,BC10,AS10:AU11)</f>
        <v>#VALUE!</v>
      </c>
      <c r="BD11" s="133" t="e">
        <f>DGET($A$6:$AH$550,BD10,AS10:AU11)</f>
        <v>#VALUE!</v>
      </c>
      <c r="BE11" s="133" t="e">
        <f>DGET($A$6:$AH$550,BE10,AS10:AU11)</f>
        <v>#VALUE!</v>
      </c>
      <c r="BF11" s="133" t="e">
        <f>DGET($A$6:$AH$550,BF10,AS10:AU11)</f>
        <v>#VALUE!</v>
      </c>
    </row>
    <row r="12" spans="1:58" s="89" customFormat="1" ht="13.5" customHeight="1">
      <c r="A12" s="431" t="s">
        <v>291</v>
      </c>
      <c r="B12" s="432" t="s">
        <v>297</v>
      </c>
      <c r="C12" s="433" t="s">
        <v>336</v>
      </c>
      <c r="D12" s="434">
        <v>98000</v>
      </c>
      <c r="E12" s="435">
        <v>160600</v>
      </c>
      <c r="F12" s="434">
        <v>80560</v>
      </c>
      <c r="G12" s="435">
        <v>143160</v>
      </c>
      <c r="H12" s="436">
        <v>950</v>
      </c>
      <c r="I12" s="437">
        <v>1490</v>
      </c>
      <c r="J12" s="438" t="s">
        <v>731</v>
      </c>
      <c r="K12" s="436">
        <v>770</v>
      </c>
      <c r="L12" s="437">
        <v>1320</v>
      </c>
      <c r="M12" s="438" t="s">
        <v>287</v>
      </c>
      <c r="N12" s="439">
        <v>7790</v>
      </c>
      <c r="O12" s="440">
        <v>70</v>
      </c>
      <c r="P12" s="441"/>
      <c r="Q12" s="441"/>
      <c r="R12" s="1279"/>
      <c r="S12" s="1282"/>
      <c r="T12" s="393" t="s">
        <v>292</v>
      </c>
      <c r="U12" s="442">
        <v>6000</v>
      </c>
      <c r="V12" s="443">
        <v>6700</v>
      </c>
      <c r="W12" s="441">
        <v>15590</v>
      </c>
      <c r="X12" s="444"/>
      <c r="Y12" s="1285"/>
      <c r="Z12" s="1301"/>
      <c r="AA12" s="445"/>
      <c r="AB12" s="1287"/>
      <c r="AC12" s="1290"/>
      <c r="AD12" s="1293"/>
      <c r="AE12" s="1295"/>
      <c r="AF12" s="1295"/>
      <c r="AG12" s="1298"/>
      <c r="AH12" s="1270"/>
      <c r="AI12" s="88"/>
      <c r="AJ12" s="209" t="s">
        <v>357</v>
      </c>
      <c r="AK12" s="157" t="s">
        <v>335</v>
      </c>
      <c r="AL12" s="158">
        <v>5864</v>
      </c>
      <c r="AM12" s="207">
        <v>4780</v>
      </c>
      <c r="AN12" s="156"/>
      <c r="AO12" s="153"/>
      <c r="AP12" s="88"/>
      <c r="AQ12" s="88"/>
      <c r="AR12" s="1338"/>
      <c r="AS12" s="145" t="s">
        <v>339</v>
      </c>
      <c r="AT12" s="101" t="s">
        <v>340</v>
      </c>
      <c r="AU12" s="104" t="s">
        <v>341</v>
      </c>
      <c r="AV12" s="115" t="s">
        <v>264</v>
      </c>
      <c r="AW12" s="116" t="s">
        <v>265</v>
      </c>
      <c r="AX12" s="115" t="s">
        <v>266</v>
      </c>
      <c r="AY12" s="116" t="s">
        <v>267</v>
      </c>
      <c r="AZ12" s="130" t="s">
        <v>278</v>
      </c>
      <c r="BA12" s="131" t="s">
        <v>279</v>
      </c>
      <c r="BB12" s="139" t="s">
        <v>280</v>
      </c>
      <c r="BC12" s="139" t="s">
        <v>281</v>
      </c>
      <c r="BD12" s="139" t="s">
        <v>282</v>
      </c>
      <c r="BE12" s="140" t="s">
        <v>283</v>
      </c>
      <c r="BF12" s="137" t="s">
        <v>284</v>
      </c>
    </row>
    <row r="13" spans="1:58" s="89" customFormat="1" ht="13.5" customHeight="1">
      <c r="A13" s="431" t="s">
        <v>291</v>
      </c>
      <c r="B13" s="432" t="s">
        <v>297</v>
      </c>
      <c r="C13" s="433" t="s">
        <v>337</v>
      </c>
      <c r="D13" s="434">
        <v>160600</v>
      </c>
      <c r="E13" s="435">
        <v>238560</v>
      </c>
      <c r="F13" s="434">
        <v>143160</v>
      </c>
      <c r="G13" s="435">
        <v>221120</v>
      </c>
      <c r="H13" s="436">
        <v>1490</v>
      </c>
      <c r="I13" s="437">
        <v>2270</v>
      </c>
      <c r="J13" s="438" t="s">
        <v>731</v>
      </c>
      <c r="K13" s="436">
        <v>1320</v>
      </c>
      <c r="L13" s="437">
        <v>2100</v>
      </c>
      <c r="M13" s="438" t="s">
        <v>287</v>
      </c>
      <c r="N13" s="446"/>
      <c r="O13" s="447"/>
      <c r="P13" s="461"/>
      <c r="Q13" s="461"/>
      <c r="R13" s="1279"/>
      <c r="S13" s="1282"/>
      <c r="T13" s="393" t="s">
        <v>293</v>
      </c>
      <c r="U13" s="442">
        <v>5200</v>
      </c>
      <c r="V13" s="443">
        <v>5800</v>
      </c>
      <c r="W13" s="441">
        <v>15590</v>
      </c>
      <c r="X13" s="444"/>
      <c r="Y13" s="448"/>
      <c r="Z13" s="1301"/>
      <c r="AA13" s="445"/>
      <c r="AB13" s="1287"/>
      <c r="AC13" s="1290"/>
      <c r="AD13" s="1271">
        <v>0.01</v>
      </c>
      <c r="AE13" s="1273">
        <v>0.03</v>
      </c>
      <c r="AF13" s="1273">
        <v>0.04</v>
      </c>
      <c r="AG13" s="1275">
        <v>0.05</v>
      </c>
      <c r="AH13" s="1277">
        <v>0.87</v>
      </c>
      <c r="AI13" s="88"/>
      <c r="AJ13" s="210" t="s">
        <v>357</v>
      </c>
      <c r="AK13" s="159" t="s">
        <v>333</v>
      </c>
      <c r="AL13" s="158">
        <v>5322</v>
      </c>
      <c r="AM13" s="207">
        <v>4238</v>
      </c>
      <c r="AN13" s="156"/>
      <c r="AO13" s="153"/>
      <c r="AP13" s="88"/>
      <c r="AQ13" s="88"/>
      <c r="AR13" s="1339"/>
      <c r="AS13" s="144">
        <f>AS7</f>
        <v>0</v>
      </c>
      <c r="AT13" s="102" t="str">
        <f>AT7</f>
        <v/>
      </c>
      <c r="AU13" s="103" t="s">
        <v>343</v>
      </c>
      <c r="AV13" s="123" t="e">
        <f>DGET($A$6:$AH$550,AV12,AS12:AU13)</f>
        <v>#VALUE!</v>
      </c>
      <c r="AW13" s="123" t="e">
        <f>DGET($A$6:$AH$550,AW12,AS12:AU13)</f>
        <v>#VALUE!</v>
      </c>
      <c r="AX13" s="123" t="e">
        <f>DGET($A$6:$AH$550,AX12,AS12:AU13)</f>
        <v>#VALUE!</v>
      </c>
      <c r="AY13" s="123" t="e">
        <f>DGET($A$6:$AH$550,AY12,AS12:AU13)</f>
        <v>#VALUE!</v>
      </c>
      <c r="AZ13" s="132" t="e">
        <f>AZ7</f>
        <v>#VALUE!</v>
      </c>
      <c r="BA13" s="132" t="e">
        <f>BA7</f>
        <v>#VALUE!</v>
      </c>
      <c r="BB13" s="141" t="e">
        <f>DGET($A$6:$AH$550,BB12,AS12:AU13)</f>
        <v>#VALUE!</v>
      </c>
      <c r="BC13" s="141"/>
      <c r="BD13" s="141"/>
      <c r="BE13" s="141"/>
      <c r="BF13" s="138"/>
    </row>
    <row r="14" spans="1:58" s="89" customFormat="1" ht="13.5" customHeight="1">
      <c r="A14" s="431" t="s">
        <v>291</v>
      </c>
      <c r="B14" s="449" t="s">
        <v>297</v>
      </c>
      <c r="C14" s="450" t="s">
        <v>338</v>
      </c>
      <c r="D14" s="451">
        <v>238560</v>
      </c>
      <c r="E14" s="452"/>
      <c r="F14" s="451">
        <v>221120</v>
      </c>
      <c r="G14" s="452"/>
      <c r="H14" s="439">
        <v>2270</v>
      </c>
      <c r="I14" s="453"/>
      <c r="J14" s="454" t="s">
        <v>731</v>
      </c>
      <c r="K14" s="439">
        <v>2100</v>
      </c>
      <c r="L14" s="453"/>
      <c r="M14" s="454" t="s">
        <v>287</v>
      </c>
      <c r="N14" s="446"/>
      <c r="O14" s="455"/>
      <c r="P14" s="461"/>
      <c r="Q14" s="461"/>
      <c r="R14" s="1280"/>
      <c r="S14" s="1283"/>
      <c r="T14" s="456" t="s">
        <v>294</v>
      </c>
      <c r="U14" s="457">
        <v>4700</v>
      </c>
      <c r="V14" s="458">
        <v>5200</v>
      </c>
      <c r="W14" s="459">
        <v>15590</v>
      </c>
      <c r="X14" s="460"/>
      <c r="Y14" s="448"/>
      <c r="Z14" s="1301"/>
      <c r="AA14" s="445"/>
      <c r="AB14" s="1288"/>
      <c r="AC14" s="1291"/>
      <c r="AD14" s="1272"/>
      <c r="AE14" s="1274"/>
      <c r="AF14" s="1274"/>
      <c r="AG14" s="1276"/>
      <c r="AH14" s="1277"/>
      <c r="AI14" s="88"/>
      <c r="AJ14" s="209" t="s">
        <v>358</v>
      </c>
      <c r="AK14" s="154" t="s">
        <v>338</v>
      </c>
      <c r="AL14" s="158">
        <v>14193</v>
      </c>
      <c r="AM14" s="207">
        <v>13379</v>
      </c>
      <c r="AN14" s="156"/>
      <c r="AO14" s="153"/>
      <c r="AP14" s="88"/>
      <c r="AQ14" s="88"/>
      <c r="AR14" s="88"/>
      <c r="AS14" s="88"/>
      <c r="AT14" s="88"/>
      <c r="AU14" s="88"/>
      <c r="AV14" s="88"/>
      <c r="AW14" s="88"/>
    </row>
    <row r="15" spans="1:58" s="89" customFormat="1" ht="13.5" customHeight="1">
      <c r="A15" s="431" t="s">
        <v>291</v>
      </c>
      <c r="B15" s="416" t="s">
        <v>298</v>
      </c>
      <c r="C15" s="417" t="s">
        <v>334</v>
      </c>
      <c r="D15" s="418">
        <v>73060</v>
      </c>
      <c r="E15" s="419">
        <v>80850</v>
      </c>
      <c r="F15" s="418">
        <v>59980</v>
      </c>
      <c r="G15" s="419">
        <v>67770</v>
      </c>
      <c r="H15" s="420">
        <v>710</v>
      </c>
      <c r="I15" s="421">
        <v>780</v>
      </c>
      <c r="J15" s="422" t="s">
        <v>731</v>
      </c>
      <c r="K15" s="420">
        <v>580</v>
      </c>
      <c r="L15" s="421">
        <v>650</v>
      </c>
      <c r="M15" s="422" t="s">
        <v>287</v>
      </c>
      <c r="N15" s="423">
        <v>7790</v>
      </c>
      <c r="O15" s="424">
        <v>70</v>
      </c>
      <c r="P15" s="461"/>
      <c r="Q15" s="461"/>
      <c r="R15" s="1278">
        <v>4400</v>
      </c>
      <c r="S15" s="1281">
        <v>4800</v>
      </c>
      <c r="T15" s="426" t="s">
        <v>288</v>
      </c>
      <c r="U15" s="427">
        <v>9800</v>
      </c>
      <c r="V15" s="428">
        <v>10900</v>
      </c>
      <c r="W15" s="425">
        <v>11690</v>
      </c>
      <c r="X15" s="429">
        <v>110</v>
      </c>
      <c r="Y15" s="1284">
        <v>4500</v>
      </c>
      <c r="Z15" s="1301"/>
      <c r="AA15" s="445"/>
      <c r="AB15" s="1286">
        <v>13590</v>
      </c>
      <c r="AC15" s="1289">
        <v>130</v>
      </c>
      <c r="AD15" s="1292" t="s">
        <v>290</v>
      </c>
      <c r="AE15" s="1294" t="s">
        <v>290</v>
      </c>
      <c r="AF15" s="1294" t="s">
        <v>290</v>
      </c>
      <c r="AG15" s="1297" t="s">
        <v>290</v>
      </c>
      <c r="AH15" s="1269" t="s">
        <v>296</v>
      </c>
      <c r="AI15" s="88"/>
      <c r="AJ15" s="209" t="s">
        <v>358</v>
      </c>
      <c r="AK15" s="157" t="s">
        <v>337</v>
      </c>
      <c r="AL15" s="158">
        <v>8772</v>
      </c>
      <c r="AM15" s="207">
        <v>7958</v>
      </c>
      <c r="AN15" s="156"/>
      <c r="AO15" s="153"/>
      <c r="AP15" s="88"/>
      <c r="AQ15" s="88"/>
      <c r="AR15" s="88"/>
      <c r="AS15" s="88"/>
      <c r="AT15" s="88"/>
      <c r="AU15" s="88"/>
      <c r="AV15" s="88"/>
      <c r="AW15" s="88"/>
    </row>
    <row r="16" spans="1:58" s="89" customFormat="1" ht="13.5" customHeight="1">
      <c r="A16" s="431" t="s">
        <v>291</v>
      </c>
      <c r="B16" s="432" t="s">
        <v>299</v>
      </c>
      <c r="C16" s="433" t="s">
        <v>336</v>
      </c>
      <c r="D16" s="434">
        <v>80850</v>
      </c>
      <c r="E16" s="435">
        <v>143450</v>
      </c>
      <c r="F16" s="434">
        <v>67770</v>
      </c>
      <c r="G16" s="435">
        <v>130370</v>
      </c>
      <c r="H16" s="436">
        <v>780</v>
      </c>
      <c r="I16" s="437">
        <v>1320</v>
      </c>
      <c r="J16" s="438" t="s">
        <v>731</v>
      </c>
      <c r="K16" s="436">
        <v>650</v>
      </c>
      <c r="L16" s="437">
        <v>1190</v>
      </c>
      <c r="M16" s="438" t="s">
        <v>287</v>
      </c>
      <c r="N16" s="439">
        <v>7790</v>
      </c>
      <c r="O16" s="440">
        <v>70</v>
      </c>
      <c r="P16" s="461"/>
      <c r="Q16" s="461"/>
      <c r="R16" s="1279"/>
      <c r="S16" s="1282"/>
      <c r="T16" s="393" t="s">
        <v>292</v>
      </c>
      <c r="U16" s="442">
        <v>5400</v>
      </c>
      <c r="V16" s="443">
        <v>6000</v>
      </c>
      <c r="W16" s="441">
        <v>11690</v>
      </c>
      <c r="X16" s="444"/>
      <c r="Y16" s="1285"/>
      <c r="Z16" s="1301"/>
      <c r="AA16" s="445"/>
      <c r="AB16" s="1287"/>
      <c r="AC16" s="1290"/>
      <c r="AD16" s="1293"/>
      <c r="AE16" s="1295"/>
      <c r="AF16" s="1295"/>
      <c r="AG16" s="1298"/>
      <c r="AH16" s="1270"/>
      <c r="AI16" s="88"/>
      <c r="AJ16" s="209" t="s">
        <v>358</v>
      </c>
      <c r="AK16" s="157" t="s">
        <v>335</v>
      </c>
      <c r="AL16" s="158">
        <v>4978</v>
      </c>
      <c r="AM16" s="207">
        <v>4164</v>
      </c>
      <c r="AN16" s="156"/>
      <c r="AO16" s="153"/>
      <c r="AP16" s="88"/>
      <c r="AQ16" s="88"/>
      <c r="AR16" s="88"/>
      <c r="AS16" s="88"/>
      <c r="AT16" s="88"/>
      <c r="AU16" s="88"/>
      <c r="AV16" s="88"/>
      <c r="AW16" s="88"/>
    </row>
    <row r="17" spans="1:58" s="89" customFormat="1" ht="13.5" customHeight="1">
      <c r="A17" s="431" t="s">
        <v>291</v>
      </c>
      <c r="B17" s="432" t="s">
        <v>299</v>
      </c>
      <c r="C17" s="433" t="s">
        <v>337</v>
      </c>
      <c r="D17" s="434">
        <v>143450</v>
      </c>
      <c r="E17" s="435">
        <v>221410</v>
      </c>
      <c r="F17" s="434">
        <v>130370</v>
      </c>
      <c r="G17" s="435">
        <v>208330</v>
      </c>
      <c r="H17" s="436">
        <v>1320</v>
      </c>
      <c r="I17" s="437">
        <v>2100</v>
      </c>
      <c r="J17" s="438" t="s">
        <v>731</v>
      </c>
      <c r="K17" s="436">
        <v>1190</v>
      </c>
      <c r="L17" s="437">
        <v>1970</v>
      </c>
      <c r="M17" s="438" t="s">
        <v>287</v>
      </c>
      <c r="N17" s="446"/>
      <c r="O17" s="447"/>
      <c r="P17" s="461"/>
      <c r="Q17" s="461"/>
      <c r="R17" s="1279"/>
      <c r="S17" s="1282"/>
      <c r="T17" s="393" t="s">
        <v>293</v>
      </c>
      <c r="U17" s="442">
        <v>4700</v>
      </c>
      <c r="V17" s="443">
        <v>5200</v>
      </c>
      <c r="W17" s="441">
        <v>11690</v>
      </c>
      <c r="X17" s="444"/>
      <c r="Y17" s="448"/>
      <c r="Z17" s="1301"/>
      <c r="AA17" s="445"/>
      <c r="AB17" s="1287"/>
      <c r="AC17" s="1290"/>
      <c r="AD17" s="1271">
        <v>0.01</v>
      </c>
      <c r="AE17" s="1273">
        <v>0.03</v>
      </c>
      <c r="AF17" s="1273">
        <v>0.04</v>
      </c>
      <c r="AG17" s="1275">
        <v>0.05</v>
      </c>
      <c r="AH17" s="1277">
        <v>0.96</v>
      </c>
      <c r="AI17" s="88"/>
      <c r="AJ17" s="210" t="s">
        <v>358</v>
      </c>
      <c r="AK17" s="159" t="s">
        <v>333</v>
      </c>
      <c r="AL17" s="158">
        <v>4436</v>
      </c>
      <c r="AM17" s="207">
        <v>3622</v>
      </c>
      <c r="AN17" s="156"/>
      <c r="AO17" s="153"/>
      <c r="AP17" s="88"/>
      <c r="AQ17" s="88"/>
      <c r="AR17" s="1337" t="s">
        <v>350</v>
      </c>
      <c r="AS17" s="146"/>
      <c r="AT17" s="147"/>
      <c r="AU17" s="148"/>
      <c r="AV17" s="1340" t="s">
        <v>222</v>
      </c>
      <c r="AW17" s="1341"/>
      <c r="AX17" s="1340" t="s">
        <v>223</v>
      </c>
      <c r="AY17" s="1341"/>
      <c r="AZ17" s="1342" t="s">
        <v>231</v>
      </c>
      <c r="BA17" s="1343"/>
      <c r="BB17" s="1346" t="s">
        <v>398</v>
      </c>
      <c r="BC17" s="1347"/>
      <c r="BD17" s="1347"/>
      <c r="BE17" s="1348"/>
      <c r="BF17" s="1349" t="s">
        <v>232</v>
      </c>
    </row>
    <row r="18" spans="1:58" s="89" customFormat="1" ht="13.5" customHeight="1">
      <c r="A18" s="431" t="s">
        <v>291</v>
      </c>
      <c r="B18" s="449" t="s">
        <v>299</v>
      </c>
      <c r="C18" s="450" t="s">
        <v>338</v>
      </c>
      <c r="D18" s="451">
        <v>221410</v>
      </c>
      <c r="E18" s="452"/>
      <c r="F18" s="451">
        <v>208330</v>
      </c>
      <c r="G18" s="452"/>
      <c r="H18" s="439">
        <v>2100</v>
      </c>
      <c r="I18" s="453"/>
      <c r="J18" s="454" t="s">
        <v>731</v>
      </c>
      <c r="K18" s="439">
        <v>1970</v>
      </c>
      <c r="L18" s="453"/>
      <c r="M18" s="454" t="s">
        <v>287</v>
      </c>
      <c r="N18" s="446"/>
      <c r="O18" s="455"/>
      <c r="P18" s="461"/>
      <c r="Q18" s="461"/>
      <c r="R18" s="1280"/>
      <c r="S18" s="1283"/>
      <c r="T18" s="456" t="s">
        <v>294</v>
      </c>
      <c r="U18" s="457">
        <v>4200</v>
      </c>
      <c r="V18" s="458">
        <v>4600</v>
      </c>
      <c r="W18" s="459">
        <v>11690</v>
      </c>
      <c r="X18" s="460"/>
      <c r="Y18" s="448"/>
      <c r="Z18" s="1301"/>
      <c r="AA18" s="445"/>
      <c r="AB18" s="1288"/>
      <c r="AC18" s="1291"/>
      <c r="AD18" s="1272"/>
      <c r="AE18" s="1274"/>
      <c r="AF18" s="1274"/>
      <c r="AG18" s="1276"/>
      <c r="AH18" s="1277"/>
      <c r="AI18" s="88"/>
      <c r="AJ18" s="209" t="s">
        <v>359</v>
      </c>
      <c r="AK18" s="154" t="s">
        <v>338</v>
      </c>
      <c r="AL18" s="158">
        <v>14069</v>
      </c>
      <c r="AM18" s="207">
        <v>13419</v>
      </c>
      <c r="AN18" s="156"/>
      <c r="AO18" s="153"/>
      <c r="AP18" s="88"/>
      <c r="AQ18" s="88"/>
      <c r="AR18" s="1338"/>
      <c r="AS18" s="87"/>
      <c r="AT18" s="87"/>
      <c r="AU18" s="87"/>
      <c r="AV18" s="149" t="s">
        <v>233</v>
      </c>
      <c r="AW18" s="121" t="s">
        <v>234</v>
      </c>
      <c r="AX18" s="119" t="s">
        <v>233</v>
      </c>
      <c r="AY18" s="121" t="s">
        <v>234</v>
      </c>
      <c r="AZ18" s="1344"/>
      <c r="BA18" s="1345"/>
      <c r="BB18" s="1351" t="s">
        <v>235</v>
      </c>
      <c r="BC18" s="1353" t="s">
        <v>236</v>
      </c>
      <c r="BD18" s="1353" t="s">
        <v>237</v>
      </c>
      <c r="BE18" s="1355" t="s">
        <v>238</v>
      </c>
      <c r="BF18" s="1350"/>
    </row>
    <row r="19" spans="1:58" ht="13.5" customHeight="1">
      <c r="A19" s="431" t="s">
        <v>291</v>
      </c>
      <c r="B19" s="416" t="s">
        <v>300</v>
      </c>
      <c r="C19" s="417" t="s">
        <v>334</v>
      </c>
      <c r="D19" s="418">
        <v>68360</v>
      </c>
      <c r="E19" s="419">
        <v>76150</v>
      </c>
      <c r="F19" s="418">
        <v>57900</v>
      </c>
      <c r="G19" s="419">
        <v>65690</v>
      </c>
      <c r="H19" s="420">
        <v>660</v>
      </c>
      <c r="I19" s="421">
        <v>730</v>
      </c>
      <c r="J19" s="422" t="s">
        <v>731</v>
      </c>
      <c r="K19" s="420">
        <v>560</v>
      </c>
      <c r="L19" s="421">
        <v>630</v>
      </c>
      <c r="M19" s="422" t="s">
        <v>287</v>
      </c>
      <c r="N19" s="423">
        <v>7790</v>
      </c>
      <c r="O19" s="424">
        <v>70</v>
      </c>
      <c r="P19" s="1300"/>
      <c r="Q19" s="1300"/>
      <c r="R19" s="1278">
        <v>4000</v>
      </c>
      <c r="S19" s="1281">
        <v>4400</v>
      </c>
      <c r="T19" s="426" t="s">
        <v>288</v>
      </c>
      <c r="U19" s="427">
        <v>8800</v>
      </c>
      <c r="V19" s="428">
        <v>9800</v>
      </c>
      <c r="W19" s="425">
        <v>9350</v>
      </c>
      <c r="X19" s="429">
        <v>90</v>
      </c>
      <c r="Y19" s="1284">
        <v>4500</v>
      </c>
      <c r="Z19" s="1301"/>
      <c r="AA19" s="445"/>
      <c r="AB19" s="1286">
        <v>10870</v>
      </c>
      <c r="AC19" s="1289">
        <v>100</v>
      </c>
      <c r="AD19" s="1292" t="s">
        <v>290</v>
      </c>
      <c r="AE19" s="1294" t="s">
        <v>290</v>
      </c>
      <c r="AF19" s="1294" t="s">
        <v>290</v>
      </c>
      <c r="AG19" s="1297" t="s">
        <v>290</v>
      </c>
      <c r="AH19" s="1269" t="s">
        <v>296</v>
      </c>
      <c r="AJ19" s="209" t="s">
        <v>359</v>
      </c>
      <c r="AK19" s="157" t="s">
        <v>337</v>
      </c>
      <c r="AL19" s="158">
        <v>8648</v>
      </c>
      <c r="AM19" s="207">
        <v>7998</v>
      </c>
      <c r="AN19" s="156"/>
      <c r="AO19" s="153"/>
      <c r="AR19" s="1338"/>
      <c r="AV19" s="120" t="s">
        <v>239</v>
      </c>
      <c r="AW19" s="120" t="s">
        <v>239</v>
      </c>
      <c r="AX19" s="107"/>
      <c r="AY19" s="107"/>
      <c r="AZ19" s="128"/>
      <c r="BA19" s="1357" t="s">
        <v>223</v>
      </c>
      <c r="BB19" s="1352"/>
      <c r="BC19" s="1354"/>
      <c r="BD19" s="1354"/>
      <c r="BE19" s="1356"/>
      <c r="BF19" s="1350"/>
    </row>
    <row r="20" spans="1:58" ht="13.5" customHeight="1">
      <c r="A20" s="431" t="s">
        <v>291</v>
      </c>
      <c r="B20" s="432" t="s">
        <v>301</v>
      </c>
      <c r="C20" s="433" t="s">
        <v>336</v>
      </c>
      <c r="D20" s="434">
        <v>76150</v>
      </c>
      <c r="E20" s="435">
        <v>138750</v>
      </c>
      <c r="F20" s="434">
        <v>65690</v>
      </c>
      <c r="G20" s="435">
        <v>128290</v>
      </c>
      <c r="H20" s="436">
        <v>730</v>
      </c>
      <c r="I20" s="437">
        <v>1270</v>
      </c>
      <c r="J20" s="438" t="s">
        <v>731</v>
      </c>
      <c r="K20" s="436">
        <v>630</v>
      </c>
      <c r="L20" s="437">
        <v>1170</v>
      </c>
      <c r="M20" s="438" t="s">
        <v>287</v>
      </c>
      <c r="N20" s="439">
        <v>7790</v>
      </c>
      <c r="O20" s="440">
        <v>70</v>
      </c>
      <c r="P20" s="1300"/>
      <c r="Q20" s="1300"/>
      <c r="R20" s="1279"/>
      <c r="S20" s="1282"/>
      <c r="T20" s="393" t="s">
        <v>292</v>
      </c>
      <c r="U20" s="442">
        <v>4800</v>
      </c>
      <c r="V20" s="443">
        <v>5400</v>
      </c>
      <c r="W20" s="441">
        <v>9350</v>
      </c>
      <c r="X20" s="444"/>
      <c r="Y20" s="1285"/>
      <c r="Z20" s="1301"/>
      <c r="AA20" s="445"/>
      <c r="AB20" s="1287"/>
      <c r="AC20" s="1290"/>
      <c r="AD20" s="1293"/>
      <c r="AE20" s="1295"/>
      <c r="AF20" s="1295"/>
      <c r="AG20" s="1298"/>
      <c r="AH20" s="1270"/>
      <c r="AJ20" s="209" t="s">
        <v>359</v>
      </c>
      <c r="AK20" s="157" t="s">
        <v>335</v>
      </c>
      <c r="AL20" s="158">
        <v>4854</v>
      </c>
      <c r="AM20" s="207">
        <v>4204</v>
      </c>
      <c r="AN20" s="156"/>
      <c r="AO20" s="153"/>
      <c r="AR20" s="1338"/>
      <c r="AV20" s="107"/>
      <c r="AW20" s="107"/>
      <c r="AX20" s="109"/>
      <c r="AY20" s="110"/>
      <c r="AZ20" s="127"/>
      <c r="BA20" s="1358"/>
      <c r="BB20" s="1352"/>
      <c r="BC20" s="1354"/>
      <c r="BD20" s="1354"/>
      <c r="BE20" s="1356"/>
      <c r="BF20" s="1350"/>
    </row>
    <row r="21" spans="1:58" ht="13.5" customHeight="1">
      <c r="A21" s="431" t="s">
        <v>291</v>
      </c>
      <c r="B21" s="432" t="s">
        <v>301</v>
      </c>
      <c r="C21" s="433" t="s">
        <v>337</v>
      </c>
      <c r="D21" s="434">
        <v>138750</v>
      </c>
      <c r="E21" s="435">
        <v>216710</v>
      </c>
      <c r="F21" s="434">
        <v>128290</v>
      </c>
      <c r="G21" s="435">
        <v>206250</v>
      </c>
      <c r="H21" s="436">
        <v>1270</v>
      </c>
      <c r="I21" s="437">
        <v>2050</v>
      </c>
      <c r="J21" s="438" t="s">
        <v>731</v>
      </c>
      <c r="K21" s="436">
        <v>1170</v>
      </c>
      <c r="L21" s="437">
        <v>1950</v>
      </c>
      <c r="M21" s="438" t="s">
        <v>287</v>
      </c>
      <c r="N21" s="446"/>
      <c r="O21" s="447"/>
      <c r="P21" s="1300"/>
      <c r="Q21" s="1300"/>
      <c r="R21" s="1279"/>
      <c r="S21" s="1282"/>
      <c r="T21" s="393" t="s">
        <v>293</v>
      </c>
      <c r="U21" s="442">
        <v>4200</v>
      </c>
      <c r="V21" s="443">
        <v>4700</v>
      </c>
      <c r="W21" s="441">
        <v>9350</v>
      </c>
      <c r="X21" s="444"/>
      <c r="Y21" s="448"/>
      <c r="Z21" s="1301"/>
      <c r="AA21" s="445"/>
      <c r="AB21" s="1287"/>
      <c r="AC21" s="1290"/>
      <c r="AD21" s="1271">
        <v>0.01</v>
      </c>
      <c r="AE21" s="1273">
        <v>0.03</v>
      </c>
      <c r="AF21" s="1273">
        <v>0.04</v>
      </c>
      <c r="AG21" s="1275">
        <v>0.06</v>
      </c>
      <c r="AH21" s="1277">
        <v>0.92</v>
      </c>
      <c r="AJ21" s="210" t="s">
        <v>359</v>
      </c>
      <c r="AK21" s="159" t="s">
        <v>333</v>
      </c>
      <c r="AL21" s="158">
        <v>4312</v>
      </c>
      <c r="AM21" s="207">
        <v>3662</v>
      </c>
      <c r="AN21" s="156"/>
      <c r="AO21" s="153"/>
      <c r="AR21" s="1338"/>
      <c r="AV21" s="114" t="s">
        <v>248</v>
      </c>
      <c r="AW21" s="114" t="s">
        <v>248</v>
      </c>
      <c r="AX21" s="114" t="s">
        <v>249</v>
      </c>
      <c r="AY21" s="122" t="s">
        <v>249</v>
      </c>
      <c r="AZ21" s="1359" t="s">
        <v>258</v>
      </c>
      <c r="BA21" s="1360"/>
      <c r="BB21" s="1361" t="s">
        <v>259</v>
      </c>
      <c r="BC21" s="1362"/>
      <c r="BD21" s="1362"/>
      <c r="BE21" s="1363"/>
      <c r="BF21" s="129" t="s">
        <v>260</v>
      </c>
    </row>
    <row r="22" spans="1:58" ht="13.5" customHeight="1">
      <c r="A22" s="431" t="s">
        <v>291</v>
      </c>
      <c r="B22" s="449" t="s">
        <v>301</v>
      </c>
      <c r="C22" s="450" t="s">
        <v>338</v>
      </c>
      <c r="D22" s="451">
        <v>216710</v>
      </c>
      <c r="E22" s="452"/>
      <c r="F22" s="451">
        <v>206250</v>
      </c>
      <c r="G22" s="452"/>
      <c r="H22" s="439">
        <v>2050</v>
      </c>
      <c r="I22" s="453"/>
      <c r="J22" s="454" t="s">
        <v>731</v>
      </c>
      <c r="K22" s="439">
        <v>1950</v>
      </c>
      <c r="L22" s="453"/>
      <c r="M22" s="454" t="s">
        <v>287</v>
      </c>
      <c r="N22" s="446"/>
      <c r="O22" s="455"/>
      <c r="P22" s="441"/>
      <c r="Q22" s="441"/>
      <c r="R22" s="1280"/>
      <c r="S22" s="1283"/>
      <c r="T22" s="456" t="s">
        <v>294</v>
      </c>
      <c r="U22" s="457">
        <v>3800</v>
      </c>
      <c r="V22" s="458">
        <v>4200</v>
      </c>
      <c r="W22" s="459">
        <v>9350</v>
      </c>
      <c r="X22" s="460"/>
      <c r="Y22" s="448"/>
      <c r="Z22" s="1301"/>
      <c r="AA22" s="445"/>
      <c r="AB22" s="1288"/>
      <c r="AC22" s="1291"/>
      <c r="AD22" s="1272"/>
      <c r="AE22" s="1274"/>
      <c r="AF22" s="1274"/>
      <c r="AG22" s="1276"/>
      <c r="AH22" s="1277"/>
      <c r="AJ22" s="209" t="s">
        <v>360</v>
      </c>
      <c r="AK22" s="154" t="s">
        <v>338</v>
      </c>
      <c r="AL22" s="158">
        <v>13467</v>
      </c>
      <c r="AM22" s="207">
        <v>12925</v>
      </c>
      <c r="AN22" s="156"/>
      <c r="AO22" s="153"/>
      <c r="AR22" s="1338"/>
      <c r="AS22" s="143" t="s">
        <v>339</v>
      </c>
      <c r="AT22" s="105" t="s">
        <v>340</v>
      </c>
      <c r="AU22" s="106" t="s">
        <v>341</v>
      </c>
      <c r="AV22" s="115" t="s">
        <v>264</v>
      </c>
      <c r="AW22" s="116" t="s">
        <v>265</v>
      </c>
      <c r="AX22" s="115" t="s">
        <v>266</v>
      </c>
      <c r="AY22" s="116" t="s">
        <v>267</v>
      </c>
      <c r="AZ22" s="130" t="s">
        <v>278</v>
      </c>
      <c r="BA22" s="131" t="s">
        <v>279</v>
      </c>
      <c r="BB22" s="136" t="s">
        <v>280</v>
      </c>
      <c r="BC22" s="136" t="s">
        <v>281</v>
      </c>
      <c r="BD22" s="136" t="s">
        <v>282</v>
      </c>
      <c r="BE22" s="137" t="s">
        <v>283</v>
      </c>
      <c r="BF22" s="137" t="s">
        <v>284</v>
      </c>
    </row>
    <row r="23" spans="1:58" ht="13.5" customHeight="1">
      <c r="A23" s="431" t="s">
        <v>291</v>
      </c>
      <c r="B23" s="416" t="s">
        <v>302</v>
      </c>
      <c r="C23" s="417" t="s">
        <v>334</v>
      </c>
      <c r="D23" s="418">
        <v>59890</v>
      </c>
      <c r="E23" s="419">
        <v>67680</v>
      </c>
      <c r="F23" s="418">
        <v>51170</v>
      </c>
      <c r="G23" s="419">
        <v>58960</v>
      </c>
      <c r="H23" s="420">
        <v>580</v>
      </c>
      <c r="I23" s="421">
        <v>650</v>
      </c>
      <c r="J23" s="422" t="s">
        <v>731</v>
      </c>
      <c r="K23" s="420">
        <v>490</v>
      </c>
      <c r="L23" s="421">
        <v>560</v>
      </c>
      <c r="M23" s="422" t="s">
        <v>287</v>
      </c>
      <c r="N23" s="423">
        <v>7790</v>
      </c>
      <c r="O23" s="424">
        <v>70</v>
      </c>
      <c r="P23" s="441"/>
      <c r="Q23" s="441"/>
      <c r="R23" s="1278">
        <v>3300</v>
      </c>
      <c r="S23" s="1281">
        <v>3600</v>
      </c>
      <c r="T23" s="426" t="s">
        <v>288</v>
      </c>
      <c r="U23" s="427">
        <v>7200</v>
      </c>
      <c r="V23" s="428">
        <v>8100</v>
      </c>
      <c r="W23" s="425">
        <v>7790</v>
      </c>
      <c r="X23" s="429">
        <v>70</v>
      </c>
      <c r="Y23" s="1284">
        <v>4500</v>
      </c>
      <c r="Z23" s="1301"/>
      <c r="AA23" s="445"/>
      <c r="AB23" s="1286">
        <v>9060</v>
      </c>
      <c r="AC23" s="1289">
        <v>90</v>
      </c>
      <c r="AD23" s="1292" t="s">
        <v>290</v>
      </c>
      <c r="AE23" s="1294" t="s">
        <v>290</v>
      </c>
      <c r="AF23" s="1294" t="s">
        <v>290</v>
      </c>
      <c r="AG23" s="1297" t="s">
        <v>290</v>
      </c>
      <c r="AH23" s="1269" t="s">
        <v>296</v>
      </c>
      <c r="AJ23" s="209" t="s">
        <v>360</v>
      </c>
      <c r="AK23" s="157" t="s">
        <v>337</v>
      </c>
      <c r="AL23" s="158">
        <v>8046</v>
      </c>
      <c r="AM23" s="207">
        <v>7504</v>
      </c>
      <c r="AN23" s="156"/>
      <c r="AO23" s="153"/>
      <c r="AR23" s="1338"/>
      <c r="AS23" s="144">
        <f>基本情報!C3</f>
        <v>0</v>
      </c>
      <c r="AT23" s="102" t="str">
        <f>基本情報!AB4</f>
        <v/>
      </c>
      <c r="AU23" s="103" t="s">
        <v>333</v>
      </c>
      <c r="AV23" s="123">
        <f>IF(基本情報!E5="",0,DGET($A$6:$AH$550,AV22,AS22:AU23))</f>
        <v>0</v>
      </c>
      <c r="AW23" s="123">
        <f>IF(基本情報!E5="",0,DGET($A$6:$AH$550,AW22,AS22:AU23))</f>
        <v>0</v>
      </c>
      <c r="AX23" s="123">
        <f>IF(基本情報!E5="",0,DGET($A$6:$AH$550,AX22,AS22:AU23))</f>
        <v>0</v>
      </c>
      <c r="AY23" s="123">
        <f>IF(基本情報!E5="",0,DGET($A$6:$AH$550,AY22,AS22:AU23))</f>
        <v>0</v>
      </c>
      <c r="AZ23" s="132">
        <f>IF(基本情報!E5="",0,DGET($A$6:$AH$550,AZ22,AS22:AU23))</f>
        <v>0</v>
      </c>
      <c r="BA23" s="132">
        <f>IF(基本情報!E5="",0,DGET($A$6:$AH$550,BA22,AS22:AU23))</f>
        <v>0</v>
      </c>
      <c r="BB23" s="138" t="e">
        <f>DGET($A$6:$AH$550,BB22,AS22:AU23)</f>
        <v>#VALUE!</v>
      </c>
      <c r="BC23" s="138"/>
      <c r="BD23" s="138"/>
      <c r="BE23" s="138"/>
      <c r="BF23" s="138"/>
    </row>
    <row r="24" spans="1:58" ht="13.5" customHeight="1">
      <c r="A24" s="431" t="s">
        <v>291</v>
      </c>
      <c r="B24" s="431" t="s">
        <v>303</v>
      </c>
      <c r="C24" s="433" t="s">
        <v>336</v>
      </c>
      <c r="D24" s="434">
        <v>67680</v>
      </c>
      <c r="E24" s="435">
        <v>130280</v>
      </c>
      <c r="F24" s="434">
        <v>58960</v>
      </c>
      <c r="G24" s="435">
        <v>121560</v>
      </c>
      <c r="H24" s="436">
        <v>650</v>
      </c>
      <c r="I24" s="437">
        <v>1190</v>
      </c>
      <c r="J24" s="438" t="s">
        <v>731</v>
      </c>
      <c r="K24" s="436">
        <v>560</v>
      </c>
      <c r="L24" s="437">
        <v>1100</v>
      </c>
      <c r="M24" s="438" t="s">
        <v>287</v>
      </c>
      <c r="N24" s="439">
        <v>7790</v>
      </c>
      <c r="O24" s="440">
        <v>70</v>
      </c>
      <c r="P24" s="462"/>
      <c r="Q24" s="462"/>
      <c r="R24" s="1279"/>
      <c r="S24" s="1282"/>
      <c r="T24" s="393" t="s">
        <v>292</v>
      </c>
      <c r="U24" s="442">
        <v>4000</v>
      </c>
      <c r="V24" s="443">
        <v>4400</v>
      </c>
      <c r="W24" s="441">
        <v>7790</v>
      </c>
      <c r="X24" s="444"/>
      <c r="Y24" s="1285"/>
      <c r="Z24" s="1301"/>
      <c r="AA24" s="445"/>
      <c r="AB24" s="1287"/>
      <c r="AC24" s="1290"/>
      <c r="AD24" s="1293"/>
      <c r="AE24" s="1295"/>
      <c r="AF24" s="1295"/>
      <c r="AG24" s="1298"/>
      <c r="AH24" s="1270"/>
      <c r="AJ24" s="209" t="s">
        <v>360</v>
      </c>
      <c r="AK24" s="157" t="s">
        <v>335</v>
      </c>
      <c r="AL24" s="158">
        <v>4252</v>
      </c>
      <c r="AM24" s="207">
        <v>3710</v>
      </c>
      <c r="AN24" s="156"/>
      <c r="AO24" s="153"/>
      <c r="AR24" s="1338"/>
      <c r="AS24" s="145" t="s">
        <v>339</v>
      </c>
      <c r="AT24" s="101" t="s">
        <v>340</v>
      </c>
      <c r="AU24" s="104" t="s">
        <v>341</v>
      </c>
      <c r="AV24" s="115" t="s">
        <v>264</v>
      </c>
      <c r="AW24" s="116" t="s">
        <v>265</v>
      </c>
      <c r="AX24" s="115" t="s">
        <v>266</v>
      </c>
      <c r="AY24" s="116" t="s">
        <v>267</v>
      </c>
      <c r="AZ24" s="130" t="s">
        <v>278</v>
      </c>
      <c r="BA24" s="131" t="s">
        <v>279</v>
      </c>
      <c r="BB24" s="136" t="s">
        <v>280</v>
      </c>
      <c r="BC24" s="136" t="s">
        <v>281</v>
      </c>
      <c r="BD24" s="136" t="s">
        <v>282</v>
      </c>
      <c r="BE24" s="137" t="s">
        <v>283</v>
      </c>
      <c r="BF24" s="137" t="s">
        <v>284</v>
      </c>
    </row>
    <row r="25" spans="1:58" ht="13.5" customHeight="1">
      <c r="A25" s="431" t="s">
        <v>291</v>
      </c>
      <c r="B25" s="431" t="s">
        <v>303</v>
      </c>
      <c r="C25" s="433" t="s">
        <v>337</v>
      </c>
      <c r="D25" s="434">
        <v>130280</v>
      </c>
      <c r="E25" s="435">
        <v>208240</v>
      </c>
      <c r="F25" s="434">
        <v>121560</v>
      </c>
      <c r="G25" s="435">
        <v>199520</v>
      </c>
      <c r="H25" s="436">
        <v>1190</v>
      </c>
      <c r="I25" s="437">
        <v>1970</v>
      </c>
      <c r="J25" s="438" t="s">
        <v>731</v>
      </c>
      <c r="K25" s="436">
        <v>1100</v>
      </c>
      <c r="L25" s="437">
        <v>1880</v>
      </c>
      <c r="M25" s="438" t="s">
        <v>287</v>
      </c>
      <c r="N25" s="446"/>
      <c r="O25" s="447"/>
      <c r="P25" s="441"/>
      <c r="Q25" s="441"/>
      <c r="R25" s="1279"/>
      <c r="S25" s="1282"/>
      <c r="T25" s="393" t="s">
        <v>293</v>
      </c>
      <c r="U25" s="442">
        <v>3500</v>
      </c>
      <c r="V25" s="443">
        <v>3800</v>
      </c>
      <c r="W25" s="441">
        <v>7790</v>
      </c>
      <c r="X25" s="444"/>
      <c r="Y25" s="448"/>
      <c r="Z25" s="1301"/>
      <c r="AA25" s="445"/>
      <c r="AB25" s="1287"/>
      <c r="AC25" s="1290"/>
      <c r="AD25" s="1271">
        <v>0.01</v>
      </c>
      <c r="AE25" s="1273">
        <v>0.03</v>
      </c>
      <c r="AF25" s="1273">
        <v>0.04</v>
      </c>
      <c r="AG25" s="1275">
        <v>0.06</v>
      </c>
      <c r="AH25" s="1277">
        <v>0.9</v>
      </c>
      <c r="AJ25" s="210" t="s">
        <v>360</v>
      </c>
      <c r="AK25" s="159" t="s">
        <v>333</v>
      </c>
      <c r="AL25" s="158">
        <v>3710</v>
      </c>
      <c r="AM25" s="207">
        <v>3168</v>
      </c>
      <c r="AN25" s="156"/>
      <c r="AO25" s="153"/>
      <c r="AR25" s="1338"/>
      <c r="AS25" s="144">
        <f>AS23</f>
        <v>0</v>
      </c>
      <c r="AT25" s="102" t="str">
        <f>AT23</f>
        <v/>
      </c>
      <c r="AU25" s="103" t="s">
        <v>335</v>
      </c>
      <c r="AV25" s="123">
        <f>IF(基本情報!E5="",0,DGET($A$6:$AH$550,AV24,AS24:AU25))</f>
        <v>0</v>
      </c>
      <c r="AW25" s="123">
        <f>IF(基本情報!E5="",0,DGET($A$6:$AH$550,AW24,AS24:AU25))</f>
        <v>0</v>
      </c>
      <c r="AX25" s="123">
        <f>IF(基本情報!E5="",0,DGET($A$6:$AH$550,AX24,AS24:AU25))</f>
        <v>0</v>
      </c>
      <c r="AY25" s="123">
        <f>IF(基本情報!E5="",0,DGET($A$6:$AH$550,AY24,AS24:AU25))</f>
        <v>0</v>
      </c>
      <c r="AZ25" s="132">
        <f>AZ23</f>
        <v>0</v>
      </c>
      <c r="BA25" s="132">
        <f>BA23</f>
        <v>0</v>
      </c>
      <c r="BB25" s="138" t="e">
        <f>DGET($A$6:$AH$550,BB24,AS24:AU25)</f>
        <v>#VALUE!</v>
      </c>
      <c r="BC25" s="138"/>
      <c r="BD25" s="138"/>
      <c r="BE25" s="138"/>
      <c r="BF25" s="138"/>
    </row>
    <row r="26" spans="1:58" ht="13.5" customHeight="1">
      <c r="A26" s="431" t="s">
        <v>291</v>
      </c>
      <c r="B26" s="463" t="s">
        <v>303</v>
      </c>
      <c r="C26" s="450" t="s">
        <v>338</v>
      </c>
      <c r="D26" s="451">
        <v>208240</v>
      </c>
      <c r="E26" s="452"/>
      <c r="F26" s="451">
        <v>199520</v>
      </c>
      <c r="G26" s="452"/>
      <c r="H26" s="439">
        <v>1970</v>
      </c>
      <c r="I26" s="453"/>
      <c r="J26" s="454" t="s">
        <v>731</v>
      </c>
      <c r="K26" s="439">
        <v>1880</v>
      </c>
      <c r="L26" s="453"/>
      <c r="M26" s="454" t="s">
        <v>287</v>
      </c>
      <c r="N26" s="446"/>
      <c r="O26" s="455"/>
      <c r="P26" s="441"/>
      <c r="Q26" s="441"/>
      <c r="R26" s="1280"/>
      <c r="S26" s="1283"/>
      <c r="T26" s="456" t="s">
        <v>294</v>
      </c>
      <c r="U26" s="457">
        <v>3100</v>
      </c>
      <c r="V26" s="458">
        <v>3400</v>
      </c>
      <c r="W26" s="459">
        <v>7790</v>
      </c>
      <c r="X26" s="460"/>
      <c r="Y26" s="448"/>
      <c r="Z26" s="1301"/>
      <c r="AA26" s="445"/>
      <c r="AB26" s="1288"/>
      <c r="AC26" s="1291"/>
      <c r="AD26" s="1272"/>
      <c r="AE26" s="1274"/>
      <c r="AF26" s="1274"/>
      <c r="AG26" s="1276"/>
      <c r="AH26" s="1296"/>
      <c r="AJ26" s="209" t="s">
        <v>361</v>
      </c>
      <c r="AK26" s="154" t="s">
        <v>338</v>
      </c>
      <c r="AL26" s="158">
        <v>13115</v>
      </c>
      <c r="AM26" s="207">
        <v>12650</v>
      </c>
      <c r="AN26" s="156"/>
      <c r="AO26" s="153"/>
      <c r="AR26" s="1338"/>
      <c r="AS26" s="145" t="s">
        <v>339</v>
      </c>
      <c r="AT26" s="101" t="s">
        <v>340</v>
      </c>
      <c r="AU26" s="104" t="s">
        <v>341</v>
      </c>
      <c r="AV26" s="115" t="s">
        <v>264</v>
      </c>
      <c r="AW26" s="116" t="s">
        <v>265</v>
      </c>
      <c r="AX26" s="115" t="s">
        <v>266</v>
      </c>
      <c r="AY26" s="116" t="s">
        <v>267</v>
      </c>
      <c r="AZ26" s="130" t="s">
        <v>278</v>
      </c>
      <c r="BA26" s="131" t="s">
        <v>279</v>
      </c>
      <c r="BB26" s="134" t="s">
        <v>280</v>
      </c>
      <c r="BC26" s="134" t="s">
        <v>281</v>
      </c>
      <c r="BD26" s="134" t="s">
        <v>282</v>
      </c>
      <c r="BE26" s="135" t="s">
        <v>283</v>
      </c>
      <c r="BF26" s="135" t="s">
        <v>284</v>
      </c>
    </row>
    <row r="27" spans="1:58" ht="13.5" customHeight="1">
      <c r="A27" s="431" t="s">
        <v>291</v>
      </c>
      <c r="B27" s="416" t="s">
        <v>304</v>
      </c>
      <c r="C27" s="417" t="s">
        <v>334</v>
      </c>
      <c r="D27" s="418">
        <v>53920</v>
      </c>
      <c r="E27" s="419">
        <v>61710</v>
      </c>
      <c r="F27" s="418">
        <v>46450</v>
      </c>
      <c r="G27" s="419">
        <v>54240</v>
      </c>
      <c r="H27" s="420">
        <v>520</v>
      </c>
      <c r="I27" s="421">
        <v>590</v>
      </c>
      <c r="J27" s="422" t="s">
        <v>731</v>
      </c>
      <c r="K27" s="420">
        <v>440</v>
      </c>
      <c r="L27" s="421">
        <v>510</v>
      </c>
      <c r="M27" s="422" t="s">
        <v>287</v>
      </c>
      <c r="N27" s="423">
        <v>7790</v>
      </c>
      <c r="O27" s="424">
        <v>70</v>
      </c>
      <c r="P27" s="462"/>
      <c r="Q27" s="462"/>
      <c r="R27" s="1278">
        <v>2800</v>
      </c>
      <c r="S27" s="1281">
        <v>3100</v>
      </c>
      <c r="T27" s="426" t="s">
        <v>288</v>
      </c>
      <c r="U27" s="427">
        <v>6300</v>
      </c>
      <c r="V27" s="428">
        <v>7100</v>
      </c>
      <c r="W27" s="425">
        <v>6680</v>
      </c>
      <c r="X27" s="429">
        <v>60</v>
      </c>
      <c r="Y27" s="1284">
        <v>4500</v>
      </c>
      <c r="Z27" s="1301"/>
      <c r="AA27" s="445"/>
      <c r="AB27" s="1286">
        <v>7770</v>
      </c>
      <c r="AC27" s="1289">
        <v>70</v>
      </c>
      <c r="AD27" s="1292" t="s">
        <v>290</v>
      </c>
      <c r="AE27" s="1294" t="s">
        <v>290</v>
      </c>
      <c r="AF27" s="1294" t="s">
        <v>290</v>
      </c>
      <c r="AG27" s="1297" t="s">
        <v>290</v>
      </c>
      <c r="AH27" s="1269" t="s">
        <v>296</v>
      </c>
      <c r="AJ27" s="209" t="s">
        <v>361</v>
      </c>
      <c r="AK27" s="157" t="s">
        <v>337</v>
      </c>
      <c r="AL27" s="158">
        <v>7694</v>
      </c>
      <c r="AM27" s="207">
        <v>7229</v>
      </c>
      <c r="AN27" s="156"/>
      <c r="AO27" s="153"/>
      <c r="AR27" s="1338"/>
      <c r="AS27" s="144">
        <f>AS23</f>
        <v>0</v>
      </c>
      <c r="AT27" s="102" t="str">
        <f>AT23</f>
        <v/>
      </c>
      <c r="AU27" s="103" t="s">
        <v>342</v>
      </c>
      <c r="AV27" s="123">
        <f>IF(基本情報!E5="",0,DGET($A$6:$AH$550,AV26,AS26:AU27))</f>
        <v>0</v>
      </c>
      <c r="AW27" s="123">
        <f>IF(基本情報!E5="",0,DGET($A$6:$AH$550,AW26,AS26:AU27))</f>
        <v>0</v>
      </c>
      <c r="AX27" s="123">
        <f>IF(基本情報!E5="",0,DGET($A$6:$AH$550,AX26,AS26:AU27))</f>
        <v>0</v>
      </c>
      <c r="AY27" s="123">
        <f>IF(基本情報!E5="",0,DGET($A$6:$AH$550,AY26,AS26:AU27))</f>
        <v>0</v>
      </c>
      <c r="AZ27" s="132">
        <f>AZ23</f>
        <v>0</v>
      </c>
      <c r="BA27" s="132">
        <f>BA23</f>
        <v>0</v>
      </c>
      <c r="BB27" s="133">
        <f>IF(基本情報!E5="",0,DGET($A$6:$AH$550,BB26,AS26:AU27))</f>
        <v>0</v>
      </c>
      <c r="BC27" s="133">
        <f>IF(基本情報!E5="",0,DGET($A$6:$AH$550,BC26,AS26:AU27))</f>
        <v>0</v>
      </c>
      <c r="BD27" s="133">
        <f>IF(基本情報!E5="",0,DGET($A$6:$AH$550,BD26,AS26:AU27))</f>
        <v>0</v>
      </c>
      <c r="BE27" s="133">
        <f>IF(基本情報!E5="",0,DGET($A$6:$AH$550,BE26,AS26:AU27))</f>
        <v>0</v>
      </c>
      <c r="BF27" s="133">
        <f>IF(基本情報!E5="",0,DGET($A$6:$AH$550,BF26,AS26:AU27))</f>
        <v>0</v>
      </c>
    </row>
    <row r="28" spans="1:58" ht="13.5" customHeight="1">
      <c r="A28" s="431" t="s">
        <v>291</v>
      </c>
      <c r="B28" s="432" t="s">
        <v>304</v>
      </c>
      <c r="C28" s="433" t="s">
        <v>336</v>
      </c>
      <c r="D28" s="434">
        <v>61710</v>
      </c>
      <c r="E28" s="435">
        <v>124310</v>
      </c>
      <c r="F28" s="434">
        <v>54240</v>
      </c>
      <c r="G28" s="435">
        <v>116840</v>
      </c>
      <c r="H28" s="436">
        <v>590</v>
      </c>
      <c r="I28" s="437">
        <v>1130</v>
      </c>
      <c r="J28" s="438" t="s">
        <v>731</v>
      </c>
      <c r="K28" s="436">
        <v>510</v>
      </c>
      <c r="L28" s="437">
        <v>1050</v>
      </c>
      <c r="M28" s="438" t="s">
        <v>287</v>
      </c>
      <c r="N28" s="439">
        <v>7790</v>
      </c>
      <c r="O28" s="440">
        <v>70</v>
      </c>
      <c r="P28" s="441"/>
      <c r="Q28" s="441"/>
      <c r="R28" s="1279"/>
      <c r="S28" s="1282"/>
      <c r="T28" s="393" t="s">
        <v>292</v>
      </c>
      <c r="U28" s="442">
        <v>3500</v>
      </c>
      <c r="V28" s="443">
        <v>3900</v>
      </c>
      <c r="W28" s="441">
        <v>6680</v>
      </c>
      <c r="X28" s="444"/>
      <c r="Y28" s="1285"/>
      <c r="Z28" s="1301"/>
      <c r="AA28" s="445"/>
      <c r="AB28" s="1287"/>
      <c r="AC28" s="1290"/>
      <c r="AD28" s="1293"/>
      <c r="AE28" s="1295"/>
      <c r="AF28" s="1295"/>
      <c r="AG28" s="1298"/>
      <c r="AH28" s="1270"/>
      <c r="AJ28" s="209" t="s">
        <v>361</v>
      </c>
      <c r="AK28" s="157" t="s">
        <v>335</v>
      </c>
      <c r="AL28" s="158">
        <v>3900</v>
      </c>
      <c r="AM28" s="207">
        <v>3435</v>
      </c>
      <c r="AN28" s="156"/>
      <c r="AO28" s="153"/>
      <c r="AR28" s="1338"/>
      <c r="AS28" s="145" t="s">
        <v>339</v>
      </c>
      <c r="AT28" s="101" t="s">
        <v>340</v>
      </c>
      <c r="AU28" s="104" t="s">
        <v>341</v>
      </c>
      <c r="AV28" s="115" t="s">
        <v>264</v>
      </c>
      <c r="AW28" s="116" t="s">
        <v>265</v>
      </c>
      <c r="AX28" s="115" t="s">
        <v>266</v>
      </c>
      <c r="AY28" s="116" t="s">
        <v>267</v>
      </c>
      <c r="AZ28" s="130" t="s">
        <v>278</v>
      </c>
      <c r="BA28" s="131" t="s">
        <v>279</v>
      </c>
      <c r="BB28" s="139" t="s">
        <v>280</v>
      </c>
      <c r="BC28" s="139" t="s">
        <v>281</v>
      </c>
      <c r="BD28" s="139" t="s">
        <v>282</v>
      </c>
      <c r="BE28" s="140" t="s">
        <v>283</v>
      </c>
      <c r="BF28" s="137" t="s">
        <v>284</v>
      </c>
    </row>
    <row r="29" spans="1:58" ht="13.5" customHeight="1">
      <c r="A29" s="431" t="s">
        <v>291</v>
      </c>
      <c r="B29" s="432" t="s">
        <v>304</v>
      </c>
      <c r="C29" s="433" t="s">
        <v>337</v>
      </c>
      <c r="D29" s="434">
        <v>124310</v>
      </c>
      <c r="E29" s="435">
        <v>202270</v>
      </c>
      <c r="F29" s="434">
        <v>116840</v>
      </c>
      <c r="G29" s="435">
        <v>194800</v>
      </c>
      <c r="H29" s="436">
        <v>1130</v>
      </c>
      <c r="I29" s="437">
        <v>1910</v>
      </c>
      <c r="J29" s="438" t="s">
        <v>731</v>
      </c>
      <c r="K29" s="436">
        <v>1050</v>
      </c>
      <c r="L29" s="437">
        <v>1830</v>
      </c>
      <c r="M29" s="438" t="s">
        <v>287</v>
      </c>
      <c r="N29" s="446"/>
      <c r="O29" s="447"/>
      <c r="P29" s="441"/>
      <c r="Q29" s="441"/>
      <c r="R29" s="1279"/>
      <c r="S29" s="1282"/>
      <c r="T29" s="393" t="s">
        <v>293</v>
      </c>
      <c r="U29" s="442">
        <v>3000</v>
      </c>
      <c r="V29" s="443">
        <v>3400</v>
      </c>
      <c r="W29" s="441">
        <v>6680</v>
      </c>
      <c r="X29" s="444"/>
      <c r="Y29" s="448"/>
      <c r="Z29" s="1301"/>
      <c r="AA29" s="445"/>
      <c r="AB29" s="1287"/>
      <c r="AC29" s="1290"/>
      <c r="AD29" s="1271">
        <v>0.01</v>
      </c>
      <c r="AE29" s="1273">
        <v>0.03</v>
      </c>
      <c r="AF29" s="1273">
        <v>0.04</v>
      </c>
      <c r="AG29" s="1275">
        <v>0.06</v>
      </c>
      <c r="AH29" s="1277">
        <v>0.92</v>
      </c>
      <c r="AJ29" s="210" t="s">
        <v>361</v>
      </c>
      <c r="AK29" s="159" t="s">
        <v>333</v>
      </c>
      <c r="AL29" s="158">
        <v>3358</v>
      </c>
      <c r="AM29" s="207">
        <v>2893</v>
      </c>
      <c r="AN29" s="156"/>
      <c r="AO29" s="153"/>
      <c r="AR29" s="1339"/>
      <c r="AS29" s="144">
        <f>AS23</f>
        <v>0</v>
      </c>
      <c r="AT29" s="102" t="str">
        <f>AT23</f>
        <v/>
      </c>
      <c r="AU29" s="103" t="s">
        <v>343</v>
      </c>
      <c r="AV29" s="123">
        <f>IF(基本情報!E5="",0,DGET($A$6:$AH$550,AV28,AS28:AU29))</f>
        <v>0</v>
      </c>
      <c r="AW29" s="123">
        <f>IF(基本情報!E5="",0,DGET($A$6:$AH$550,AW28,AS28:AU29))</f>
        <v>0</v>
      </c>
      <c r="AX29" s="123">
        <f>IF(基本情報!E5="",0,DGET($A$6:$AH$550,AX28,AS28:AU29))</f>
        <v>0</v>
      </c>
      <c r="AY29" s="123">
        <f>IF(基本情報!E5="",0,DGET($A$6:$AH$550,AY28,AS28:AU29))</f>
        <v>0</v>
      </c>
      <c r="AZ29" s="132">
        <f>AZ23</f>
        <v>0</v>
      </c>
      <c r="BA29" s="132">
        <f>BA23</f>
        <v>0</v>
      </c>
      <c r="BB29" s="141" t="e">
        <f>DGET($A$6:$AH$550,BB28,AS28:AU29)</f>
        <v>#VALUE!</v>
      </c>
      <c r="BC29" s="141"/>
      <c r="BD29" s="141"/>
      <c r="BE29" s="141"/>
      <c r="BF29" s="138"/>
    </row>
    <row r="30" spans="1:58" ht="13.5" customHeight="1">
      <c r="A30" s="431" t="s">
        <v>291</v>
      </c>
      <c r="B30" s="449" t="s">
        <v>304</v>
      </c>
      <c r="C30" s="450" t="s">
        <v>338</v>
      </c>
      <c r="D30" s="451">
        <v>202270</v>
      </c>
      <c r="E30" s="452"/>
      <c r="F30" s="451">
        <v>194800</v>
      </c>
      <c r="G30" s="452"/>
      <c r="H30" s="439">
        <v>1910</v>
      </c>
      <c r="I30" s="453"/>
      <c r="J30" s="454" t="s">
        <v>731</v>
      </c>
      <c r="K30" s="439">
        <v>1830</v>
      </c>
      <c r="L30" s="453"/>
      <c r="M30" s="454" t="s">
        <v>287</v>
      </c>
      <c r="N30" s="446"/>
      <c r="O30" s="455"/>
      <c r="P30" s="462"/>
      <c r="Q30" s="462"/>
      <c r="R30" s="1280"/>
      <c r="S30" s="1283"/>
      <c r="T30" s="456" t="s">
        <v>294</v>
      </c>
      <c r="U30" s="457">
        <v>2700</v>
      </c>
      <c r="V30" s="458">
        <v>3000</v>
      </c>
      <c r="W30" s="459">
        <v>6680</v>
      </c>
      <c r="X30" s="460"/>
      <c r="Y30" s="448"/>
      <c r="Z30" s="1301"/>
      <c r="AA30" s="445"/>
      <c r="AB30" s="1288"/>
      <c r="AC30" s="1291"/>
      <c r="AD30" s="1272"/>
      <c r="AE30" s="1274"/>
      <c r="AF30" s="1274"/>
      <c r="AG30" s="1276"/>
      <c r="AH30" s="1277"/>
      <c r="AJ30" s="209" t="s">
        <v>362</v>
      </c>
      <c r="AK30" s="154" t="s">
        <v>338</v>
      </c>
      <c r="AL30" s="158">
        <v>12854</v>
      </c>
      <c r="AM30" s="207">
        <v>12448</v>
      </c>
      <c r="AN30" s="156"/>
      <c r="AO30" s="153"/>
    </row>
    <row r="31" spans="1:58" ht="13.5" customHeight="1">
      <c r="A31" s="431" t="s">
        <v>291</v>
      </c>
      <c r="B31" s="416" t="s">
        <v>305</v>
      </c>
      <c r="C31" s="417" t="s">
        <v>334</v>
      </c>
      <c r="D31" s="418">
        <v>49500</v>
      </c>
      <c r="E31" s="419">
        <v>57290</v>
      </c>
      <c r="F31" s="418">
        <v>42960</v>
      </c>
      <c r="G31" s="419">
        <v>50750</v>
      </c>
      <c r="H31" s="420">
        <v>470</v>
      </c>
      <c r="I31" s="421">
        <v>540</v>
      </c>
      <c r="J31" s="422" t="s">
        <v>731</v>
      </c>
      <c r="K31" s="420">
        <v>410</v>
      </c>
      <c r="L31" s="421">
        <v>480</v>
      </c>
      <c r="M31" s="422" t="s">
        <v>287</v>
      </c>
      <c r="N31" s="423">
        <v>7790</v>
      </c>
      <c r="O31" s="424">
        <v>70</v>
      </c>
      <c r="P31" s="441"/>
      <c r="Q31" s="441"/>
      <c r="R31" s="1278">
        <v>3200</v>
      </c>
      <c r="S31" s="1281">
        <v>3600</v>
      </c>
      <c r="T31" s="426" t="s">
        <v>288</v>
      </c>
      <c r="U31" s="427">
        <v>7100</v>
      </c>
      <c r="V31" s="428">
        <v>7900</v>
      </c>
      <c r="W31" s="425">
        <v>5840</v>
      </c>
      <c r="X31" s="429">
        <v>50</v>
      </c>
      <c r="Y31" s="1284">
        <v>4500</v>
      </c>
      <c r="Z31" s="1301"/>
      <c r="AA31" s="445"/>
      <c r="AB31" s="1286">
        <v>6790</v>
      </c>
      <c r="AC31" s="1289">
        <v>60</v>
      </c>
      <c r="AD31" s="1292" t="s">
        <v>290</v>
      </c>
      <c r="AE31" s="1294" t="s">
        <v>290</v>
      </c>
      <c r="AF31" s="1294" t="s">
        <v>290</v>
      </c>
      <c r="AG31" s="1297" t="s">
        <v>290</v>
      </c>
      <c r="AH31" s="1269" t="s">
        <v>296</v>
      </c>
      <c r="AJ31" s="209" t="s">
        <v>362</v>
      </c>
      <c r="AK31" s="157" t="s">
        <v>337</v>
      </c>
      <c r="AL31" s="158">
        <v>7433</v>
      </c>
      <c r="AM31" s="207">
        <v>7027</v>
      </c>
      <c r="AN31" s="156"/>
      <c r="AO31" s="153"/>
    </row>
    <row r="32" spans="1:58" ht="13.5" customHeight="1">
      <c r="A32" s="431" t="s">
        <v>291</v>
      </c>
      <c r="B32" s="432" t="s">
        <v>305</v>
      </c>
      <c r="C32" s="433" t="s">
        <v>336</v>
      </c>
      <c r="D32" s="434">
        <v>57290</v>
      </c>
      <c r="E32" s="435">
        <v>119890</v>
      </c>
      <c r="F32" s="434">
        <v>50750</v>
      </c>
      <c r="G32" s="435">
        <v>113350</v>
      </c>
      <c r="H32" s="436">
        <v>540</v>
      </c>
      <c r="I32" s="437">
        <v>1090</v>
      </c>
      <c r="J32" s="438" t="s">
        <v>731</v>
      </c>
      <c r="K32" s="436">
        <v>480</v>
      </c>
      <c r="L32" s="437">
        <v>1020</v>
      </c>
      <c r="M32" s="438" t="s">
        <v>287</v>
      </c>
      <c r="N32" s="439">
        <v>7790</v>
      </c>
      <c r="O32" s="440">
        <v>70</v>
      </c>
      <c r="P32" s="441"/>
      <c r="Q32" s="441"/>
      <c r="R32" s="1279"/>
      <c r="S32" s="1282"/>
      <c r="T32" s="393" t="s">
        <v>292</v>
      </c>
      <c r="U32" s="442">
        <v>3900</v>
      </c>
      <c r="V32" s="443">
        <v>4300</v>
      </c>
      <c r="W32" s="441">
        <v>5840</v>
      </c>
      <c r="X32" s="444"/>
      <c r="Y32" s="1285"/>
      <c r="Z32" s="1301"/>
      <c r="AA32" s="445"/>
      <c r="AB32" s="1287"/>
      <c r="AC32" s="1290"/>
      <c r="AD32" s="1293"/>
      <c r="AE32" s="1295"/>
      <c r="AF32" s="1295"/>
      <c r="AG32" s="1298"/>
      <c r="AH32" s="1270"/>
      <c r="AJ32" s="209" t="s">
        <v>362</v>
      </c>
      <c r="AK32" s="157" t="s">
        <v>335</v>
      </c>
      <c r="AL32" s="158">
        <v>3639</v>
      </c>
      <c r="AM32" s="207">
        <v>3233</v>
      </c>
      <c r="AN32" s="156"/>
      <c r="AO32" s="153"/>
    </row>
    <row r="33" spans="1:65" ht="13.5" customHeight="1">
      <c r="A33" s="431" t="s">
        <v>291</v>
      </c>
      <c r="B33" s="432" t="s">
        <v>305</v>
      </c>
      <c r="C33" s="433" t="s">
        <v>337</v>
      </c>
      <c r="D33" s="434">
        <v>119890</v>
      </c>
      <c r="E33" s="435">
        <v>197850</v>
      </c>
      <c r="F33" s="434">
        <v>113350</v>
      </c>
      <c r="G33" s="435">
        <v>191310</v>
      </c>
      <c r="H33" s="436">
        <v>1090</v>
      </c>
      <c r="I33" s="437">
        <v>1870</v>
      </c>
      <c r="J33" s="438" t="s">
        <v>731</v>
      </c>
      <c r="K33" s="436">
        <v>1020</v>
      </c>
      <c r="L33" s="437">
        <v>1800</v>
      </c>
      <c r="M33" s="438" t="s">
        <v>287</v>
      </c>
      <c r="N33" s="446"/>
      <c r="O33" s="447"/>
      <c r="P33" s="462"/>
      <c r="Q33" s="462"/>
      <c r="R33" s="1279"/>
      <c r="S33" s="1282"/>
      <c r="T33" s="393" t="s">
        <v>293</v>
      </c>
      <c r="U33" s="442">
        <v>3400</v>
      </c>
      <c r="V33" s="443">
        <v>3800</v>
      </c>
      <c r="W33" s="441">
        <v>5840</v>
      </c>
      <c r="X33" s="444"/>
      <c r="Y33" s="448"/>
      <c r="Z33" s="1301"/>
      <c r="AA33" s="462"/>
      <c r="AB33" s="1287"/>
      <c r="AC33" s="1290"/>
      <c r="AD33" s="1271">
        <v>0.01</v>
      </c>
      <c r="AE33" s="1273">
        <v>0.03</v>
      </c>
      <c r="AF33" s="1273">
        <v>0.04</v>
      </c>
      <c r="AG33" s="1275">
        <v>0.06</v>
      </c>
      <c r="AH33" s="1277">
        <v>0.89</v>
      </c>
      <c r="AJ33" s="210" t="s">
        <v>362</v>
      </c>
      <c r="AK33" s="159" t="s">
        <v>333</v>
      </c>
      <c r="AL33" s="158">
        <v>3097</v>
      </c>
      <c r="AM33" s="207">
        <v>2691</v>
      </c>
      <c r="AN33" s="156"/>
      <c r="AO33" s="153"/>
      <c r="AR33" s="1337" t="s">
        <v>351</v>
      </c>
      <c r="AS33" s="146"/>
      <c r="AT33" s="147"/>
      <c r="AU33" s="148"/>
      <c r="AV33" s="1364" t="s">
        <v>224</v>
      </c>
      <c r="AW33" s="1365"/>
      <c r="AX33" s="1373" t="s">
        <v>414</v>
      </c>
      <c r="AY33" s="1374"/>
      <c r="AZ33" s="1373" t="s">
        <v>226</v>
      </c>
      <c r="BA33" s="1374"/>
      <c r="BB33" s="1368" t="s">
        <v>227</v>
      </c>
      <c r="BC33" s="1369"/>
      <c r="BD33" s="1364" t="s">
        <v>228</v>
      </c>
      <c r="BE33" s="1371"/>
      <c r="BF33" s="1365"/>
      <c r="BG33" s="1364" t="s">
        <v>229</v>
      </c>
      <c r="BH33" s="1365"/>
      <c r="BI33" s="1346" t="s">
        <v>398</v>
      </c>
      <c r="BJ33" s="1347"/>
      <c r="BK33" s="1347"/>
      <c r="BL33" s="1348"/>
      <c r="BM33" s="1349" t="s">
        <v>232</v>
      </c>
    </row>
    <row r="34" spans="1:65" ht="13.5" customHeight="1">
      <c r="A34" s="431" t="s">
        <v>291</v>
      </c>
      <c r="B34" s="449" t="s">
        <v>305</v>
      </c>
      <c r="C34" s="450" t="s">
        <v>338</v>
      </c>
      <c r="D34" s="451">
        <v>197850</v>
      </c>
      <c r="E34" s="452"/>
      <c r="F34" s="451">
        <v>191310</v>
      </c>
      <c r="G34" s="452"/>
      <c r="H34" s="439">
        <v>1870</v>
      </c>
      <c r="I34" s="453"/>
      <c r="J34" s="454" t="s">
        <v>731</v>
      </c>
      <c r="K34" s="439">
        <v>1800</v>
      </c>
      <c r="L34" s="453"/>
      <c r="M34" s="454" t="s">
        <v>287</v>
      </c>
      <c r="N34" s="446"/>
      <c r="O34" s="455"/>
      <c r="P34" s="441"/>
      <c r="Q34" s="441"/>
      <c r="R34" s="1280"/>
      <c r="S34" s="1283"/>
      <c r="T34" s="456" t="s">
        <v>294</v>
      </c>
      <c r="U34" s="457">
        <v>3000</v>
      </c>
      <c r="V34" s="458">
        <v>3400</v>
      </c>
      <c r="W34" s="459">
        <v>5840</v>
      </c>
      <c r="X34" s="460"/>
      <c r="Y34" s="448"/>
      <c r="Z34" s="1301"/>
      <c r="AA34" s="462"/>
      <c r="AB34" s="1288"/>
      <c r="AC34" s="1291"/>
      <c r="AD34" s="1272"/>
      <c r="AE34" s="1274"/>
      <c r="AF34" s="1274"/>
      <c r="AG34" s="1276"/>
      <c r="AH34" s="1277"/>
      <c r="AJ34" s="209" t="s">
        <v>363</v>
      </c>
      <c r="AK34" s="154" t="s">
        <v>338</v>
      </c>
      <c r="AL34" s="158">
        <v>12648</v>
      </c>
      <c r="AM34" s="207">
        <v>12286</v>
      </c>
      <c r="AN34" s="156"/>
      <c r="AO34" s="153"/>
      <c r="AR34" s="1338"/>
      <c r="AS34" s="87"/>
      <c r="AT34" s="87"/>
      <c r="AU34" s="87"/>
      <c r="AV34" s="1366"/>
      <c r="AW34" s="1367"/>
      <c r="AX34" s="1375"/>
      <c r="AY34" s="1376"/>
      <c r="AZ34" s="1375"/>
      <c r="BA34" s="1376"/>
      <c r="BB34" s="1369"/>
      <c r="BC34" s="1370"/>
      <c r="BD34" s="1366"/>
      <c r="BE34" s="1372"/>
      <c r="BF34" s="1367"/>
      <c r="BG34" s="1366"/>
      <c r="BH34" s="1367"/>
      <c r="BI34" s="1351" t="s">
        <v>235</v>
      </c>
      <c r="BJ34" s="1353" t="s">
        <v>236</v>
      </c>
      <c r="BK34" s="1353" t="s">
        <v>237</v>
      </c>
      <c r="BL34" s="1355" t="s">
        <v>238</v>
      </c>
      <c r="BM34" s="1350"/>
    </row>
    <row r="35" spans="1:65" ht="13.5" customHeight="1">
      <c r="A35" s="431" t="s">
        <v>291</v>
      </c>
      <c r="B35" s="416" t="s">
        <v>306</v>
      </c>
      <c r="C35" s="417" t="s">
        <v>334</v>
      </c>
      <c r="D35" s="418">
        <v>46010</v>
      </c>
      <c r="E35" s="419">
        <v>53800</v>
      </c>
      <c r="F35" s="418">
        <v>40200</v>
      </c>
      <c r="G35" s="419">
        <v>47990</v>
      </c>
      <c r="H35" s="420">
        <v>440</v>
      </c>
      <c r="I35" s="421">
        <v>510</v>
      </c>
      <c r="J35" s="422" t="s">
        <v>731</v>
      </c>
      <c r="K35" s="420">
        <v>380</v>
      </c>
      <c r="L35" s="421">
        <v>450</v>
      </c>
      <c r="M35" s="422" t="s">
        <v>287</v>
      </c>
      <c r="N35" s="423">
        <v>7790</v>
      </c>
      <c r="O35" s="424">
        <v>70</v>
      </c>
      <c r="P35" s="441"/>
      <c r="Q35" s="441"/>
      <c r="R35" s="1278">
        <v>2900</v>
      </c>
      <c r="S35" s="1281">
        <v>3200</v>
      </c>
      <c r="T35" s="426" t="s">
        <v>288</v>
      </c>
      <c r="U35" s="427">
        <v>6300</v>
      </c>
      <c r="V35" s="428">
        <v>7100</v>
      </c>
      <c r="W35" s="425">
        <v>5190</v>
      </c>
      <c r="X35" s="429">
        <v>50</v>
      </c>
      <c r="Y35" s="1284">
        <v>4500</v>
      </c>
      <c r="Z35" s="1301"/>
      <c r="AA35" s="462"/>
      <c r="AB35" s="1286">
        <v>6040</v>
      </c>
      <c r="AC35" s="1289">
        <v>60</v>
      </c>
      <c r="AD35" s="1292" t="s">
        <v>290</v>
      </c>
      <c r="AE35" s="1294" t="s">
        <v>290</v>
      </c>
      <c r="AF35" s="1294" t="s">
        <v>290</v>
      </c>
      <c r="AG35" s="1297" t="s">
        <v>290</v>
      </c>
      <c r="AH35" s="1269" t="s">
        <v>296</v>
      </c>
      <c r="AJ35" s="209" t="s">
        <v>363</v>
      </c>
      <c r="AK35" s="157" t="s">
        <v>337</v>
      </c>
      <c r="AL35" s="158">
        <v>7227</v>
      </c>
      <c r="AM35" s="207">
        <v>6865</v>
      </c>
      <c r="AN35" s="156"/>
      <c r="AO35" s="153"/>
      <c r="AR35" s="1338"/>
      <c r="AV35" s="108"/>
      <c r="AW35" s="1377" t="s">
        <v>223</v>
      </c>
      <c r="AX35" s="235"/>
      <c r="AY35" s="235"/>
      <c r="AZ35" s="235"/>
      <c r="BA35" s="235"/>
      <c r="BB35" s="1379" t="s">
        <v>240</v>
      </c>
      <c r="BC35" s="1380"/>
      <c r="BD35" s="109"/>
      <c r="BE35" s="1381" t="s">
        <v>240</v>
      </c>
      <c r="BF35" s="1380"/>
      <c r="BG35" s="109"/>
      <c r="BH35" s="1382" t="s">
        <v>223</v>
      </c>
      <c r="BI35" s="1352"/>
      <c r="BJ35" s="1354"/>
      <c r="BK35" s="1354"/>
      <c r="BL35" s="1356"/>
      <c r="BM35" s="1350"/>
    </row>
    <row r="36" spans="1:65" ht="13.5" customHeight="1">
      <c r="A36" s="431" t="s">
        <v>291</v>
      </c>
      <c r="B36" s="432" t="s">
        <v>306</v>
      </c>
      <c r="C36" s="433" t="s">
        <v>336</v>
      </c>
      <c r="D36" s="434">
        <v>53800</v>
      </c>
      <c r="E36" s="435">
        <v>116400</v>
      </c>
      <c r="F36" s="434">
        <v>47990</v>
      </c>
      <c r="G36" s="435">
        <v>110590</v>
      </c>
      <c r="H36" s="436">
        <v>510</v>
      </c>
      <c r="I36" s="437">
        <v>1050</v>
      </c>
      <c r="J36" s="438" t="s">
        <v>731</v>
      </c>
      <c r="K36" s="436">
        <v>450</v>
      </c>
      <c r="L36" s="437">
        <v>990</v>
      </c>
      <c r="M36" s="438" t="s">
        <v>287</v>
      </c>
      <c r="N36" s="439">
        <v>7790</v>
      </c>
      <c r="O36" s="440">
        <v>70</v>
      </c>
      <c r="P36" s="462"/>
      <c r="Q36" s="462"/>
      <c r="R36" s="1279"/>
      <c r="S36" s="1282"/>
      <c r="T36" s="393" t="s">
        <v>292</v>
      </c>
      <c r="U36" s="442">
        <v>3500</v>
      </c>
      <c r="V36" s="443">
        <v>3900</v>
      </c>
      <c r="W36" s="441">
        <v>5190</v>
      </c>
      <c r="X36" s="444"/>
      <c r="Y36" s="1285"/>
      <c r="Z36" s="1301"/>
      <c r="AA36" s="462"/>
      <c r="AB36" s="1287"/>
      <c r="AC36" s="1290"/>
      <c r="AD36" s="1293"/>
      <c r="AE36" s="1295"/>
      <c r="AF36" s="1295"/>
      <c r="AG36" s="1298"/>
      <c r="AH36" s="1270"/>
      <c r="AJ36" s="209" t="s">
        <v>363</v>
      </c>
      <c r="AK36" s="157" t="s">
        <v>335</v>
      </c>
      <c r="AL36" s="158">
        <v>3433</v>
      </c>
      <c r="AM36" s="207">
        <v>3071</v>
      </c>
      <c r="AN36" s="156"/>
      <c r="AO36" s="153"/>
      <c r="AR36" s="1338"/>
      <c r="AV36" s="109"/>
      <c r="AW36" s="1378"/>
      <c r="AX36" s="235"/>
      <c r="AY36" s="235"/>
      <c r="AZ36" s="235"/>
      <c r="BA36" s="235"/>
      <c r="BB36" s="111" t="s">
        <v>243</v>
      </c>
      <c r="BC36" s="112" t="s">
        <v>244</v>
      </c>
      <c r="BD36" s="109"/>
      <c r="BE36" s="113" t="s">
        <v>243</v>
      </c>
      <c r="BF36" s="112" t="s">
        <v>244</v>
      </c>
      <c r="BG36" s="107"/>
      <c r="BH36" s="1383"/>
      <c r="BI36" s="1352"/>
      <c r="BJ36" s="1354"/>
      <c r="BK36" s="1354"/>
      <c r="BL36" s="1356"/>
      <c r="BM36" s="1350"/>
    </row>
    <row r="37" spans="1:65" ht="13.5" customHeight="1">
      <c r="A37" s="431" t="s">
        <v>291</v>
      </c>
      <c r="B37" s="432" t="s">
        <v>306</v>
      </c>
      <c r="C37" s="433" t="s">
        <v>337</v>
      </c>
      <c r="D37" s="434">
        <v>116400</v>
      </c>
      <c r="E37" s="435">
        <v>194360</v>
      </c>
      <c r="F37" s="434">
        <v>110590</v>
      </c>
      <c r="G37" s="435">
        <v>188550</v>
      </c>
      <c r="H37" s="436">
        <v>1050</v>
      </c>
      <c r="I37" s="437">
        <v>1830</v>
      </c>
      <c r="J37" s="438" t="s">
        <v>731</v>
      </c>
      <c r="K37" s="436">
        <v>990</v>
      </c>
      <c r="L37" s="437">
        <v>1770</v>
      </c>
      <c r="M37" s="438" t="s">
        <v>287</v>
      </c>
      <c r="N37" s="446"/>
      <c r="O37" s="447"/>
      <c r="P37" s="441"/>
      <c r="Q37" s="441"/>
      <c r="R37" s="1279"/>
      <c r="S37" s="1282"/>
      <c r="T37" s="393" t="s">
        <v>293</v>
      </c>
      <c r="U37" s="442">
        <v>3000</v>
      </c>
      <c r="V37" s="443">
        <v>3400</v>
      </c>
      <c r="W37" s="441">
        <v>5190</v>
      </c>
      <c r="X37" s="444"/>
      <c r="Y37" s="448"/>
      <c r="Z37" s="1301"/>
      <c r="AA37" s="464"/>
      <c r="AB37" s="1287"/>
      <c r="AC37" s="1290"/>
      <c r="AD37" s="1271">
        <v>0.01</v>
      </c>
      <c r="AE37" s="1273">
        <v>0.03</v>
      </c>
      <c r="AF37" s="1273">
        <v>0.04</v>
      </c>
      <c r="AG37" s="1275">
        <v>0.06</v>
      </c>
      <c r="AH37" s="1277">
        <v>0.9</v>
      </c>
      <c r="AJ37" s="210" t="s">
        <v>363</v>
      </c>
      <c r="AK37" s="159" t="s">
        <v>333</v>
      </c>
      <c r="AL37" s="158">
        <v>2891</v>
      </c>
      <c r="AM37" s="207">
        <v>2529</v>
      </c>
      <c r="AN37" s="156"/>
      <c r="AO37" s="153"/>
      <c r="AR37" s="1338"/>
      <c r="AV37" s="1384" t="s">
        <v>250</v>
      </c>
      <c r="AW37" s="1385"/>
      <c r="AX37" s="236"/>
      <c r="AY37" s="236"/>
      <c r="AZ37" s="236"/>
      <c r="BA37" s="236"/>
      <c r="BB37" s="1384" t="s">
        <v>253</v>
      </c>
      <c r="BC37" s="1385"/>
      <c r="BD37" s="1384" t="s">
        <v>254</v>
      </c>
      <c r="BE37" s="1386"/>
      <c r="BF37" s="1385"/>
      <c r="BG37" s="1387" t="s">
        <v>255</v>
      </c>
      <c r="BH37" s="1387"/>
      <c r="BI37" s="1361" t="s">
        <v>259</v>
      </c>
      <c r="BJ37" s="1362"/>
      <c r="BK37" s="1362"/>
      <c r="BL37" s="1363"/>
      <c r="BM37" s="129" t="s">
        <v>260</v>
      </c>
    </row>
    <row r="38" spans="1:65" ht="13.5" customHeight="1">
      <c r="A38" s="431" t="s">
        <v>291</v>
      </c>
      <c r="B38" s="449" t="s">
        <v>306</v>
      </c>
      <c r="C38" s="450" t="s">
        <v>338</v>
      </c>
      <c r="D38" s="451">
        <v>194360</v>
      </c>
      <c r="E38" s="452"/>
      <c r="F38" s="451">
        <v>188550</v>
      </c>
      <c r="G38" s="452"/>
      <c r="H38" s="439">
        <v>1830</v>
      </c>
      <c r="I38" s="453"/>
      <c r="J38" s="454" t="s">
        <v>731</v>
      </c>
      <c r="K38" s="439">
        <v>1770</v>
      </c>
      <c r="L38" s="453"/>
      <c r="M38" s="454" t="s">
        <v>287</v>
      </c>
      <c r="N38" s="446"/>
      <c r="O38" s="455"/>
      <c r="P38" s="441"/>
      <c r="Q38" s="441"/>
      <c r="R38" s="1280"/>
      <c r="S38" s="1283"/>
      <c r="T38" s="456" t="s">
        <v>294</v>
      </c>
      <c r="U38" s="457">
        <v>2700</v>
      </c>
      <c r="V38" s="458">
        <v>3000</v>
      </c>
      <c r="W38" s="459">
        <v>5190</v>
      </c>
      <c r="X38" s="460"/>
      <c r="Y38" s="448"/>
      <c r="Z38" s="1301"/>
      <c r="AA38" s="464"/>
      <c r="AB38" s="1288"/>
      <c r="AC38" s="1291"/>
      <c r="AD38" s="1272"/>
      <c r="AE38" s="1274"/>
      <c r="AF38" s="1274"/>
      <c r="AG38" s="1276"/>
      <c r="AH38" s="1277"/>
      <c r="AJ38" s="209" t="s">
        <v>364</v>
      </c>
      <c r="AK38" s="154" t="s">
        <v>338</v>
      </c>
      <c r="AL38" s="158">
        <v>12158</v>
      </c>
      <c r="AM38" s="207">
        <v>11832</v>
      </c>
      <c r="AN38" s="156"/>
      <c r="AO38" s="153"/>
      <c r="AR38" s="1338"/>
      <c r="AS38" s="143" t="s">
        <v>339</v>
      </c>
      <c r="AT38" s="105" t="s">
        <v>340</v>
      </c>
      <c r="AU38" s="106" t="s">
        <v>341</v>
      </c>
      <c r="AV38" s="115" t="s">
        <v>268</v>
      </c>
      <c r="AW38" s="115" t="s">
        <v>269</v>
      </c>
      <c r="AX38" s="117" t="s">
        <v>422</v>
      </c>
      <c r="AY38" s="117" t="s">
        <v>423</v>
      </c>
      <c r="AZ38" s="117" t="s">
        <v>420</v>
      </c>
      <c r="BA38" s="117" t="s">
        <v>421</v>
      </c>
      <c r="BB38" s="115" t="s">
        <v>270</v>
      </c>
      <c r="BC38" s="115" t="s">
        <v>271</v>
      </c>
      <c r="BD38" s="117" t="s">
        <v>272</v>
      </c>
      <c r="BE38" s="115" t="s">
        <v>273</v>
      </c>
      <c r="BF38" s="115" t="s">
        <v>274</v>
      </c>
      <c r="BG38" s="116" t="s">
        <v>275</v>
      </c>
      <c r="BH38" s="118" t="s">
        <v>276</v>
      </c>
      <c r="BI38" s="136" t="s">
        <v>280</v>
      </c>
      <c r="BJ38" s="136" t="s">
        <v>281</v>
      </c>
      <c r="BK38" s="136" t="s">
        <v>282</v>
      </c>
      <c r="BL38" s="137" t="s">
        <v>283</v>
      </c>
      <c r="BM38" s="137" t="s">
        <v>284</v>
      </c>
    </row>
    <row r="39" spans="1:65" ht="13.5" customHeight="1">
      <c r="A39" s="431" t="s">
        <v>291</v>
      </c>
      <c r="B39" s="416" t="s">
        <v>307</v>
      </c>
      <c r="C39" s="417" t="s">
        <v>334</v>
      </c>
      <c r="D39" s="418">
        <v>39730</v>
      </c>
      <c r="E39" s="419">
        <v>47520</v>
      </c>
      <c r="F39" s="418">
        <v>34490</v>
      </c>
      <c r="G39" s="419">
        <v>42280</v>
      </c>
      <c r="H39" s="420">
        <v>370</v>
      </c>
      <c r="I39" s="421">
        <v>440</v>
      </c>
      <c r="J39" s="422" t="s">
        <v>731</v>
      </c>
      <c r="K39" s="420">
        <v>320</v>
      </c>
      <c r="L39" s="421">
        <v>390</v>
      </c>
      <c r="M39" s="422" t="s">
        <v>287</v>
      </c>
      <c r="N39" s="423">
        <v>7790</v>
      </c>
      <c r="O39" s="424">
        <v>70</v>
      </c>
      <c r="P39" s="462"/>
      <c r="Q39" s="462"/>
      <c r="R39" s="1278">
        <v>2600</v>
      </c>
      <c r="S39" s="1281">
        <v>2800</v>
      </c>
      <c r="T39" s="426" t="s">
        <v>288</v>
      </c>
      <c r="U39" s="427">
        <v>5500</v>
      </c>
      <c r="V39" s="428">
        <v>6200</v>
      </c>
      <c r="W39" s="425">
        <v>4670</v>
      </c>
      <c r="X39" s="429">
        <v>40</v>
      </c>
      <c r="Y39" s="1284">
        <v>4500</v>
      </c>
      <c r="Z39" s="1301"/>
      <c r="AA39" s="1300" t="s">
        <v>308</v>
      </c>
      <c r="AB39" s="1286">
        <v>5430</v>
      </c>
      <c r="AC39" s="1289">
        <v>50</v>
      </c>
      <c r="AD39" s="1292" t="s">
        <v>290</v>
      </c>
      <c r="AE39" s="1294" t="s">
        <v>290</v>
      </c>
      <c r="AF39" s="1294" t="s">
        <v>290</v>
      </c>
      <c r="AG39" s="1297" t="s">
        <v>290</v>
      </c>
      <c r="AH39" s="1269" t="s">
        <v>296</v>
      </c>
      <c r="AJ39" s="209" t="s">
        <v>364</v>
      </c>
      <c r="AK39" s="157" t="s">
        <v>337</v>
      </c>
      <c r="AL39" s="158">
        <v>6737</v>
      </c>
      <c r="AM39" s="207">
        <v>6411</v>
      </c>
      <c r="AN39" s="156"/>
      <c r="AO39" s="153"/>
      <c r="AR39" s="1338"/>
      <c r="AS39" s="144">
        <f>基本情報!C3</f>
        <v>0</v>
      </c>
      <c r="AT39" s="102" t="str">
        <f>基本情報!AC4</f>
        <v/>
      </c>
      <c r="AU39" s="103" t="s">
        <v>333</v>
      </c>
      <c r="AV39" s="124"/>
      <c r="AW39" s="124"/>
      <c r="AX39" s="123" t="e">
        <f>AU128</f>
        <v>#VALUE!</v>
      </c>
      <c r="AY39" s="123" t="e">
        <f>AV128</f>
        <v>#VALUE!</v>
      </c>
      <c r="AZ39" s="123">
        <f>AU90</f>
        <v>0</v>
      </c>
      <c r="BA39" s="123">
        <f>AV90</f>
        <v>0</v>
      </c>
      <c r="BB39" s="123" t="e">
        <f>DGET($A$6:$AH$550,BB38,AS38:AU39)</f>
        <v>#VALUE!</v>
      </c>
      <c r="BC39" s="123" t="e">
        <f>DGET($A$6:$AH$550,BC38,AS38:AU39)</f>
        <v>#VALUE!</v>
      </c>
      <c r="BD39" s="125" t="s">
        <v>345</v>
      </c>
      <c r="BE39" s="123" t="e">
        <f>DGET($A$6:$AH$550,BE38,AS38:AU39)</f>
        <v>#VALUE!</v>
      </c>
      <c r="BF39" s="123" t="e">
        <f>DGET($A$6:$AH$550,BF38,AS38:AU39)</f>
        <v>#VALUE!</v>
      </c>
      <c r="BG39" s="123" t="e">
        <f>DGET($A$6:$AH$550,BG38,AS38:AU39)</f>
        <v>#VALUE!</v>
      </c>
      <c r="BH39" s="123" t="e">
        <f>DGET($A$6:$AH$550,BH38,AS38:AU39)</f>
        <v>#VALUE!</v>
      </c>
      <c r="BI39" s="138" t="e">
        <f>DGET($A$6:$AH$550,BI38,AS38:AU39)</f>
        <v>#VALUE!</v>
      </c>
      <c r="BJ39" s="138"/>
      <c r="BK39" s="138"/>
      <c r="BL39" s="138"/>
      <c r="BM39" s="138"/>
    </row>
    <row r="40" spans="1:65" ht="13.5" customHeight="1">
      <c r="A40" s="431" t="s">
        <v>291</v>
      </c>
      <c r="B40" s="432" t="s">
        <v>307</v>
      </c>
      <c r="C40" s="433" t="s">
        <v>336</v>
      </c>
      <c r="D40" s="434">
        <v>47520</v>
      </c>
      <c r="E40" s="435">
        <v>110120</v>
      </c>
      <c r="F40" s="434">
        <v>42280</v>
      </c>
      <c r="G40" s="435">
        <v>104880</v>
      </c>
      <c r="H40" s="436">
        <v>440</v>
      </c>
      <c r="I40" s="437">
        <v>990</v>
      </c>
      <c r="J40" s="438" t="s">
        <v>731</v>
      </c>
      <c r="K40" s="436">
        <v>390</v>
      </c>
      <c r="L40" s="437">
        <v>930</v>
      </c>
      <c r="M40" s="438" t="s">
        <v>287</v>
      </c>
      <c r="N40" s="439">
        <v>7790</v>
      </c>
      <c r="O40" s="440">
        <v>70</v>
      </c>
      <c r="P40" s="441"/>
      <c r="Q40" s="441"/>
      <c r="R40" s="1279"/>
      <c r="S40" s="1282"/>
      <c r="T40" s="393" t="s">
        <v>292</v>
      </c>
      <c r="U40" s="442">
        <v>3000</v>
      </c>
      <c r="V40" s="443">
        <v>3400</v>
      </c>
      <c r="W40" s="441">
        <v>4670</v>
      </c>
      <c r="X40" s="444"/>
      <c r="Y40" s="1285"/>
      <c r="Z40" s="1301"/>
      <c r="AA40" s="1300"/>
      <c r="AB40" s="1287"/>
      <c r="AC40" s="1290"/>
      <c r="AD40" s="1293"/>
      <c r="AE40" s="1295"/>
      <c r="AF40" s="1295"/>
      <c r="AG40" s="1298"/>
      <c r="AH40" s="1270"/>
      <c r="AJ40" s="209" t="s">
        <v>364</v>
      </c>
      <c r="AK40" s="157" t="s">
        <v>335</v>
      </c>
      <c r="AL40" s="158">
        <v>2943</v>
      </c>
      <c r="AM40" s="207">
        <v>2617</v>
      </c>
      <c r="AN40" s="156"/>
      <c r="AO40" s="153"/>
      <c r="AR40" s="1338"/>
      <c r="AS40" s="145" t="s">
        <v>339</v>
      </c>
      <c r="AT40" s="101" t="s">
        <v>340</v>
      </c>
      <c r="AU40" s="104" t="s">
        <v>341</v>
      </c>
      <c r="AV40" s="115" t="s">
        <v>268</v>
      </c>
      <c r="AW40" s="115" t="s">
        <v>269</v>
      </c>
      <c r="AX40" s="117" t="s">
        <v>422</v>
      </c>
      <c r="AY40" s="117" t="s">
        <v>423</v>
      </c>
      <c r="AZ40" s="117" t="s">
        <v>420</v>
      </c>
      <c r="BA40" s="117" t="s">
        <v>421</v>
      </c>
      <c r="BB40" s="115" t="s">
        <v>270</v>
      </c>
      <c r="BC40" s="115" t="s">
        <v>271</v>
      </c>
      <c r="BD40" s="117" t="s">
        <v>272</v>
      </c>
      <c r="BE40" s="115" t="s">
        <v>273</v>
      </c>
      <c r="BF40" s="115" t="s">
        <v>274</v>
      </c>
      <c r="BG40" s="116" t="s">
        <v>275</v>
      </c>
      <c r="BH40" s="118" t="s">
        <v>276</v>
      </c>
      <c r="BI40" s="136" t="s">
        <v>280</v>
      </c>
      <c r="BJ40" s="136" t="s">
        <v>281</v>
      </c>
      <c r="BK40" s="136" t="s">
        <v>282</v>
      </c>
      <c r="BL40" s="137" t="s">
        <v>283</v>
      </c>
      <c r="BM40" s="137" t="s">
        <v>284</v>
      </c>
    </row>
    <row r="41" spans="1:65" ht="13.5" customHeight="1">
      <c r="A41" s="431" t="s">
        <v>291</v>
      </c>
      <c r="B41" s="432" t="s">
        <v>307</v>
      </c>
      <c r="C41" s="433" t="s">
        <v>337</v>
      </c>
      <c r="D41" s="434">
        <v>110120</v>
      </c>
      <c r="E41" s="435">
        <v>188080</v>
      </c>
      <c r="F41" s="434">
        <v>104880</v>
      </c>
      <c r="G41" s="435">
        <v>182840</v>
      </c>
      <c r="H41" s="436">
        <v>990</v>
      </c>
      <c r="I41" s="437">
        <v>1770</v>
      </c>
      <c r="J41" s="438" t="s">
        <v>731</v>
      </c>
      <c r="K41" s="436">
        <v>930</v>
      </c>
      <c r="L41" s="437">
        <v>1710</v>
      </c>
      <c r="M41" s="438" t="s">
        <v>287</v>
      </c>
      <c r="N41" s="446"/>
      <c r="O41" s="447"/>
      <c r="P41" s="441"/>
      <c r="Q41" s="441"/>
      <c r="R41" s="1279"/>
      <c r="S41" s="1282"/>
      <c r="T41" s="393" t="s">
        <v>293</v>
      </c>
      <c r="U41" s="442">
        <v>2600</v>
      </c>
      <c r="V41" s="443">
        <v>2900</v>
      </c>
      <c r="W41" s="441">
        <v>4670</v>
      </c>
      <c r="X41" s="444"/>
      <c r="Y41" s="448"/>
      <c r="Z41" s="1301"/>
      <c r="AA41" s="1299">
        <v>0.1</v>
      </c>
      <c r="AB41" s="1287"/>
      <c r="AC41" s="1290"/>
      <c r="AD41" s="1271">
        <v>0.01</v>
      </c>
      <c r="AE41" s="1273">
        <v>0.03</v>
      </c>
      <c r="AF41" s="1273">
        <v>0.04</v>
      </c>
      <c r="AG41" s="1275">
        <v>0.06</v>
      </c>
      <c r="AH41" s="1277">
        <v>0.96</v>
      </c>
      <c r="AJ41" s="210" t="s">
        <v>364</v>
      </c>
      <c r="AK41" s="159" t="s">
        <v>333</v>
      </c>
      <c r="AL41" s="158">
        <v>2401</v>
      </c>
      <c r="AM41" s="207">
        <v>2075</v>
      </c>
      <c r="AN41" s="156"/>
      <c r="AO41" s="153"/>
      <c r="AR41" s="1338"/>
      <c r="AS41" s="144">
        <f>AS39</f>
        <v>0</v>
      </c>
      <c r="AT41" s="102" t="str">
        <f>AT39</f>
        <v/>
      </c>
      <c r="AU41" s="103" t="s">
        <v>335</v>
      </c>
      <c r="AV41" s="123" t="e">
        <f>DGET($A$6:$AH$550,AV40,AS40:AU41)</f>
        <v>#VALUE!</v>
      </c>
      <c r="AW41" s="123" t="e">
        <f>DGET($A$6:$AH$550,AW40,AS40:AU41)</f>
        <v>#VALUE!</v>
      </c>
      <c r="AX41" s="123" t="e">
        <f>AU128</f>
        <v>#VALUE!</v>
      </c>
      <c r="AY41" s="123" t="e">
        <f>AV128</f>
        <v>#VALUE!</v>
      </c>
      <c r="AZ41" s="123">
        <f>AU90</f>
        <v>0</v>
      </c>
      <c r="BA41" s="123">
        <f>AV90</f>
        <v>0</v>
      </c>
      <c r="BB41" s="123" t="e">
        <f>BB39</f>
        <v>#VALUE!</v>
      </c>
      <c r="BC41" s="123" t="e">
        <f>BC39</f>
        <v>#VALUE!</v>
      </c>
      <c r="BD41" s="125" t="s">
        <v>346</v>
      </c>
      <c r="BE41" s="123" t="e">
        <f>DGET($A$6:$AH$550,BE40,AS40:AU41)</f>
        <v>#VALUE!</v>
      </c>
      <c r="BF41" s="123" t="e">
        <f>DGET($A$6:$AH$550,BF40,AS40:AU41)</f>
        <v>#VALUE!</v>
      </c>
      <c r="BG41" s="123" t="e">
        <f>BG39</f>
        <v>#VALUE!</v>
      </c>
      <c r="BH41" s="123" t="e">
        <f>BH39</f>
        <v>#VALUE!</v>
      </c>
      <c r="BI41" s="138" t="e">
        <f>DGET($A$6:$AH$550,BI40,AS40:AU41)</f>
        <v>#VALUE!</v>
      </c>
      <c r="BJ41" s="138"/>
      <c r="BK41" s="138"/>
      <c r="BL41" s="138"/>
      <c r="BM41" s="138"/>
    </row>
    <row r="42" spans="1:65" ht="13.5" customHeight="1">
      <c r="A42" s="431" t="s">
        <v>291</v>
      </c>
      <c r="B42" s="449" t="s">
        <v>307</v>
      </c>
      <c r="C42" s="450" t="s">
        <v>338</v>
      </c>
      <c r="D42" s="451">
        <v>188080</v>
      </c>
      <c r="E42" s="452"/>
      <c r="F42" s="451">
        <v>182840</v>
      </c>
      <c r="G42" s="452"/>
      <c r="H42" s="439">
        <v>1770</v>
      </c>
      <c r="I42" s="453"/>
      <c r="J42" s="454" t="s">
        <v>731</v>
      </c>
      <c r="K42" s="439">
        <v>1710</v>
      </c>
      <c r="L42" s="453"/>
      <c r="M42" s="454" t="s">
        <v>287</v>
      </c>
      <c r="N42" s="446"/>
      <c r="O42" s="455"/>
      <c r="P42" s="462"/>
      <c r="Q42" s="462"/>
      <c r="R42" s="1280"/>
      <c r="S42" s="1283"/>
      <c r="T42" s="456" t="s">
        <v>294</v>
      </c>
      <c r="U42" s="457">
        <v>2400</v>
      </c>
      <c r="V42" s="458">
        <v>2600</v>
      </c>
      <c r="W42" s="459">
        <v>4670</v>
      </c>
      <c r="X42" s="460"/>
      <c r="Y42" s="448"/>
      <c r="Z42" s="1301"/>
      <c r="AA42" s="1299"/>
      <c r="AB42" s="1288"/>
      <c r="AC42" s="1291"/>
      <c r="AD42" s="1272"/>
      <c r="AE42" s="1274"/>
      <c r="AF42" s="1274"/>
      <c r="AG42" s="1276"/>
      <c r="AH42" s="1277"/>
      <c r="AJ42" s="209" t="s">
        <v>365</v>
      </c>
      <c r="AK42" s="154" t="s">
        <v>338</v>
      </c>
      <c r="AL42" s="158">
        <v>12055</v>
      </c>
      <c r="AM42" s="207">
        <v>11760</v>
      </c>
      <c r="AN42" s="156"/>
      <c r="AO42" s="153"/>
      <c r="AR42" s="1338"/>
      <c r="AS42" s="145" t="s">
        <v>339</v>
      </c>
      <c r="AT42" s="101" t="s">
        <v>340</v>
      </c>
      <c r="AU42" s="104" t="s">
        <v>341</v>
      </c>
      <c r="AV42" s="115" t="s">
        <v>268</v>
      </c>
      <c r="AW42" s="115" t="s">
        <v>269</v>
      </c>
      <c r="AX42" s="117" t="s">
        <v>422</v>
      </c>
      <c r="AY42" s="117" t="s">
        <v>423</v>
      </c>
      <c r="AZ42" s="117" t="s">
        <v>420</v>
      </c>
      <c r="BA42" s="117" t="s">
        <v>421</v>
      </c>
      <c r="BB42" s="115" t="s">
        <v>270</v>
      </c>
      <c r="BC42" s="115" t="s">
        <v>271</v>
      </c>
      <c r="BD42" s="117" t="s">
        <v>272</v>
      </c>
      <c r="BE42" s="115" t="s">
        <v>273</v>
      </c>
      <c r="BF42" s="115" t="s">
        <v>274</v>
      </c>
      <c r="BG42" s="116" t="s">
        <v>275</v>
      </c>
      <c r="BH42" s="118" t="s">
        <v>276</v>
      </c>
      <c r="BI42" s="134" t="s">
        <v>280</v>
      </c>
      <c r="BJ42" s="134" t="s">
        <v>281</v>
      </c>
      <c r="BK42" s="134" t="s">
        <v>282</v>
      </c>
      <c r="BL42" s="135" t="s">
        <v>283</v>
      </c>
      <c r="BM42" s="135" t="s">
        <v>284</v>
      </c>
    </row>
    <row r="43" spans="1:65" ht="13.5" customHeight="1">
      <c r="A43" s="431" t="s">
        <v>291</v>
      </c>
      <c r="B43" s="416" t="s">
        <v>309</v>
      </c>
      <c r="C43" s="417" t="s">
        <v>334</v>
      </c>
      <c r="D43" s="418">
        <v>37800</v>
      </c>
      <c r="E43" s="419">
        <v>45590</v>
      </c>
      <c r="F43" s="418">
        <v>33040</v>
      </c>
      <c r="G43" s="419">
        <v>40830</v>
      </c>
      <c r="H43" s="420">
        <v>350</v>
      </c>
      <c r="I43" s="421">
        <v>420</v>
      </c>
      <c r="J43" s="422" t="s">
        <v>731</v>
      </c>
      <c r="K43" s="420">
        <v>310</v>
      </c>
      <c r="L43" s="421">
        <v>380</v>
      </c>
      <c r="M43" s="422" t="s">
        <v>287</v>
      </c>
      <c r="N43" s="423">
        <v>7790</v>
      </c>
      <c r="O43" s="424">
        <v>70</v>
      </c>
      <c r="P43" s="441"/>
      <c r="Q43" s="441"/>
      <c r="R43" s="1278">
        <v>2800</v>
      </c>
      <c r="S43" s="1281">
        <v>3100</v>
      </c>
      <c r="T43" s="426" t="s">
        <v>288</v>
      </c>
      <c r="U43" s="427">
        <v>6100</v>
      </c>
      <c r="V43" s="428">
        <v>6800</v>
      </c>
      <c r="W43" s="425">
        <v>4250</v>
      </c>
      <c r="X43" s="429">
        <v>40</v>
      </c>
      <c r="Y43" s="1284">
        <v>4500</v>
      </c>
      <c r="Z43" s="1301"/>
      <c r="AA43" s="464"/>
      <c r="AB43" s="1286">
        <v>4940</v>
      </c>
      <c r="AC43" s="1289">
        <v>40</v>
      </c>
      <c r="AD43" s="1292" t="s">
        <v>290</v>
      </c>
      <c r="AE43" s="1294" t="s">
        <v>290</v>
      </c>
      <c r="AF43" s="1294" t="s">
        <v>290</v>
      </c>
      <c r="AG43" s="1297" t="s">
        <v>290</v>
      </c>
      <c r="AH43" s="1269" t="s">
        <v>296</v>
      </c>
      <c r="AJ43" s="209" t="s">
        <v>365</v>
      </c>
      <c r="AK43" s="157" t="s">
        <v>337</v>
      </c>
      <c r="AL43" s="158">
        <v>6634</v>
      </c>
      <c r="AM43" s="207">
        <v>6339</v>
      </c>
      <c r="AN43" s="156"/>
      <c r="AO43" s="153"/>
      <c r="AR43" s="1338"/>
      <c r="AS43" s="144">
        <f>AS39</f>
        <v>0</v>
      </c>
      <c r="AT43" s="102" t="str">
        <f>AT39</f>
        <v/>
      </c>
      <c r="AU43" s="103" t="s">
        <v>342</v>
      </c>
      <c r="AV43" s="124"/>
      <c r="AW43" s="124"/>
      <c r="AX43" s="123" t="e">
        <f>AU128</f>
        <v>#VALUE!</v>
      </c>
      <c r="AY43" s="123" t="e">
        <f>AV128</f>
        <v>#VALUE!</v>
      </c>
      <c r="AZ43" s="123">
        <f>AU92</f>
        <v>0</v>
      </c>
      <c r="BA43" s="123">
        <f>AV92</f>
        <v>0</v>
      </c>
      <c r="BB43" s="123" t="e">
        <f>BB39</f>
        <v>#VALUE!</v>
      </c>
      <c r="BC43" s="123" t="e">
        <f>BC39</f>
        <v>#VALUE!</v>
      </c>
      <c r="BD43" s="125" t="s">
        <v>347</v>
      </c>
      <c r="BE43" s="123" t="e">
        <f>DGET($A$6:$AH$550,BE42,AS42:AU43)</f>
        <v>#VALUE!</v>
      </c>
      <c r="BF43" s="123" t="e">
        <f>DGET($A$6:$AH$550,BF42,AS42:AU43)</f>
        <v>#VALUE!</v>
      </c>
      <c r="BG43" s="123" t="e">
        <f>BG39</f>
        <v>#VALUE!</v>
      </c>
      <c r="BH43" s="123" t="e">
        <f>BH39</f>
        <v>#VALUE!</v>
      </c>
      <c r="BI43" s="133" t="e">
        <f>DGET($A$6:$AH$550,BI42,AS42:AU43)</f>
        <v>#VALUE!</v>
      </c>
      <c r="BJ43" s="133" t="e">
        <f>DGET($A$6:$AH$550,BJ42,AS42:AU43)</f>
        <v>#VALUE!</v>
      </c>
      <c r="BK43" s="133" t="e">
        <f>DGET($A$6:$AH$550,BK42,AS42:AU43)</f>
        <v>#VALUE!</v>
      </c>
      <c r="BL43" s="133" t="e">
        <f>DGET($A$6:$AH$550,BL42,AS42:AU43)</f>
        <v>#VALUE!</v>
      </c>
      <c r="BM43" s="133" t="e">
        <f>DGET($A$6:$AH$550,BM42,AS42:AU43)</f>
        <v>#VALUE!</v>
      </c>
    </row>
    <row r="44" spans="1:65" ht="13.5" customHeight="1">
      <c r="A44" s="431" t="s">
        <v>291</v>
      </c>
      <c r="B44" s="432" t="s">
        <v>309</v>
      </c>
      <c r="C44" s="433" t="s">
        <v>336</v>
      </c>
      <c r="D44" s="434">
        <v>45590</v>
      </c>
      <c r="E44" s="435">
        <v>108190</v>
      </c>
      <c r="F44" s="434">
        <v>40830</v>
      </c>
      <c r="G44" s="435">
        <v>103430</v>
      </c>
      <c r="H44" s="436">
        <v>420</v>
      </c>
      <c r="I44" s="437">
        <v>970</v>
      </c>
      <c r="J44" s="438" t="s">
        <v>731</v>
      </c>
      <c r="K44" s="436">
        <v>380</v>
      </c>
      <c r="L44" s="437">
        <v>920</v>
      </c>
      <c r="M44" s="438" t="s">
        <v>287</v>
      </c>
      <c r="N44" s="439">
        <v>7790</v>
      </c>
      <c r="O44" s="440">
        <v>70</v>
      </c>
      <c r="P44" s="441"/>
      <c r="Q44" s="441"/>
      <c r="R44" s="1279"/>
      <c r="S44" s="1282"/>
      <c r="T44" s="393" t="s">
        <v>292</v>
      </c>
      <c r="U44" s="442">
        <v>3300</v>
      </c>
      <c r="V44" s="443">
        <v>3700</v>
      </c>
      <c r="W44" s="441">
        <v>4250</v>
      </c>
      <c r="X44" s="444"/>
      <c r="Y44" s="1285"/>
      <c r="Z44" s="1301"/>
      <c r="AA44" s="464"/>
      <c r="AB44" s="1287"/>
      <c r="AC44" s="1290"/>
      <c r="AD44" s="1293"/>
      <c r="AE44" s="1295"/>
      <c r="AF44" s="1295"/>
      <c r="AG44" s="1298"/>
      <c r="AH44" s="1270"/>
      <c r="AJ44" s="209" t="s">
        <v>365</v>
      </c>
      <c r="AK44" s="157" t="s">
        <v>335</v>
      </c>
      <c r="AL44" s="158">
        <v>2840</v>
      </c>
      <c r="AM44" s="207">
        <v>2545</v>
      </c>
      <c r="AN44" s="156"/>
      <c r="AO44" s="153"/>
      <c r="AR44" s="1338"/>
      <c r="AS44" s="145" t="s">
        <v>339</v>
      </c>
      <c r="AT44" s="101" t="s">
        <v>340</v>
      </c>
      <c r="AU44" s="104" t="s">
        <v>341</v>
      </c>
      <c r="AV44" s="115" t="s">
        <v>268</v>
      </c>
      <c r="AW44" s="115" t="s">
        <v>269</v>
      </c>
      <c r="AX44" s="117" t="s">
        <v>422</v>
      </c>
      <c r="AY44" s="117" t="s">
        <v>423</v>
      </c>
      <c r="AZ44" s="117" t="s">
        <v>420</v>
      </c>
      <c r="BA44" s="117" t="s">
        <v>421</v>
      </c>
      <c r="BB44" s="115" t="s">
        <v>270</v>
      </c>
      <c r="BC44" s="115" t="s">
        <v>271</v>
      </c>
      <c r="BD44" s="117" t="s">
        <v>272</v>
      </c>
      <c r="BE44" s="115" t="s">
        <v>273</v>
      </c>
      <c r="BF44" s="115" t="s">
        <v>274</v>
      </c>
      <c r="BG44" s="116" t="s">
        <v>275</v>
      </c>
      <c r="BH44" s="118" t="s">
        <v>276</v>
      </c>
      <c r="BI44" s="139" t="s">
        <v>280</v>
      </c>
      <c r="BJ44" s="139" t="s">
        <v>281</v>
      </c>
      <c r="BK44" s="139" t="s">
        <v>282</v>
      </c>
      <c r="BL44" s="140" t="s">
        <v>283</v>
      </c>
      <c r="BM44" s="137" t="s">
        <v>284</v>
      </c>
    </row>
    <row r="45" spans="1:65" ht="13.5" customHeight="1">
      <c r="A45" s="431" t="s">
        <v>291</v>
      </c>
      <c r="B45" s="432" t="s">
        <v>309</v>
      </c>
      <c r="C45" s="433" t="s">
        <v>337</v>
      </c>
      <c r="D45" s="434">
        <v>108190</v>
      </c>
      <c r="E45" s="435">
        <v>186150</v>
      </c>
      <c r="F45" s="434">
        <v>103430</v>
      </c>
      <c r="G45" s="435">
        <v>181390</v>
      </c>
      <c r="H45" s="436">
        <v>970</v>
      </c>
      <c r="I45" s="437">
        <v>1750</v>
      </c>
      <c r="J45" s="438" t="s">
        <v>731</v>
      </c>
      <c r="K45" s="436">
        <v>920</v>
      </c>
      <c r="L45" s="437">
        <v>1700</v>
      </c>
      <c r="M45" s="438" t="s">
        <v>287</v>
      </c>
      <c r="N45" s="446"/>
      <c r="O45" s="447"/>
      <c r="P45" s="462"/>
      <c r="Q45" s="462"/>
      <c r="R45" s="1279"/>
      <c r="S45" s="1282"/>
      <c r="T45" s="393" t="s">
        <v>293</v>
      </c>
      <c r="U45" s="442">
        <v>2900</v>
      </c>
      <c r="V45" s="443">
        <v>3200</v>
      </c>
      <c r="W45" s="441">
        <v>4250</v>
      </c>
      <c r="X45" s="444"/>
      <c r="Y45" s="448"/>
      <c r="Z45" s="1301"/>
      <c r="AA45" s="464"/>
      <c r="AB45" s="1287"/>
      <c r="AC45" s="1290"/>
      <c r="AD45" s="1271">
        <v>0.01</v>
      </c>
      <c r="AE45" s="1273">
        <v>0.03</v>
      </c>
      <c r="AF45" s="1273">
        <v>0.04</v>
      </c>
      <c r="AG45" s="1275">
        <v>0.06</v>
      </c>
      <c r="AH45" s="1277">
        <v>0.95</v>
      </c>
      <c r="AJ45" s="210" t="s">
        <v>365</v>
      </c>
      <c r="AK45" s="159" t="s">
        <v>333</v>
      </c>
      <c r="AL45" s="158">
        <v>2298</v>
      </c>
      <c r="AM45" s="207">
        <v>2003</v>
      </c>
      <c r="AN45" s="156"/>
      <c r="AO45" s="153"/>
      <c r="AR45" s="1339"/>
      <c r="AS45" s="144">
        <f>AS39</f>
        <v>0</v>
      </c>
      <c r="AT45" s="102" t="str">
        <f>AT39</f>
        <v/>
      </c>
      <c r="AU45" s="103" t="s">
        <v>343</v>
      </c>
      <c r="AV45" s="124"/>
      <c r="AW45" s="124"/>
      <c r="AX45" s="123" t="e">
        <f>AU128</f>
        <v>#VALUE!</v>
      </c>
      <c r="AY45" s="123" t="e">
        <f>AV128</f>
        <v>#VALUE!</v>
      </c>
      <c r="AZ45" s="123">
        <f>AU92</f>
        <v>0</v>
      </c>
      <c r="BA45" s="123">
        <f>AV92</f>
        <v>0</v>
      </c>
      <c r="BB45" s="123" t="e">
        <f>BB39</f>
        <v>#VALUE!</v>
      </c>
      <c r="BC45" s="123" t="e">
        <f>BC39</f>
        <v>#VALUE!</v>
      </c>
      <c r="BD45" s="125" t="s">
        <v>348</v>
      </c>
      <c r="BE45" s="123" t="e">
        <f>DGET($A$6:$AH$550,BE44,AS44:AU45)</f>
        <v>#VALUE!</v>
      </c>
      <c r="BF45" s="123" t="e">
        <f>DGET($A$6:$AH$550,BF44,AS44:AU45)</f>
        <v>#VALUE!</v>
      </c>
      <c r="BG45" s="123" t="e">
        <f>BG39</f>
        <v>#VALUE!</v>
      </c>
      <c r="BH45" s="123" t="e">
        <f>BH39</f>
        <v>#VALUE!</v>
      </c>
      <c r="BI45" s="141" t="e">
        <f>DGET($A$6:$AH$550,BI44,AS44:AU45)</f>
        <v>#VALUE!</v>
      </c>
      <c r="BJ45" s="141"/>
      <c r="BK45" s="141"/>
      <c r="BL45" s="141"/>
      <c r="BM45" s="138"/>
    </row>
    <row r="46" spans="1:65" ht="13.5" customHeight="1">
      <c r="A46" s="431" t="s">
        <v>291</v>
      </c>
      <c r="B46" s="449" t="s">
        <v>309</v>
      </c>
      <c r="C46" s="450" t="s">
        <v>338</v>
      </c>
      <c r="D46" s="451">
        <v>186150</v>
      </c>
      <c r="E46" s="452"/>
      <c r="F46" s="451">
        <v>181390</v>
      </c>
      <c r="G46" s="452"/>
      <c r="H46" s="439">
        <v>1750</v>
      </c>
      <c r="I46" s="453"/>
      <c r="J46" s="454" t="s">
        <v>731</v>
      </c>
      <c r="K46" s="439">
        <v>1700</v>
      </c>
      <c r="L46" s="453"/>
      <c r="M46" s="454" t="s">
        <v>287</v>
      </c>
      <c r="N46" s="446"/>
      <c r="O46" s="455"/>
      <c r="P46" s="441"/>
      <c r="Q46" s="441"/>
      <c r="R46" s="1280"/>
      <c r="S46" s="1283"/>
      <c r="T46" s="456" t="s">
        <v>294</v>
      </c>
      <c r="U46" s="457">
        <v>2600</v>
      </c>
      <c r="V46" s="458">
        <v>2900</v>
      </c>
      <c r="W46" s="459">
        <v>4250</v>
      </c>
      <c r="X46" s="460"/>
      <c r="Y46" s="448"/>
      <c r="Z46" s="1301"/>
      <c r="AA46" s="464"/>
      <c r="AB46" s="1288"/>
      <c r="AC46" s="1291"/>
      <c r="AD46" s="1272"/>
      <c r="AE46" s="1274"/>
      <c r="AF46" s="1274"/>
      <c r="AG46" s="1276"/>
      <c r="AH46" s="1277"/>
      <c r="AJ46" s="209" t="s">
        <v>366</v>
      </c>
      <c r="AK46" s="154" t="s">
        <v>338</v>
      </c>
      <c r="AL46" s="158">
        <v>11967</v>
      </c>
      <c r="AM46" s="207">
        <v>11696</v>
      </c>
      <c r="AN46" s="156"/>
      <c r="AO46" s="153"/>
    </row>
    <row r="47" spans="1:65" ht="13.5" customHeight="1">
      <c r="A47" s="431" t="s">
        <v>291</v>
      </c>
      <c r="B47" s="416" t="s">
        <v>310</v>
      </c>
      <c r="C47" s="417" t="s">
        <v>334</v>
      </c>
      <c r="D47" s="418">
        <v>36160</v>
      </c>
      <c r="E47" s="419">
        <v>43950</v>
      </c>
      <c r="F47" s="418">
        <v>31800</v>
      </c>
      <c r="G47" s="419">
        <v>39590</v>
      </c>
      <c r="H47" s="420">
        <v>340</v>
      </c>
      <c r="I47" s="421">
        <v>410</v>
      </c>
      <c r="J47" s="422" t="s">
        <v>731</v>
      </c>
      <c r="K47" s="420">
        <v>290</v>
      </c>
      <c r="L47" s="421">
        <v>360</v>
      </c>
      <c r="M47" s="422" t="s">
        <v>287</v>
      </c>
      <c r="N47" s="423">
        <v>7790</v>
      </c>
      <c r="O47" s="424">
        <v>70</v>
      </c>
      <c r="P47" s="441"/>
      <c r="Q47" s="441"/>
      <c r="R47" s="1278">
        <v>2600</v>
      </c>
      <c r="S47" s="1281">
        <v>2800</v>
      </c>
      <c r="T47" s="426" t="s">
        <v>288</v>
      </c>
      <c r="U47" s="427">
        <v>5500</v>
      </c>
      <c r="V47" s="428">
        <v>6200</v>
      </c>
      <c r="W47" s="425">
        <v>3890</v>
      </c>
      <c r="X47" s="429">
        <v>30</v>
      </c>
      <c r="Y47" s="1284">
        <v>4500</v>
      </c>
      <c r="Z47" s="1301"/>
      <c r="AA47" s="464"/>
      <c r="AB47" s="1286">
        <v>4530</v>
      </c>
      <c r="AC47" s="1289">
        <v>40</v>
      </c>
      <c r="AD47" s="1292" t="s">
        <v>290</v>
      </c>
      <c r="AE47" s="1294" t="s">
        <v>290</v>
      </c>
      <c r="AF47" s="1294" t="s">
        <v>290</v>
      </c>
      <c r="AG47" s="1297" t="s">
        <v>290</v>
      </c>
      <c r="AH47" s="1269" t="s">
        <v>296</v>
      </c>
      <c r="AJ47" s="209" t="s">
        <v>366</v>
      </c>
      <c r="AK47" s="157" t="s">
        <v>337</v>
      </c>
      <c r="AL47" s="158">
        <v>6546</v>
      </c>
      <c r="AM47" s="207">
        <v>6275</v>
      </c>
      <c r="AN47" s="156"/>
      <c r="AO47" s="153"/>
    </row>
    <row r="48" spans="1:65" ht="13.5" customHeight="1">
      <c r="A48" s="431" t="s">
        <v>291</v>
      </c>
      <c r="B48" s="432" t="s">
        <v>310</v>
      </c>
      <c r="C48" s="433" t="s">
        <v>336</v>
      </c>
      <c r="D48" s="434">
        <v>43950</v>
      </c>
      <c r="E48" s="435">
        <v>106550</v>
      </c>
      <c r="F48" s="434">
        <v>39590</v>
      </c>
      <c r="G48" s="435">
        <v>102190</v>
      </c>
      <c r="H48" s="436">
        <v>410</v>
      </c>
      <c r="I48" s="437">
        <v>950</v>
      </c>
      <c r="J48" s="438" t="s">
        <v>731</v>
      </c>
      <c r="K48" s="436">
        <v>360</v>
      </c>
      <c r="L48" s="437">
        <v>910</v>
      </c>
      <c r="M48" s="438" t="s">
        <v>287</v>
      </c>
      <c r="N48" s="439">
        <v>7790</v>
      </c>
      <c r="O48" s="440">
        <v>70</v>
      </c>
      <c r="P48" s="462"/>
      <c r="Q48" s="462"/>
      <c r="R48" s="1279"/>
      <c r="S48" s="1282"/>
      <c r="T48" s="393" t="s">
        <v>292</v>
      </c>
      <c r="U48" s="442">
        <v>3000</v>
      </c>
      <c r="V48" s="443">
        <v>3400</v>
      </c>
      <c r="W48" s="441">
        <v>3890</v>
      </c>
      <c r="X48" s="444"/>
      <c r="Y48" s="1285"/>
      <c r="Z48" s="1301"/>
      <c r="AA48" s="464"/>
      <c r="AB48" s="1287"/>
      <c r="AC48" s="1290"/>
      <c r="AD48" s="1293"/>
      <c r="AE48" s="1295"/>
      <c r="AF48" s="1295"/>
      <c r="AG48" s="1298"/>
      <c r="AH48" s="1270"/>
      <c r="AJ48" s="209" t="s">
        <v>366</v>
      </c>
      <c r="AK48" s="157" t="s">
        <v>335</v>
      </c>
      <c r="AL48" s="158">
        <v>2752</v>
      </c>
      <c r="AM48" s="207">
        <v>2481</v>
      </c>
      <c r="AN48" s="156"/>
      <c r="AO48" s="153"/>
    </row>
    <row r="49" spans="1:81" ht="13.5" customHeight="1">
      <c r="A49" s="431" t="s">
        <v>291</v>
      </c>
      <c r="B49" s="432" t="s">
        <v>310</v>
      </c>
      <c r="C49" s="433" t="s">
        <v>337</v>
      </c>
      <c r="D49" s="434">
        <v>106550</v>
      </c>
      <c r="E49" s="435">
        <v>184510</v>
      </c>
      <c r="F49" s="434">
        <v>102190</v>
      </c>
      <c r="G49" s="435">
        <v>180150</v>
      </c>
      <c r="H49" s="436">
        <v>950</v>
      </c>
      <c r="I49" s="437">
        <v>1730</v>
      </c>
      <c r="J49" s="438" t="s">
        <v>731</v>
      </c>
      <c r="K49" s="436">
        <v>910</v>
      </c>
      <c r="L49" s="437">
        <v>1690</v>
      </c>
      <c r="M49" s="438" t="s">
        <v>287</v>
      </c>
      <c r="N49" s="446"/>
      <c r="O49" s="447"/>
      <c r="P49" s="441"/>
      <c r="Q49" s="441"/>
      <c r="R49" s="1279"/>
      <c r="S49" s="1282"/>
      <c r="T49" s="393" t="s">
        <v>293</v>
      </c>
      <c r="U49" s="442">
        <v>2600</v>
      </c>
      <c r="V49" s="443">
        <v>2900</v>
      </c>
      <c r="W49" s="441">
        <v>3890</v>
      </c>
      <c r="X49" s="444"/>
      <c r="Y49" s="448"/>
      <c r="Z49" s="1301"/>
      <c r="AA49" s="464"/>
      <c r="AB49" s="1287"/>
      <c r="AC49" s="1290"/>
      <c r="AD49" s="1271">
        <v>0.01</v>
      </c>
      <c r="AE49" s="1273">
        <v>0.03</v>
      </c>
      <c r="AF49" s="1273">
        <v>0.04</v>
      </c>
      <c r="AG49" s="1275">
        <v>0.06</v>
      </c>
      <c r="AH49" s="1277">
        <v>0.95</v>
      </c>
      <c r="AJ49" s="210" t="s">
        <v>366</v>
      </c>
      <c r="AK49" s="159" t="s">
        <v>333</v>
      </c>
      <c r="AL49" s="158">
        <v>2210</v>
      </c>
      <c r="AM49" s="207">
        <v>1939</v>
      </c>
      <c r="AN49" s="156"/>
      <c r="AO49" s="153"/>
    </row>
    <row r="50" spans="1:81" ht="13.5" customHeight="1">
      <c r="A50" s="431" t="s">
        <v>291</v>
      </c>
      <c r="B50" s="449" t="s">
        <v>310</v>
      </c>
      <c r="C50" s="450" t="s">
        <v>338</v>
      </c>
      <c r="D50" s="451">
        <v>184510</v>
      </c>
      <c r="E50" s="452"/>
      <c r="F50" s="451">
        <v>180150</v>
      </c>
      <c r="G50" s="452"/>
      <c r="H50" s="439">
        <v>1730</v>
      </c>
      <c r="I50" s="453"/>
      <c r="J50" s="454" t="s">
        <v>731</v>
      </c>
      <c r="K50" s="439">
        <v>1690</v>
      </c>
      <c r="L50" s="453"/>
      <c r="M50" s="454" t="s">
        <v>287</v>
      </c>
      <c r="N50" s="446"/>
      <c r="O50" s="455"/>
      <c r="P50" s="441"/>
      <c r="Q50" s="441"/>
      <c r="R50" s="1280"/>
      <c r="S50" s="1283"/>
      <c r="T50" s="456" t="s">
        <v>294</v>
      </c>
      <c r="U50" s="457">
        <v>2400</v>
      </c>
      <c r="V50" s="458">
        <v>2600</v>
      </c>
      <c r="W50" s="459">
        <v>3890</v>
      </c>
      <c r="X50" s="460"/>
      <c r="Y50" s="448"/>
      <c r="Z50" s="1301"/>
      <c r="AA50" s="464"/>
      <c r="AB50" s="1288"/>
      <c r="AC50" s="1291"/>
      <c r="AD50" s="1272"/>
      <c r="AE50" s="1274"/>
      <c r="AF50" s="1274"/>
      <c r="AG50" s="1276"/>
      <c r="AH50" s="1277"/>
      <c r="AJ50" s="209" t="s">
        <v>367</v>
      </c>
      <c r="AK50" s="154" t="s">
        <v>338</v>
      </c>
      <c r="AL50" s="158">
        <v>11893</v>
      </c>
      <c r="AM50" s="207">
        <v>11642</v>
      </c>
      <c r="AN50" s="156"/>
      <c r="AO50" s="153"/>
    </row>
    <row r="51" spans="1:81" ht="13.5" customHeight="1">
      <c r="A51" s="431" t="s">
        <v>291</v>
      </c>
      <c r="B51" s="416" t="s">
        <v>311</v>
      </c>
      <c r="C51" s="417" t="s">
        <v>334</v>
      </c>
      <c r="D51" s="418">
        <v>34770</v>
      </c>
      <c r="E51" s="419">
        <v>42560</v>
      </c>
      <c r="F51" s="418">
        <v>30740</v>
      </c>
      <c r="G51" s="419">
        <v>38530</v>
      </c>
      <c r="H51" s="420">
        <v>320</v>
      </c>
      <c r="I51" s="421">
        <v>390</v>
      </c>
      <c r="J51" s="422" t="s">
        <v>731</v>
      </c>
      <c r="K51" s="420">
        <v>280</v>
      </c>
      <c r="L51" s="421">
        <v>350</v>
      </c>
      <c r="M51" s="422" t="s">
        <v>287</v>
      </c>
      <c r="N51" s="423">
        <v>7790</v>
      </c>
      <c r="O51" s="424">
        <v>70</v>
      </c>
      <c r="P51" s="462"/>
      <c r="Q51" s="462"/>
      <c r="R51" s="1278">
        <v>2400</v>
      </c>
      <c r="S51" s="1281">
        <v>2600</v>
      </c>
      <c r="T51" s="426" t="s">
        <v>288</v>
      </c>
      <c r="U51" s="427">
        <v>5100</v>
      </c>
      <c r="V51" s="428">
        <v>5700</v>
      </c>
      <c r="W51" s="425">
        <v>3590</v>
      </c>
      <c r="X51" s="429">
        <v>30</v>
      </c>
      <c r="Y51" s="1284">
        <v>4500</v>
      </c>
      <c r="Z51" s="1301"/>
      <c r="AA51" s="464"/>
      <c r="AB51" s="1286">
        <v>4180</v>
      </c>
      <c r="AC51" s="1289">
        <v>40</v>
      </c>
      <c r="AD51" s="1292" t="s">
        <v>290</v>
      </c>
      <c r="AE51" s="1294" t="s">
        <v>290</v>
      </c>
      <c r="AF51" s="1294" t="s">
        <v>290</v>
      </c>
      <c r="AG51" s="1297" t="s">
        <v>290</v>
      </c>
      <c r="AH51" s="1269" t="s">
        <v>296</v>
      </c>
      <c r="AJ51" s="209" t="s">
        <v>367</v>
      </c>
      <c r="AK51" s="157" t="s">
        <v>337</v>
      </c>
      <c r="AL51" s="158">
        <v>6472</v>
      </c>
      <c r="AM51" s="207">
        <v>6221</v>
      </c>
      <c r="AN51" s="156"/>
      <c r="AO51" s="153"/>
    </row>
    <row r="52" spans="1:81" ht="13.5" customHeight="1">
      <c r="A52" s="431" t="s">
        <v>291</v>
      </c>
      <c r="B52" s="432" t="s">
        <v>311</v>
      </c>
      <c r="C52" s="433" t="s">
        <v>336</v>
      </c>
      <c r="D52" s="434">
        <v>42560</v>
      </c>
      <c r="E52" s="435">
        <v>105160</v>
      </c>
      <c r="F52" s="434">
        <v>38530</v>
      </c>
      <c r="G52" s="435">
        <v>101130</v>
      </c>
      <c r="H52" s="436">
        <v>390</v>
      </c>
      <c r="I52" s="437">
        <v>940</v>
      </c>
      <c r="J52" s="438" t="s">
        <v>731</v>
      </c>
      <c r="K52" s="436">
        <v>350</v>
      </c>
      <c r="L52" s="437">
        <v>900</v>
      </c>
      <c r="M52" s="438" t="s">
        <v>287</v>
      </c>
      <c r="N52" s="439">
        <v>7790</v>
      </c>
      <c r="O52" s="440">
        <v>70</v>
      </c>
      <c r="P52" s="441"/>
      <c r="Q52" s="441"/>
      <c r="R52" s="1279"/>
      <c r="S52" s="1282"/>
      <c r="T52" s="393" t="s">
        <v>292</v>
      </c>
      <c r="U52" s="442">
        <v>2800</v>
      </c>
      <c r="V52" s="443">
        <v>3100</v>
      </c>
      <c r="W52" s="441">
        <v>3590</v>
      </c>
      <c r="X52" s="444"/>
      <c r="Y52" s="1285"/>
      <c r="Z52" s="1301"/>
      <c r="AA52" s="464"/>
      <c r="AB52" s="1287"/>
      <c r="AC52" s="1290"/>
      <c r="AD52" s="1293"/>
      <c r="AE52" s="1295"/>
      <c r="AF52" s="1295"/>
      <c r="AG52" s="1298"/>
      <c r="AH52" s="1270"/>
      <c r="AJ52" s="209" t="s">
        <v>367</v>
      </c>
      <c r="AK52" s="157" t="s">
        <v>335</v>
      </c>
      <c r="AL52" s="158">
        <v>2678</v>
      </c>
      <c r="AM52" s="207">
        <v>2427</v>
      </c>
      <c r="AN52" s="156"/>
      <c r="AO52" s="153"/>
    </row>
    <row r="53" spans="1:81" ht="13.5" customHeight="1">
      <c r="A53" s="431" t="s">
        <v>291</v>
      </c>
      <c r="B53" s="432" t="s">
        <v>311</v>
      </c>
      <c r="C53" s="433" t="s">
        <v>337</v>
      </c>
      <c r="D53" s="434">
        <v>105160</v>
      </c>
      <c r="E53" s="435">
        <v>183120</v>
      </c>
      <c r="F53" s="434">
        <v>101130</v>
      </c>
      <c r="G53" s="435">
        <v>179090</v>
      </c>
      <c r="H53" s="436">
        <v>940</v>
      </c>
      <c r="I53" s="437">
        <v>1720</v>
      </c>
      <c r="J53" s="438" t="s">
        <v>731</v>
      </c>
      <c r="K53" s="436">
        <v>900</v>
      </c>
      <c r="L53" s="437">
        <v>1680</v>
      </c>
      <c r="M53" s="438" t="s">
        <v>287</v>
      </c>
      <c r="N53" s="446"/>
      <c r="O53" s="447"/>
      <c r="P53" s="441"/>
      <c r="Q53" s="441"/>
      <c r="R53" s="1279"/>
      <c r="S53" s="1282"/>
      <c r="T53" s="393" t="s">
        <v>293</v>
      </c>
      <c r="U53" s="442">
        <v>2400</v>
      </c>
      <c r="V53" s="443">
        <v>2700</v>
      </c>
      <c r="W53" s="441">
        <v>3590</v>
      </c>
      <c r="X53" s="444"/>
      <c r="Y53" s="448"/>
      <c r="Z53" s="1301"/>
      <c r="AA53" s="464"/>
      <c r="AB53" s="1287"/>
      <c r="AC53" s="1290"/>
      <c r="AD53" s="1271">
        <v>0.01</v>
      </c>
      <c r="AE53" s="1273">
        <v>0.03</v>
      </c>
      <c r="AF53" s="1273">
        <v>0.04</v>
      </c>
      <c r="AG53" s="1275">
        <v>0.06</v>
      </c>
      <c r="AH53" s="1277">
        <v>0.97</v>
      </c>
      <c r="AJ53" s="210" t="s">
        <v>367</v>
      </c>
      <c r="AK53" s="159" t="s">
        <v>333</v>
      </c>
      <c r="AL53" s="158">
        <v>2136</v>
      </c>
      <c r="AM53" s="207">
        <v>1885</v>
      </c>
      <c r="AN53" s="156"/>
      <c r="AO53" s="153"/>
    </row>
    <row r="54" spans="1:81" ht="13.5" customHeight="1">
      <c r="A54" s="431" t="s">
        <v>291</v>
      </c>
      <c r="B54" s="449" t="s">
        <v>311</v>
      </c>
      <c r="C54" s="450" t="s">
        <v>338</v>
      </c>
      <c r="D54" s="451">
        <v>183120</v>
      </c>
      <c r="E54" s="452"/>
      <c r="F54" s="451">
        <v>179090</v>
      </c>
      <c r="G54" s="452"/>
      <c r="H54" s="439">
        <v>1720</v>
      </c>
      <c r="I54" s="453"/>
      <c r="J54" s="454" t="s">
        <v>731</v>
      </c>
      <c r="K54" s="439">
        <v>1680</v>
      </c>
      <c r="L54" s="453"/>
      <c r="M54" s="454" t="s">
        <v>287</v>
      </c>
      <c r="N54" s="446"/>
      <c r="O54" s="455"/>
      <c r="P54" s="462"/>
      <c r="Q54" s="462"/>
      <c r="R54" s="1280"/>
      <c r="S54" s="1283"/>
      <c r="T54" s="456" t="s">
        <v>294</v>
      </c>
      <c r="U54" s="457">
        <v>2200</v>
      </c>
      <c r="V54" s="458">
        <v>2400</v>
      </c>
      <c r="W54" s="459">
        <v>3590</v>
      </c>
      <c r="X54" s="460"/>
      <c r="Y54" s="448"/>
      <c r="Z54" s="1301"/>
      <c r="AA54" s="464"/>
      <c r="AB54" s="1288"/>
      <c r="AC54" s="1291"/>
      <c r="AD54" s="1272"/>
      <c r="AE54" s="1274"/>
      <c r="AF54" s="1274"/>
      <c r="AG54" s="1276"/>
      <c r="AH54" s="1277"/>
      <c r="AJ54" s="209" t="s">
        <v>368</v>
      </c>
      <c r="AK54" s="154" t="s">
        <v>338</v>
      </c>
      <c r="AL54" s="158">
        <v>11831</v>
      </c>
      <c r="AM54" s="207">
        <v>11599</v>
      </c>
      <c r="AN54" s="156"/>
      <c r="AO54" s="153"/>
    </row>
    <row r="55" spans="1:81" ht="13.5" customHeight="1">
      <c r="A55" s="431" t="s">
        <v>291</v>
      </c>
      <c r="B55" s="416" t="s">
        <v>312</v>
      </c>
      <c r="C55" s="417" t="s">
        <v>334</v>
      </c>
      <c r="D55" s="418">
        <v>33610</v>
      </c>
      <c r="E55" s="419">
        <v>41400</v>
      </c>
      <c r="F55" s="418">
        <v>29870</v>
      </c>
      <c r="G55" s="419">
        <v>37660</v>
      </c>
      <c r="H55" s="420">
        <v>310</v>
      </c>
      <c r="I55" s="421">
        <v>380</v>
      </c>
      <c r="J55" s="422" t="s">
        <v>731</v>
      </c>
      <c r="K55" s="420">
        <v>280</v>
      </c>
      <c r="L55" s="421">
        <v>350</v>
      </c>
      <c r="M55" s="422" t="s">
        <v>287</v>
      </c>
      <c r="N55" s="423">
        <v>7790</v>
      </c>
      <c r="O55" s="424">
        <v>70</v>
      </c>
      <c r="P55" s="441"/>
      <c r="Q55" s="441"/>
      <c r="R55" s="1278">
        <v>2600</v>
      </c>
      <c r="S55" s="1281">
        <v>2800</v>
      </c>
      <c r="T55" s="426" t="s">
        <v>288</v>
      </c>
      <c r="U55" s="427">
        <v>5500</v>
      </c>
      <c r="V55" s="428">
        <v>6200</v>
      </c>
      <c r="W55" s="425">
        <v>3340</v>
      </c>
      <c r="X55" s="429">
        <v>30</v>
      </c>
      <c r="Y55" s="1284">
        <v>4500</v>
      </c>
      <c r="Z55" s="1301"/>
      <c r="AA55" s="464"/>
      <c r="AB55" s="1286">
        <v>3880</v>
      </c>
      <c r="AC55" s="1289">
        <v>30</v>
      </c>
      <c r="AD55" s="1292" t="s">
        <v>290</v>
      </c>
      <c r="AE55" s="1294" t="s">
        <v>290</v>
      </c>
      <c r="AF55" s="1294" t="s">
        <v>290</v>
      </c>
      <c r="AG55" s="1297" t="s">
        <v>290</v>
      </c>
      <c r="AH55" s="1269" t="s">
        <v>296</v>
      </c>
      <c r="AJ55" s="209" t="s">
        <v>368</v>
      </c>
      <c r="AK55" s="157" t="s">
        <v>337</v>
      </c>
      <c r="AL55" s="158">
        <v>6410</v>
      </c>
      <c r="AM55" s="207">
        <v>6178</v>
      </c>
      <c r="AN55" s="156"/>
      <c r="AO55" s="153"/>
    </row>
    <row r="56" spans="1:81" ht="13.5" customHeight="1">
      <c r="A56" s="431" t="s">
        <v>291</v>
      </c>
      <c r="B56" s="432" t="s">
        <v>312</v>
      </c>
      <c r="C56" s="433" t="s">
        <v>336</v>
      </c>
      <c r="D56" s="434">
        <v>41400</v>
      </c>
      <c r="E56" s="435">
        <v>104000</v>
      </c>
      <c r="F56" s="434">
        <v>37660</v>
      </c>
      <c r="G56" s="435">
        <v>100260</v>
      </c>
      <c r="H56" s="436">
        <v>380</v>
      </c>
      <c r="I56" s="437">
        <v>930</v>
      </c>
      <c r="J56" s="438" t="s">
        <v>731</v>
      </c>
      <c r="K56" s="436">
        <v>350</v>
      </c>
      <c r="L56" s="437">
        <v>890</v>
      </c>
      <c r="M56" s="438" t="s">
        <v>287</v>
      </c>
      <c r="N56" s="439">
        <v>7790</v>
      </c>
      <c r="O56" s="440">
        <v>70</v>
      </c>
      <c r="P56" s="441"/>
      <c r="Q56" s="441"/>
      <c r="R56" s="1279"/>
      <c r="S56" s="1282"/>
      <c r="T56" s="393" t="s">
        <v>292</v>
      </c>
      <c r="U56" s="442">
        <v>3000</v>
      </c>
      <c r="V56" s="443">
        <v>3400</v>
      </c>
      <c r="W56" s="441">
        <v>3340</v>
      </c>
      <c r="X56" s="444"/>
      <c r="Y56" s="1285"/>
      <c r="Z56" s="1301"/>
      <c r="AA56" s="464"/>
      <c r="AB56" s="1287"/>
      <c r="AC56" s="1290"/>
      <c r="AD56" s="1293"/>
      <c r="AE56" s="1295"/>
      <c r="AF56" s="1295"/>
      <c r="AG56" s="1298"/>
      <c r="AH56" s="1270"/>
      <c r="AJ56" s="209" t="s">
        <v>368</v>
      </c>
      <c r="AK56" s="157" t="s">
        <v>335</v>
      </c>
      <c r="AL56" s="158">
        <v>2616</v>
      </c>
      <c r="AM56" s="207">
        <v>2384</v>
      </c>
      <c r="AN56" s="156"/>
      <c r="AO56" s="153"/>
    </row>
    <row r="57" spans="1:81" ht="13.5" customHeight="1">
      <c r="A57" s="431" t="s">
        <v>291</v>
      </c>
      <c r="B57" s="432" t="s">
        <v>312</v>
      </c>
      <c r="C57" s="433" t="s">
        <v>337</v>
      </c>
      <c r="D57" s="434">
        <v>104000</v>
      </c>
      <c r="E57" s="435">
        <v>181960</v>
      </c>
      <c r="F57" s="434">
        <v>100260</v>
      </c>
      <c r="G57" s="435">
        <v>178220</v>
      </c>
      <c r="H57" s="436">
        <v>930</v>
      </c>
      <c r="I57" s="437">
        <v>1710</v>
      </c>
      <c r="J57" s="438" t="s">
        <v>731</v>
      </c>
      <c r="K57" s="436">
        <v>890</v>
      </c>
      <c r="L57" s="437">
        <v>1670</v>
      </c>
      <c r="M57" s="438" t="s">
        <v>287</v>
      </c>
      <c r="N57" s="446"/>
      <c r="O57" s="447"/>
      <c r="P57" s="462"/>
      <c r="Q57" s="462"/>
      <c r="R57" s="1279"/>
      <c r="S57" s="1282"/>
      <c r="T57" s="393" t="s">
        <v>293</v>
      </c>
      <c r="U57" s="442">
        <v>2600</v>
      </c>
      <c r="V57" s="443">
        <v>2900</v>
      </c>
      <c r="W57" s="441">
        <v>3340</v>
      </c>
      <c r="X57" s="444"/>
      <c r="Y57" s="448"/>
      <c r="Z57" s="1301"/>
      <c r="AA57" s="464"/>
      <c r="AB57" s="1287"/>
      <c r="AC57" s="1290"/>
      <c r="AD57" s="1271">
        <v>0.01</v>
      </c>
      <c r="AE57" s="1273">
        <v>0.03</v>
      </c>
      <c r="AF57" s="1273">
        <v>0.04</v>
      </c>
      <c r="AG57" s="1275">
        <v>0.06</v>
      </c>
      <c r="AH57" s="1277">
        <v>0.98</v>
      </c>
      <c r="AJ57" s="210" t="s">
        <v>368</v>
      </c>
      <c r="AK57" s="159" t="s">
        <v>333</v>
      </c>
      <c r="AL57" s="158">
        <v>2074</v>
      </c>
      <c r="AM57" s="207">
        <v>1842</v>
      </c>
      <c r="AN57" s="156"/>
      <c r="AO57" s="153"/>
      <c r="BA57" s="968" t="s">
        <v>701</v>
      </c>
      <c r="BB57" s="969">
        <f>基本情報!G7</f>
        <v>0</v>
      </c>
    </row>
    <row r="58" spans="1:81" ht="13.5" customHeight="1">
      <c r="A58" s="431" t="s">
        <v>291</v>
      </c>
      <c r="B58" s="449" t="s">
        <v>312</v>
      </c>
      <c r="C58" s="450" t="s">
        <v>338</v>
      </c>
      <c r="D58" s="451">
        <v>181960</v>
      </c>
      <c r="E58" s="452"/>
      <c r="F58" s="451">
        <v>178220</v>
      </c>
      <c r="G58" s="452"/>
      <c r="H58" s="439">
        <v>1710</v>
      </c>
      <c r="I58" s="453"/>
      <c r="J58" s="454" t="s">
        <v>731</v>
      </c>
      <c r="K58" s="439">
        <v>1670</v>
      </c>
      <c r="L58" s="453"/>
      <c r="M58" s="454" t="s">
        <v>287</v>
      </c>
      <c r="N58" s="446"/>
      <c r="O58" s="455"/>
      <c r="P58" s="441"/>
      <c r="Q58" s="441"/>
      <c r="R58" s="1280"/>
      <c r="S58" s="1283"/>
      <c r="T58" s="456" t="s">
        <v>294</v>
      </c>
      <c r="U58" s="457">
        <v>2400</v>
      </c>
      <c r="V58" s="458">
        <v>2600</v>
      </c>
      <c r="W58" s="459">
        <v>3340</v>
      </c>
      <c r="X58" s="460"/>
      <c r="Y58" s="448"/>
      <c r="Z58" s="1301"/>
      <c r="AA58" s="464"/>
      <c r="AB58" s="1288"/>
      <c r="AC58" s="1291"/>
      <c r="AD58" s="1272"/>
      <c r="AE58" s="1274"/>
      <c r="AF58" s="1274"/>
      <c r="AG58" s="1276"/>
      <c r="AH58" s="1277"/>
      <c r="AJ58" s="209" t="s">
        <v>369</v>
      </c>
      <c r="AK58" s="154" t="s">
        <v>338</v>
      </c>
      <c r="AL58" s="158">
        <v>11781</v>
      </c>
      <c r="AM58" s="207">
        <v>11564</v>
      </c>
      <c r="AN58" s="156"/>
      <c r="AO58" s="153"/>
      <c r="BA58" s="968" t="s">
        <v>702</v>
      </c>
      <c r="BB58" s="969">
        <f>基本情報!E7</f>
        <v>0</v>
      </c>
    </row>
    <row r="59" spans="1:81" ht="13.5" customHeight="1" thickBot="1">
      <c r="A59" s="431" t="s">
        <v>291</v>
      </c>
      <c r="B59" s="416" t="s">
        <v>313</v>
      </c>
      <c r="C59" s="417" t="s">
        <v>334</v>
      </c>
      <c r="D59" s="418">
        <v>32580</v>
      </c>
      <c r="E59" s="419">
        <v>40370</v>
      </c>
      <c r="F59" s="418">
        <v>29100</v>
      </c>
      <c r="G59" s="419">
        <v>36890</v>
      </c>
      <c r="H59" s="420">
        <v>300</v>
      </c>
      <c r="I59" s="421">
        <v>370</v>
      </c>
      <c r="J59" s="422" t="s">
        <v>731</v>
      </c>
      <c r="K59" s="420">
        <v>270</v>
      </c>
      <c r="L59" s="421">
        <v>340</v>
      </c>
      <c r="M59" s="422" t="s">
        <v>287</v>
      </c>
      <c r="N59" s="423">
        <v>7790</v>
      </c>
      <c r="O59" s="424">
        <v>70</v>
      </c>
      <c r="P59" s="441"/>
      <c r="Q59" s="441"/>
      <c r="R59" s="1278">
        <v>2400</v>
      </c>
      <c r="S59" s="1281">
        <v>2600</v>
      </c>
      <c r="T59" s="426" t="s">
        <v>288</v>
      </c>
      <c r="U59" s="427">
        <v>5400</v>
      </c>
      <c r="V59" s="428">
        <v>6000</v>
      </c>
      <c r="W59" s="425">
        <v>3110</v>
      </c>
      <c r="X59" s="429">
        <v>30</v>
      </c>
      <c r="Y59" s="1284">
        <v>4500</v>
      </c>
      <c r="Z59" s="1301"/>
      <c r="AA59" s="464"/>
      <c r="AB59" s="1286">
        <v>3620</v>
      </c>
      <c r="AC59" s="1289">
        <v>30</v>
      </c>
      <c r="AD59" s="1292" t="s">
        <v>290</v>
      </c>
      <c r="AE59" s="1294" t="s">
        <v>290</v>
      </c>
      <c r="AF59" s="1294" t="s">
        <v>290</v>
      </c>
      <c r="AG59" s="1297" t="s">
        <v>290</v>
      </c>
      <c r="AH59" s="1269" t="s">
        <v>296</v>
      </c>
      <c r="AJ59" s="209" t="s">
        <v>369</v>
      </c>
      <c r="AK59" s="157" t="s">
        <v>337</v>
      </c>
      <c r="AL59" s="158">
        <v>6360</v>
      </c>
      <c r="AM59" s="207">
        <v>6143</v>
      </c>
      <c r="AN59" s="156"/>
      <c r="AO59" s="153"/>
      <c r="BA59" s="968" t="s">
        <v>682</v>
      </c>
      <c r="BB59" s="969">
        <f>基本情報!C7</f>
        <v>0</v>
      </c>
    </row>
    <row r="60" spans="1:81" ht="13.5" customHeight="1">
      <c r="A60" s="431" t="s">
        <v>291</v>
      </c>
      <c r="B60" s="432" t="s">
        <v>313</v>
      </c>
      <c r="C60" s="433" t="s">
        <v>336</v>
      </c>
      <c r="D60" s="434">
        <v>40370</v>
      </c>
      <c r="E60" s="435">
        <v>102970</v>
      </c>
      <c r="F60" s="434">
        <v>36890</v>
      </c>
      <c r="G60" s="435">
        <v>99490</v>
      </c>
      <c r="H60" s="436">
        <v>370</v>
      </c>
      <c r="I60" s="437">
        <v>920</v>
      </c>
      <c r="J60" s="438" t="s">
        <v>731</v>
      </c>
      <c r="K60" s="436">
        <v>340</v>
      </c>
      <c r="L60" s="437">
        <v>880</v>
      </c>
      <c r="M60" s="438" t="s">
        <v>287</v>
      </c>
      <c r="N60" s="439">
        <v>7790</v>
      </c>
      <c r="O60" s="440">
        <v>70</v>
      </c>
      <c r="P60" s="462"/>
      <c r="Q60" s="462"/>
      <c r="R60" s="1279"/>
      <c r="S60" s="1282"/>
      <c r="T60" s="393" t="s">
        <v>292</v>
      </c>
      <c r="U60" s="442">
        <v>2900</v>
      </c>
      <c r="V60" s="443">
        <v>3300</v>
      </c>
      <c r="W60" s="441">
        <v>3110</v>
      </c>
      <c r="X60" s="444"/>
      <c r="Y60" s="1285"/>
      <c r="Z60" s="1301"/>
      <c r="AA60" s="464"/>
      <c r="AB60" s="1287"/>
      <c r="AC60" s="1290"/>
      <c r="AD60" s="1293"/>
      <c r="AE60" s="1295"/>
      <c r="AF60" s="1295"/>
      <c r="AG60" s="1298"/>
      <c r="AH60" s="1270"/>
      <c r="AJ60" s="209" t="s">
        <v>369</v>
      </c>
      <c r="AK60" s="157" t="s">
        <v>335</v>
      </c>
      <c r="AL60" s="158">
        <v>2566</v>
      </c>
      <c r="AM60" s="207">
        <v>2349</v>
      </c>
      <c r="AN60" s="156"/>
      <c r="AO60" s="153"/>
      <c r="BA60" s="1388" t="s">
        <v>548</v>
      </c>
      <c r="BB60" s="1389"/>
      <c r="BC60" s="1389"/>
      <c r="BD60" s="1390"/>
      <c r="BE60" s="1388" t="s">
        <v>613</v>
      </c>
      <c r="BF60" s="1389"/>
      <c r="BG60" s="1390"/>
      <c r="BH60" s="1388" t="s">
        <v>615</v>
      </c>
      <c r="BI60" s="1389"/>
      <c r="BJ60" s="1389"/>
      <c r="BK60" s="1390"/>
      <c r="BL60" s="1391" t="s">
        <v>619</v>
      </c>
      <c r="BM60" s="1392"/>
      <c r="BN60" s="1392"/>
      <c r="BO60" s="1392"/>
      <c r="BP60" s="1392"/>
      <c r="BQ60" s="1393"/>
      <c r="BR60" s="1391" t="s">
        <v>622</v>
      </c>
      <c r="BS60" s="1393"/>
      <c r="BT60" s="1391" t="s">
        <v>623</v>
      </c>
      <c r="BU60" s="1393"/>
      <c r="BV60" s="1391" t="s">
        <v>624</v>
      </c>
      <c r="BW60" s="1392"/>
      <c r="BX60" s="1392"/>
      <c r="BY60" s="1393"/>
      <c r="BZ60" s="1391" t="s">
        <v>626</v>
      </c>
      <c r="CA60" s="1393"/>
      <c r="CB60" s="1391" t="s">
        <v>625</v>
      </c>
      <c r="CC60" s="1393"/>
    </row>
    <row r="61" spans="1:81" ht="13.5" customHeight="1">
      <c r="A61" s="431" t="s">
        <v>291</v>
      </c>
      <c r="B61" s="432" t="s">
        <v>313</v>
      </c>
      <c r="C61" s="433" t="s">
        <v>337</v>
      </c>
      <c r="D61" s="434">
        <v>102970</v>
      </c>
      <c r="E61" s="435">
        <v>180930</v>
      </c>
      <c r="F61" s="434">
        <v>99490</v>
      </c>
      <c r="G61" s="435">
        <v>177450</v>
      </c>
      <c r="H61" s="436">
        <v>920</v>
      </c>
      <c r="I61" s="437">
        <v>1700</v>
      </c>
      <c r="J61" s="438" t="s">
        <v>731</v>
      </c>
      <c r="K61" s="436">
        <v>880</v>
      </c>
      <c r="L61" s="437">
        <v>1660</v>
      </c>
      <c r="M61" s="438" t="s">
        <v>287</v>
      </c>
      <c r="N61" s="446"/>
      <c r="O61" s="447"/>
      <c r="P61" s="441"/>
      <c r="Q61" s="441"/>
      <c r="R61" s="1279"/>
      <c r="S61" s="1282"/>
      <c r="T61" s="393" t="s">
        <v>293</v>
      </c>
      <c r="U61" s="442">
        <v>2500</v>
      </c>
      <c r="V61" s="443">
        <v>2800</v>
      </c>
      <c r="W61" s="441">
        <v>3110</v>
      </c>
      <c r="X61" s="444"/>
      <c r="Y61" s="448"/>
      <c r="Z61" s="1301"/>
      <c r="AA61" s="464"/>
      <c r="AB61" s="1287"/>
      <c r="AC61" s="1290"/>
      <c r="AD61" s="1271">
        <v>0.01</v>
      </c>
      <c r="AE61" s="1273">
        <v>0.03</v>
      </c>
      <c r="AF61" s="1273">
        <v>0.04</v>
      </c>
      <c r="AG61" s="1275">
        <v>0.06</v>
      </c>
      <c r="AH61" s="1277">
        <v>0.98</v>
      </c>
      <c r="AJ61" s="210" t="s">
        <v>369</v>
      </c>
      <c r="AK61" s="159" t="s">
        <v>333</v>
      </c>
      <c r="AL61" s="158">
        <v>2024</v>
      </c>
      <c r="AM61" s="207">
        <v>1807</v>
      </c>
      <c r="AN61" s="156"/>
      <c r="AO61" s="153"/>
      <c r="BA61" s="1394" t="s">
        <v>612</v>
      </c>
      <c r="BB61" s="1396" t="s">
        <v>550</v>
      </c>
      <c r="BC61" s="1397"/>
      <c r="BD61" s="1398"/>
      <c r="BE61" s="1394" t="s">
        <v>612</v>
      </c>
      <c r="BF61" s="1399" t="s">
        <v>550</v>
      </c>
      <c r="BG61" s="1400"/>
      <c r="BH61" s="1401" t="s">
        <v>612</v>
      </c>
      <c r="BI61" s="1399" t="s">
        <v>620</v>
      </c>
      <c r="BJ61" s="1403"/>
      <c r="BK61" s="1400"/>
      <c r="BL61" s="1404" t="s">
        <v>612</v>
      </c>
      <c r="BM61" s="1405" t="s">
        <v>621</v>
      </c>
      <c r="BN61" s="1405"/>
      <c r="BO61" s="1405"/>
      <c r="BP61" s="1405"/>
      <c r="BQ61" s="1406"/>
      <c r="BR61" s="1407" t="s">
        <v>612</v>
      </c>
      <c r="BS61" s="1406" t="s">
        <v>620</v>
      </c>
      <c r="BT61" s="1407" t="s">
        <v>612</v>
      </c>
      <c r="BU61" s="1406" t="s">
        <v>620</v>
      </c>
      <c r="BV61" s="1404" t="s">
        <v>612</v>
      </c>
      <c r="BW61" s="1405" t="s">
        <v>620</v>
      </c>
      <c r="BX61" s="1405"/>
      <c r="BY61" s="1406"/>
      <c r="BZ61" s="1407" t="s">
        <v>612</v>
      </c>
      <c r="CA61" s="1406" t="s">
        <v>620</v>
      </c>
      <c r="CB61" s="1407" t="s">
        <v>612</v>
      </c>
      <c r="CC61" s="1406" t="s">
        <v>620</v>
      </c>
    </row>
    <row r="62" spans="1:81" ht="13.5" customHeight="1">
      <c r="A62" s="431" t="s">
        <v>291</v>
      </c>
      <c r="B62" s="449" t="s">
        <v>313</v>
      </c>
      <c r="C62" s="450" t="s">
        <v>338</v>
      </c>
      <c r="D62" s="451">
        <v>180930</v>
      </c>
      <c r="E62" s="452"/>
      <c r="F62" s="451">
        <v>177450</v>
      </c>
      <c r="G62" s="452"/>
      <c r="H62" s="439">
        <v>1700</v>
      </c>
      <c r="I62" s="453"/>
      <c r="J62" s="454" t="s">
        <v>731</v>
      </c>
      <c r="K62" s="439">
        <v>1660</v>
      </c>
      <c r="L62" s="453"/>
      <c r="M62" s="454" t="s">
        <v>287</v>
      </c>
      <c r="N62" s="446"/>
      <c r="O62" s="455"/>
      <c r="P62" s="441"/>
      <c r="Q62" s="441"/>
      <c r="R62" s="1280"/>
      <c r="S62" s="1283"/>
      <c r="T62" s="456" t="s">
        <v>294</v>
      </c>
      <c r="U62" s="457">
        <v>2300</v>
      </c>
      <c r="V62" s="458">
        <v>2500</v>
      </c>
      <c r="W62" s="459">
        <v>3110</v>
      </c>
      <c r="X62" s="460"/>
      <c r="Y62" s="448"/>
      <c r="Z62" s="1301"/>
      <c r="AA62" s="464"/>
      <c r="AB62" s="1288"/>
      <c r="AC62" s="1291"/>
      <c r="AD62" s="1272"/>
      <c r="AE62" s="1274"/>
      <c r="AF62" s="1274"/>
      <c r="AG62" s="1276"/>
      <c r="AH62" s="1277"/>
      <c r="AJ62" s="209" t="s">
        <v>370</v>
      </c>
      <c r="AK62" s="154" t="s">
        <v>338</v>
      </c>
      <c r="AL62" s="158">
        <v>11732</v>
      </c>
      <c r="AM62" s="207">
        <v>11529</v>
      </c>
      <c r="AN62" s="156"/>
      <c r="AO62" s="153"/>
      <c r="BA62" s="1395"/>
      <c r="BB62" s="849" t="s">
        <v>609</v>
      </c>
      <c r="BC62" s="849" t="s">
        <v>610</v>
      </c>
      <c r="BD62" s="850" t="s">
        <v>611</v>
      </c>
      <c r="BE62" s="1395"/>
      <c r="BF62" s="970" t="s">
        <v>700</v>
      </c>
      <c r="BG62" s="971" t="s">
        <v>685</v>
      </c>
      <c r="BH62" s="1402"/>
      <c r="BI62" s="972" t="s">
        <v>617</v>
      </c>
      <c r="BJ62" s="970" t="s">
        <v>700</v>
      </c>
      <c r="BK62" s="971" t="s">
        <v>685</v>
      </c>
      <c r="BL62" s="1394"/>
      <c r="BM62" s="849" t="s">
        <v>616</v>
      </c>
      <c r="BN62" s="849" t="s">
        <v>618</v>
      </c>
      <c r="BO62" s="851" t="s">
        <v>614</v>
      </c>
      <c r="BP62" s="970" t="s">
        <v>700</v>
      </c>
      <c r="BQ62" s="971" t="s">
        <v>685</v>
      </c>
      <c r="BR62" s="1408"/>
      <c r="BS62" s="1409"/>
      <c r="BT62" s="1408"/>
      <c r="BU62" s="1409"/>
      <c r="BV62" s="1394"/>
      <c r="BW62" s="849" t="s">
        <v>617</v>
      </c>
      <c r="BX62" s="966" t="s">
        <v>700</v>
      </c>
      <c r="BY62" s="967" t="s">
        <v>685</v>
      </c>
      <c r="BZ62" s="1408"/>
      <c r="CA62" s="1409"/>
      <c r="CB62" s="1408"/>
      <c r="CC62" s="1409"/>
    </row>
    <row r="63" spans="1:81" ht="14.25" customHeight="1" thickBot="1">
      <c r="A63" s="431" t="s">
        <v>291</v>
      </c>
      <c r="B63" s="416" t="s">
        <v>314</v>
      </c>
      <c r="C63" s="417" t="s">
        <v>334</v>
      </c>
      <c r="D63" s="418">
        <v>32550</v>
      </c>
      <c r="E63" s="419">
        <v>40340</v>
      </c>
      <c r="F63" s="418">
        <v>29280</v>
      </c>
      <c r="G63" s="419">
        <v>37070</v>
      </c>
      <c r="H63" s="420">
        <v>300</v>
      </c>
      <c r="I63" s="421">
        <v>370</v>
      </c>
      <c r="J63" s="422" t="s">
        <v>731</v>
      </c>
      <c r="K63" s="420">
        <v>270</v>
      </c>
      <c r="L63" s="421">
        <v>340</v>
      </c>
      <c r="M63" s="422" t="s">
        <v>287</v>
      </c>
      <c r="N63" s="423">
        <v>7790</v>
      </c>
      <c r="O63" s="424">
        <v>70</v>
      </c>
      <c r="P63" s="462"/>
      <c r="Q63" s="462"/>
      <c r="R63" s="1278">
        <v>2200</v>
      </c>
      <c r="S63" s="1281">
        <v>2500</v>
      </c>
      <c r="T63" s="426" t="s">
        <v>288</v>
      </c>
      <c r="U63" s="427">
        <v>4800</v>
      </c>
      <c r="V63" s="428">
        <v>5400</v>
      </c>
      <c r="W63" s="425">
        <v>2920</v>
      </c>
      <c r="X63" s="429">
        <v>20</v>
      </c>
      <c r="Y63" s="1284">
        <v>4500</v>
      </c>
      <c r="Z63" s="1301"/>
      <c r="AA63" s="464"/>
      <c r="AB63" s="1286">
        <v>3390</v>
      </c>
      <c r="AC63" s="1289">
        <v>30</v>
      </c>
      <c r="AD63" s="1292" t="s">
        <v>290</v>
      </c>
      <c r="AE63" s="1294" t="s">
        <v>290</v>
      </c>
      <c r="AF63" s="1294" t="s">
        <v>290</v>
      </c>
      <c r="AG63" s="1297" t="s">
        <v>290</v>
      </c>
      <c r="AH63" s="1269" t="s">
        <v>296</v>
      </c>
      <c r="AJ63" s="209" t="s">
        <v>370</v>
      </c>
      <c r="AK63" s="157" t="s">
        <v>337</v>
      </c>
      <c r="AL63" s="158">
        <v>6311</v>
      </c>
      <c r="AM63" s="207">
        <v>6108</v>
      </c>
      <c r="AN63" s="156"/>
      <c r="AO63" s="153"/>
      <c r="BA63" s="848" t="s">
        <v>631</v>
      </c>
      <c r="BB63" s="905" t="s">
        <v>633</v>
      </c>
      <c r="BC63" s="905" t="s">
        <v>635</v>
      </c>
      <c r="BD63" s="906" t="s">
        <v>637</v>
      </c>
      <c r="BE63" s="848" t="s">
        <v>639</v>
      </c>
      <c r="BF63" s="907" t="s">
        <v>641</v>
      </c>
      <c r="BG63" s="906" t="s">
        <v>643</v>
      </c>
      <c r="BH63" s="848" t="s">
        <v>645</v>
      </c>
      <c r="BI63" s="908" t="s">
        <v>647</v>
      </c>
      <c r="BJ63" s="907" t="s">
        <v>649</v>
      </c>
      <c r="BK63" s="909" t="s">
        <v>651</v>
      </c>
      <c r="BL63" s="848" t="s">
        <v>652</v>
      </c>
      <c r="BM63" s="905" t="s">
        <v>653</v>
      </c>
      <c r="BN63" s="905" t="s">
        <v>654</v>
      </c>
      <c r="BO63" s="910" t="s">
        <v>655</v>
      </c>
      <c r="BP63" s="905" t="s">
        <v>656</v>
      </c>
      <c r="BQ63" s="906" t="s">
        <v>657</v>
      </c>
      <c r="BR63" s="911" t="s">
        <v>658</v>
      </c>
      <c r="BS63" s="912" t="s">
        <v>659</v>
      </c>
      <c r="BT63" s="911" t="s">
        <v>660</v>
      </c>
      <c r="BU63" s="912" t="s">
        <v>661</v>
      </c>
      <c r="BV63" s="848" t="s">
        <v>662</v>
      </c>
      <c r="BW63" s="905" t="s">
        <v>663</v>
      </c>
      <c r="BX63" s="905" t="s">
        <v>664</v>
      </c>
      <c r="BY63" s="906" t="s">
        <v>665</v>
      </c>
      <c r="BZ63" s="911" t="s">
        <v>666</v>
      </c>
      <c r="CA63" s="912" t="s">
        <v>667</v>
      </c>
      <c r="CB63" s="911" t="s">
        <v>668</v>
      </c>
      <c r="CC63" s="912" t="s">
        <v>669</v>
      </c>
    </row>
    <row r="64" spans="1:81" ht="14.25" customHeight="1">
      <c r="A64" s="431" t="s">
        <v>291</v>
      </c>
      <c r="B64" s="432" t="s">
        <v>314</v>
      </c>
      <c r="C64" s="433" t="s">
        <v>336</v>
      </c>
      <c r="D64" s="434">
        <v>40340</v>
      </c>
      <c r="E64" s="435">
        <v>102940</v>
      </c>
      <c r="F64" s="434">
        <v>37070</v>
      </c>
      <c r="G64" s="435">
        <v>99670</v>
      </c>
      <c r="H64" s="436">
        <v>370</v>
      </c>
      <c r="I64" s="437">
        <v>920</v>
      </c>
      <c r="J64" s="438" t="s">
        <v>731</v>
      </c>
      <c r="K64" s="436">
        <v>340</v>
      </c>
      <c r="L64" s="437">
        <v>880</v>
      </c>
      <c r="M64" s="438" t="s">
        <v>287</v>
      </c>
      <c r="N64" s="439">
        <v>7790</v>
      </c>
      <c r="O64" s="440">
        <v>70</v>
      </c>
      <c r="P64" s="462"/>
      <c r="Q64" s="462"/>
      <c r="R64" s="1279"/>
      <c r="S64" s="1282"/>
      <c r="T64" s="393" t="s">
        <v>292</v>
      </c>
      <c r="U64" s="442">
        <v>2600</v>
      </c>
      <c r="V64" s="443">
        <v>2900</v>
      </c>
      <c r="W64" s="441">
        <v>2920</v>
      </c>
      <c r="X64" s="444"/>
      <c r="Y64" s="1285"/>
      <c r="Z64" s="1301"/>
      <c r="AA64" s="464"/>
      <c r="AB64" s="1287"/>
      <c r="AC64" s="1290"/>
      <c r="AD64" s="1293"/>
      <c r="AE64" s="1295"/>
      <c r="AF64" s="1295"/>
      <c r="AG64" s="1298"/>
      <c r="AH64" s="1270"/>
      <c r="AJ64" s="209" t="s">
        <v>370</v>
      </c>
      <c r="AK64" s="157" t="s">
        <v>335</v>
      </c>
      <c r="AL64" s="158">
        <v>2517</v>
      </c>
      <c r="AM64" s="207">
        <v>2314</v>
      </c>
      <c r="AN64" s="156"/>
      <c r="AO64" s="153"/>
      <c r="AY64" s="852" t="s">
        <v>627</v>
      </c>
      <c r="AZ64" s="853" t="s">
        <v>441</v>
      </c>
      <c r="BA64" s="857" t="e">
        <f>内訳計算!F4</f>
        <v>#VALUE!</v>
      </c>
      <c r="BB64" s="855" t="e">
        <f>BA64-BC64-BD64</f>
        <v>#VALUE!</v>
      </c>
      <c r="BC64" s="855">
        <f>内訳計算!G4</f>
        <v>1809</v>
      </c>
      <c r="BD64" s="856" t="e">
        <f>内訳計算!H4</f>
        <v>#N/A</v>
      </c>
      <c r="BE64" s="857" t="e">
        <f>基本情報!G7*AX7</f>
        <v>#VALUE!</v>
      </c>
      <c r="BF64" s="751" t="e">
        <f>BE64-BG64</f>
        <v>#VALUE!</v>
      </c>
      <c r="BG64" s="858" t="e">
        <f>AX7*BB59</f>
        <v>#VALUE!</v>
      </c>
      <c r="BH64" s="859"/>
      <c r="BI64" s="860"/>
      <c r="BJ64" s="861"/>
      <c r="BK64" s="862"/>
      <c r="BL64" s="863">
        <f>AU90+AV90*基本情報!G7</f>
        <v>0</v>
      </c>
      <c r="BM64" s="751">
        <f>AU90-BN64-BO64</f>
        <v>0</v>
      </c>
      <c r="BN64" s="751">
        <f>AW90</f>
        <v>0</v>
      </c>
      <c r="BO64" s="751">
        <f>AX90</f>
        <v>0</v>
      </c>
      <c r="BP64" s="751">
        <f>AV90*BB58</f>
        <v>0</v>
      </c>
      <c r="BQ64" s="858">
        <f>AV90*BB59</f>
        <v>0</v>
      </c>
      <c r="BR64" s="863">
        <f>加算と減算!R8</f>
        <v>0</v>
      </c>
      <c r="BS64" s="858">
        <f>加算と減算!R8</f>
        <v>0</v>
      </c>
      <c r="BT64" s="863">
        <f>加算と減算!R9</f>
        <v>0</v>
      </c>
      <c r="BU64" s="858">
        <f>加算と減算!R9</f>
        <v>0</v>
      </c>
      <c r="BV64" s="854" t="e">
        <f>BG39+BH39*基本情報!G7</f>
        <v>#VALUE!</v>
      </c>
      <c r="BW64" s="855" t="e">
        <f>BG39</f>
        <v>#VALUE!</v>
      </c>
      <c r="BX64" s="779" t="e">
        <f>BH39*BB58</f>
        <v>#VALUE!</v>
      </c>
      <c r="BY64" s="728" t="e">
        <f>BH39*BB59</f>
        <v>#VALUE!</v>
      </c>
      <c r="BZ64" s="863">
        <f>加算と減算!AH3</f>
        <v>4500</v>
      </c>
      <c r="CA64" s="858">
        <f>加算と減算!AH3</f>
        <v>4500</v>
      </c>
      <c r="CB64" s="863" t="str">
        <f>加算と減算!U18</f>
        <v/>
      </c>
      <c r="CC64" s="858" t="str">
        <f>加算と減算!U18</f>
        <v/>
      </c>
    </row>
    <row r="65" spans="1:81" ht="14.25" customHeight="1">
      <c r="A65" s="431" t="s">
        <v>291</v>
      </c>
      <c r="B65" s="432" t="s">
        <v>314</v>
      </c>
      <c r="C65" s="433" t="s">
        <v>337</v>
      </c>
      <c r="D65" s="434">
        <v>102940</v>
      </c>
      <c r="E65" s="435">
        <v>180900</v>
      </c>
      <c r="F65" s="434">
        <v>99670</v>
      </c>
      <c r="G65" s="435">
        <v>177630</v>
      </c>
      <c r="H65" s="436">
        <v>920</v>
      </c>
      <c r="I65" s="437">
        <v>1700</v>
      </c>
      <c r="J65" s="438" t="s">
        <v>731</v>
      </c>
      <c r="K65" s="436">
        <v>880</v>
      </c>
      <c r="L65" s="437">
        <v>1660</v>
      </c>
      <c r="M65" s="438" t="s">
        <v>287</v>
      </c>
      <c r="N65" s="446"/>
      <c r="O65" s="447"/>
      <c r="P65" s="462"/>
      <c r="Q65" s="462"/>
      <c r="R65" s="1279"/>
      <c r="S65" s="1282"/>
      <c r="T65" s="393" t="s">
        <v>293</v>
      </c>
      <c r="U65" s="442">
        <v>2300</v>
      </c>
      <c r="V65" s="443">
        <v>2500</v>
      </c>
      <c r="W65" s="441">
        <v>2920</v>
      </c>
      <c r="X65" s="444"/>
      <c r="Y65" s="448"/>
      <c r="Z65" s="1301"/>
      <c r="AA65" s="464"/>
      <c r="AB65" s="1287"/>
      <c r="AC65" s="1290"/>
      <c r="AD65" s="1271">
        <v>0.02</v>
      </c>
      <c r="AE65" s="1273">
        <v>0.03</v>
      </c>
      <c r="AF65" s="1273">
        <v>0.05</v>
      </c>
      <c r="AG65" s="1275">
        <v>0.06</v>
      </c>
      <c r="AH65" s="1277">
        <v>0.98</v>
      </c>
      <c r="AJ65" s="210" t="s">
        <v>370</v>
      </c>
      <c r="AK65" s="159" t="s">
        <v>333</v>
      </c>
      <c r="AL65" s="158">
        <v>1975</v>
      </c>
      <c r="AM65" s="207">
        <v>1772</v>
      </c>
      <c r="AN65" s="156"/>
      <c r="AO65" s="153"/>
      <c r="AY65" s="864" t="s">
        <v>627</v>
      </c>
      <c r="AZ65" s="865" t="s">
        <v>442</v>
      </c>
      <c r="BA65" s="843" t="e">
        <f>内訳計算!F5</f>
        <v>#VALUE!</v>
      </c>
      <c r="BB65" s="668" t="e">
        <f t="shared" ref="BB65:BB79" si="0">BA65-BC65-BD65</f>
        <v>#VALUE!</v>
      </c>
      <c r="BC65" s="668">
        <f>BC64</f>
        <v>1809</v>
      </c>
      <c r="BD65" s="840" t="e">
        <f>内訳計算!H5</f>
        <v>#N/A</v>
      </c>
      <c r="BE65" s="843" t="e">
        <f>基本情報!G7*AX9</f>
        <v>#VALUE!</v>
      </c>
      <c r="BF65" s="672" t="e">
        <f t="shared" ref="BF65:BF78" si="1">BE65-BG65</f>
        <v>#VALUE!</v>
      </c>
      <c r="BG65" s="839" t="e">
        <f>AX9*BB59</f>
        <v>#VALUE!</v>
      </c>
      <c r="BH65" s="842" t="e">
        <f>AV41+AW41*基本情報!G7</f>
        <v>#VALUE!</v>
      </c>
      <c r="BI65" s="844" t="e">
        <f>AV41</f>
        <v>#VALUE!</v>
      </c>
      <c r="BJ65" s="672" t="e">
        <f>+AW41*BB58</f>
        <v>#VALUE!</v>
      </c>
      <c r="BK65" s="839" t="e">
        <f>+AW41*BB59</f>
        <v>#VALUE!</v>
      </c>
      <c r="BL65" s="842">
        <f t="shared" ref="BL65:BQ65" si="2">BL64</f>
        <v>0</v>
      </c>
      <c r="BM65" s="672">
        <f t="shared" si="2"/>
        <v>0</v>
      </c>
      <c r="BN65" s="672">
        <f t="shared" si="2"/>
        <v>0</v>
      </c>
      <c r="BO65" s="672">
        <f t="shared" si="2"/>
        <v>0</v>
      </c>
      <c r="BP65" s="672">
        <f t="shared" si="2"/>
        <v>0</v>
      </c>
      <c r="BQ65" s="839">
        <f t="shared" si="2"/>
        <v>0</v>
      </c>
      <c r="BR65" s="842">
        <f>$BR$64</f>
        <v>0</v>
      </c>
      <c r="BS65" s="839">
        <f>$BS$64</f>
        <v>0</v>
      </c>
      <c r="BT65" s="842">
        <f>$BT$64</f>
        <v>0</v>
      </c>
      <c r="BU65" s="839">
        <f>$BU$64</f>
        <v>0</v>
      </c>
      <c r="BV65" s="841" t="e">
        <f>$BV$64</f>
        <v>#VALUE!</v>
      </c>
      <c r="BW65" s="668" t="e">
        <f>$BW$64</f>
        <v>#VALUE!</v>
      </c>
      <c r="BX65" s="673" t="e">
        <f>$BX$64</f>
        <v>#VALUE!</v>
      </c>
      <c r="BY65" s="729" t="e">
        <f>$BY$64</f>
        <v>#VALUE!</v>
      </c>
      <c r="BZ65" s="842">
        <f>$BZ$64</f>
        <v>4500</v>
      </c>
      <c r="CA65" s="839">
        <f>CA64</f>
        <v>4500</v>
      </c>
      <c r="CB65" s="842" t="str">
        <f>$CB$64</f>
        <v/>
      </c>
      <c r="CC65" s="839" t="str">
        <f>$CC$64</f>
        <v/>
      </c>
    </row>
    <row r="66" spans="1:81" ht="14.25" customHeight="1">
      <c r="A66" s="431" t="s">
        <v>291</v>
      </c>
      <c r="B66" s="449" t="s">
        <v>314</v>
      </c>
      <c r="C66" s="450" t="s">
        <v>338</v>
      </c>
      <c r="D66" s="451">
        <v>180900</v>
      </c>
      <c r="E66" s="452"/>
      <c r="F66" s="451">
        <v>177630</v>
      </c>
      <c r="G66" s="452"/>
      <c r="H66" s="439">
        <v>1700</v>
      </c>
      <c r="I66" s="453"/>
      <c r="J66" s="454" t="s">
        <v>731</v>
      </c>
      <c r="K66" s="439">
        <v>1660</v>
      </c>
      <c r="L66" s="453"/>
      <c r="M66" s="454" t="s">
        <v>287</v>
      </c>
      <c r="N66" s="446"/>
      <c r="O66" s="455"/>
      <c r="P66" s="462"/>
      <c r="Q66" s="462"/>
      <c r="R66" s="1280"/>
      <c r="S66" s="1283"/>
      <c r="T66" s="456" t="s">
        <v>294</v>
      </c>
      <c r="U66" s="457">
        <v>2000</v>
      </c>
      <c r="V66" s="458">
        <v>2300</v>
      </c>
      <c r="W66" s="459">
        <v>2920</v>
      </c>
      <c r="X66" s="460"/>
      <c r="Y66" s="448"/>
      <c r="Z66" s="1301"/>
      <c r="AA66" s="464"/>
      <c r="AB66" s="1288"/>
      <c r="AC66" s="1291"/>
      <c r="AD66" s="1272"/>
      <c r="AE66" s="1274"/>
      <c r="AF66" s="1274"/>
      <c r="AG66" s="1276"/>
      <c r="AH66" s="1277"/>
      <c r="AJ66" s="209" t="s">
        <v>371</v>
      </c>
      <c r="AK66" s="154" t="s">
        <v>338</v>
      </c>
      <c r="AL66" s="158">
        <v>11691</v>
      </c>
      <c r="AM66" s="207">
        <v>11500</v>
      </c>
      <c r="AN66" s="156"/>
      <c r="AO66" s="153"/>
      <c r="AY66" s="864" t="s">
        <v>627</v>
      </c>
      <c r="AZ66" s="865" t="s">
        <v>342</v>
      </c>
      <c r="BA66" s="843" t="e">
        <f>内訳計算!F6</f>
        <v>#VALUE!</v>
      </c>
      <c r="BB66" s="668" t="e">
        <f t="shared" si="0"/>
        <v>#VALUE!</v>
      </c>
      <c r="BC66" s="668">
        <f>内訳計算!G6</f>
        <v>10478</v>
      </c>
      <c r="BD66" s="840" t="e">
        <f>内訳計算!H6</f>
        <v>#N/A</v>
      </c>
      <c r="BE66" s="843" t="e">
        <f>基本情報!G7*AX11</f>
        <v>#VALUE!</v>
      </c>
      <c r="BF66" s="672" t="e">
        <f t="shared" si="1"/>
        <v>#VALUE!</v>
      </c>
      <c r="BG66" s="839" t="e">
        <f>AX11*BB59</f>
        <v>#VALUE!</v>
      </c>
      <c r="BH66" s="845"/>
      <c r="BI66" s="846"/>
      <c r="BJ66" s="776"/>
      <c r="BK66" s="847"/>
      <c r="BL66" s="842">
        <f>AU92+AV92*基本情報!G7</f>
        <v>0</v>
      </c>
      <c r="BM66" s="672">
        <f>AU92-BN66-BO66</f>
        <v>0</v>
      </c>
      <c r="BN66" s="672">
        <f>AW92</f>
        <v>0</v>
      </c>
      <c r="BO66" s="672">
        <f>AX92</f>
        <v>0</v>
      </c>
      <c r="BP66" s="672">
        <f>AV92*BB58</f>
        <v>0</v>
      </c>
      <c r="BQ66" s="839">
        <f>AV92*BB59</f>
        <v>0</v>
      </c>
      <c r="BR66" s="842">
        <f t="shared" ref="BR66:BR79" si="3">$BR$64</f>
        <v>0</v>
      </c>
      <c r="BS66" s="839">
        <f t="shared" ref="BS66:BS79" si="4">$BS$64</f>
        <v>0</v>
      </c>
      <c r="BT66" s="842">
        <f t="shared" ref="BT66:BT79" si="5">$BT$64</f>
        <v>0</v>
      </c>
      <c r="BU66" s="839">
        <f t="shared" ref="BU66:BU79" si="6">$BU$64</f>
        <v>0</v>
      </c>
      <c r="BV66" s="841" t="e">
        <f t="shared" ref="BV66:BV79" si="7">$BV$64</f>
        <v>#VALUE!</v>
      </c>
      <c r="BW66" s="668" t="e">
        <f t="shared" ref="BW66:BW79" si="8">$BW$64</f>
        <v>#VALUE!</v>
      </c>
      <c r="BX66" s="673" t="e">
        <f t="shared" ref="BX66:BX79" si="9">$BX$64</f>
        <v>#VALUE!</v>
      </c>
      <c r="BY66" s="729" t="e">
        <f t="shared" ref="BY66:BY79" si="10">$BY$64</f>
        <v>#VALUE!</v>
      </c>
      <c r="BZ66" s="842">
        <f t="shared" ref="BZ66:BZ79" si="11">$BZ$64</f>
        <v>4500</v>
      </c>
      <c r="CA66" s="839">
        <f t="shared" ref="CA66:CA79" si="12">CA65</f>
        <v>4500</v>
      </c>
      <c r="CB66" s="842" t="str">
        <f t="shared" ref="CB66:CB79" si="13">$CB$64</f>
        <v/>
      </c>
      <c r="CC66" s="839" t="str">
        <f t="shared" ref="CC66:CC79" si="14">$CC$64</f>
        <v/>
      </c>
    </row>
    <row r="67" spans="1:81" ht="14.25" customHeight="1" thickBot="1">
      <c r="A67" s="431" t="s">
        <v>291</v>
      </c>
      <c r="B67" s="416" t="s">
        <v>315</v>
      </c>
      <c r="C67" s="417" t="s">
        <v>334</v>
      </c>
      <c r="D67" s="418">
        <v>31730</v>
      </c>
      <c r="E67" s="419">
        <v>39520</v>
      </c>
      <c r="F67" s="418">
        <v>28650</v>
      </c>
      <c r="G67" s="419">
        <v>36440</v>
      </c>
      <c r="H67" s="420">
        <v>290</v>
      </c>
      <c r="I67" s="421">
        <v>360</v>
      </c>
      <c r="J67" s="422" t="s">
        <v>731</v>
      </c>
      <c r="K67" s="420">
        <v>260</v>
      </c>
      <c r="L67" s="421">
        <v>330</v>
      </c>
      <c r="M67" s="422" t="s">
        <v>287</v>
      </c>
      <c r="N67" s="423">
        <v>7790</v>
      </c>
      <c r="O67" s="424">
        <v>70</v>
      </c>
      <c r="P67" s="462"/>
      <c r="Q67" s="462"/>
      <c r="R67" s="1278">
        <v>2400</v>
      </c>
      <c r="S67" s="1281">
        <v>2600</v>
      </c>
      <c r="T67" s="426" t="s">
        <v>288</v>
      </c>
      <c r="U67" s="427">
        <v>5400</v>
      </c>
      <c r="V67" s="428">
        <v>6000</v>
      </c>
      <c r="W67" s="425">
        <v>2750</v>
      </c>
      <c r="X67" s="429">
        <v>20</v>
      </c>
      <c r="Y67" s="1284">
        <v>4500</v>
      </c>
      <c r="Z67" s="1301"/>
      <c r="AA67" s="464"/>
      <c r="AB67" s="1286">
        <v>3190</v>
      </c>
      <c r="AC67" s="1289">
        <v>30</v>
      </c>
      <c r="AD67" s="1292" t="s">
        <v>290</v>
      </c>
      <c r="AE67" s="1294" t="s">
        <v>290</v>
      </c>
      <c r="AF67" s="1294" t="s">
        <v>290</v>
      </c>
      <c r="AG67" s="1297" t="s">
        <v>290</v>
      </c>
      <c r="AH67" s="1269" t="s">
        <v>296</v>
      </c>
      <c r="AJ67" s="209" t="s">
        <v>371</v>
      </c>
      <c r="AK67" s="157" t="s">
        <v>337</v>
      </c>
      <c r="AL67" s="158">
        <v>6270</v>
      </c>
      <c r="AM67" s="207">
        <v>6079</v>
      </c>
      <c r="AN67" s="156"/>
      <c r="AO67" s="153"/>
      <c r="AY67" s="866" t="s">
        <v>627</v>
      </c>
      <c r="AZ67" s="867" t="s">
        <v>343</v>
      </c>
      <c r="BA67" s="870" t="e">
        <f>内訳計算!F7</f>
        <v>#VALUE!</v>
      </c>
      <c r="BB67" s="868" t="e">
        <f t="shared" si="0"/>
        <v>#VALUE!</v>
      </c>
      <c r="BC67" s="868">
        <f>BC66</f>
        <v>10478</v>
      </c>
      <c r="BD67" s="869" t="e">
        <f>内訳計算!H7</f>
        <v>#N/A</v>
      </c>
      <c r="BE67" s="870" t="e">
        <f>基本情報!G7*AX13</f>
        <v>#VALUE!</v>
      </c>
      <c r="BF67" s="754" t="e">
        <f t="shared" si="1"/>
        <v>#VALUE!</v>
      </c>
      <c r="BG67" s="871" t="e">
        <f>AX13*BB59</f>
        <v>#VALUE!</v>
      </c>
      <c r="BH67" s="872"/>
      <c r="BI67" s="873"/>
      <c r="BJ67" s="874"/>
      <c r="BK67" s="875"/>
      <c r="BL67" s="876">
        <f t="shared" ref="BL67:BQ67" si="15">BL66</f>
        <v>0</v>
      </c>
      <c r="BM67" s="754">
        <f t="shared" si="15"/>
        <v>0</v>
      </c>
      <c r="BN67" s="754">
        <f t="shared" si="15"/>
        <v>0</v>
      </c>
      <c r="BO67" s="754">
        <f t="shared" si="15"/>
        <v>0</v>
      </c>
      <c r="BP67" s="754">
        <f t="shared" si="15"/>
        <v>0</v>
      </c>
      <c r="BQ67" s="871">
        <f t="shared" si="15"/>
        <v>0</v>
      </c>
      <c r="BR67" s="876">
        <f t="shared" si="3"/>
        <v>0</v>
      </c>
      <c r="BS67" s="871">
        <f t="shared" si="4"/>
        <v>0</v>
      </c>
      <c r="BT67" s="876">
        <f t="shared" si="5"/>
        <v>0</v>
      </c>
      <c r="BU67" s="871">
        <f t="shared" si="6"/>
        <v>0</v>
      </c>
      <c r="BV67" s="877" t="e">
        <f t="shared" si="7"/>
        <v>#VALUE!</v>
      </c>
      <c r="BW67" s="868" t="e">
        <f t="shared" si="8"/>
        <v>#VALUE!</v>
      </c>
      <c r="BX67" s="684" t="e">
        <f t="shared" si="9"/>
        <v>#VALUE!</v>
      </c>
      <c r="BY67" s="730" t="e">
        <f t="shared" si="10"/>
        <v>#VALUE!</v>
      </c>
      <c r="BZ67" s="876">
        <f t="shared" si="11"/>
        <v>4500</v>
      </c>
      <c r="CA67" s="871">
        <f t="shared" si="12"/>
        <v>4500</v>
      </c>
      <c r="CB67" s="876" t="str">
        <f t="shared" si="13"/>
        <v/>
      </c>
      <c r="CC67" s="871" t="str">
        <f t="shared" si="14"/>
        <v/>
      </c>
    </row>
    <row r="68" spans="1:81" ht="14.25" customHeight="1">
      <c r="A68" s="431" t="s">
        <v>291</v>
      </c>
      <c r="B68" s="432" t="s">
        <v>315</v>
      </c>
      <c r="C68" s="433" t="s">
        <v>336</v>
      </c>
      <c r="D68" s="434">
        <v>39520</v>
      </c>
      <c r="E68" s="435">
        <v>102120</v>
      </c>
      <c r="F68" s="434">
        <v>36440</v>
      </c>
      <c r="G68" s="435">
        <v>99040</v>
      </c>
      <c r="H68" s="436">
        <v>360</v>
      </c>
      <c r="I68" s="437">
        <v>910</v>
      </c>
      <c r="J68" s="438" t="s">
        <v>731</v>
      </c>
      <c r="K68" s="436">
        <v>330</v>
      </c>
      <c r="L68" s="437">
        <v>880</v>
      </c>
      <c r="M68" s="438" t="s">
        <v>287</v>
      </c>
      <c r="N68" s="439">
        <v>7790</v>
      </c>
      <c r="O68" s="440">
        <v>70</v>
      </c>
      <c r="P68" s="462"/>
      <c r="Q68" s="462"/>
      <c r="R68" s="1279"/>
      <c r="S68" s="1282"/>
      <c r="T68" s="393" t="s">
        <v>292</v>
      </c>
      <c r="U68" s="442">
        <v>2900</v>
      </c>
      <c r="V68" s="443">
        <v>3300</v>
      </c>
      <c r="W68" s="441">
        <v>2750</v>
      </c>
      <c r="X68" s="444"/>
      <c r="Y68" s="1285"/>
      <c r="Z68" s="1301"/>
      <c r="AA68" s="464"/>
      <c r="AB68" s="1287"/>
      <c r="AC68" s="1290"/>
      <c r="AD68" s="1293"/>
      <c r="AE68" s="1295"/>
      <c r="AF68" s="1295"/>
      <c r="AG68" s="1298"/>
      <c r="AH68" s="1270"/>
      <c r="AJ68" s="209" t="s">
        <v>371</v>
      </c>
      <c r="AK68" s="157" t="s">
        <v>335</v>
      </c>
      <c r="AL68" s="158">
        <v>2476</v>
      </c>
      <c r="AM68" s="207">
        <v>2285</v>
      </c>
      <c r="AN68" s="156"/>
      <c r="AO68" s="153"/>
      <c r="AY68" s="878" t="s">
        <v>628</v>
      </c>
      <c r="AZ68" s="853" t="s">
        <v>441</v>
      </c>
      <c r="BA68" s="881" t="e">
        <f>内訳計算!F10</f>
        <v>#VALUE!</v>
      </c>
      <c r="BB68" s="855" t="e">
        <f t="shared" si="0"/>
        <v>#VALUE!</v>
      </c>
      <c r="BC68" s="879">
        <f>BC64</f>
        <v>1809</v>
      </c>
      <c r="BD68" s="880" t="e">
        <f>内訳計算!H10</f>
        <v>#N/A</v>
      </c>
      <c r="BE68" s="881" t="e">
        <f>基本情報!G7*AY7</f>
        <v>#VALUE!</v>
      </c>
      <c r="BF68" s="751" t="e">
        <f t="shared" si="1"/>
        <v>#VALUE!</v>
      </c>
      <c r="BG68" s="858" t="e">
        <f>AY7*BB59</f>
        <v>#VALUE!</v>
      </c>
      <c r="BH68" s="882"/>
      <c r="BI68" s="883"/>
      <c r="BJ68" s="884"/>
      <c r="BK68" s="885"/>
      <c r="BL68" s="881">
        <f>BL$64</f>
        <v>0</v>
      </c>
      <c r="BM68" s="886">
        <f t="shared" ref="BM68:BQ69" si="16">BM$64</f>
        <v>0</v>
      </c>
      <c r="BN68" s="886">
        <f t="shared" si="16"/>
        <v>0</v>
      </c>
      <c r="BO68" s="886">
        <f t="shared" si="16"/>
        <v>0</v>
      </c>
      <c r="BP68" s="886">
        <f t="shared" si="16"/>
        <v>0</v>
      </c>
      <c r="BQ68" s="880">
        <f t="shared" si="16"/>
        <v>0</v>
      </c>
      <c r="BR68" s="863">
        <f t="shared" si="3"/>
        <v>0</v>
      </c>
      <c r="BS68" s="858">
        <f t="shared" si="4"/>
        <v>0</v>
      </c>
      <c r="BT68" s="863">
        <f t="shared" si="5"/>
        <v>0</v>
      </c>
      <c r="BU68" s="858">
        <f t="shared" si="6"/>
        <v>0</v>
      </c>
      <c r="BV68" s="854" t="e">
        <f t="shared" si="7"/>
        <v>#VALUE!</v>
      </c>
      <c r="BW68" s="855" t="e">
        <f t="shared" si="8"/>
        <v>#VALUE!</v>
      </c>
      <c r="BX68" s="779" t="e">
        <f t="shared" si="9"/>
        <v>#VALUE!</v>
      </c>
      <c r="BY68" s="728" t="e">
        <f t="shared" si="10"/>
        <v>#VALUE!</v>
      </c>
      <c r="BZ68" s="863">
        <f t="shared" si="11"/>
        <v>4500</v>
      </c>
      <c r="CA68" s="858">
        <f t="shared" si="12"/>
        <v>4500</v>
      </c>
      <c r="CB68" s="863" t="str">
        <f t="shared" si="13"/>
        <v/>
      </c>
      <c r="CC68" s="858" t="str">
        <f t="shared" si="14"/>
        <v/>
      </c>
    </row>
    <row r="69" spans="1:81" ht="14.25" customHeight="1">
      <c r="A69" s="431" t="s">
        <v>291</v>
      </c>
      <c r="B69" s="432" t="s">
        <v>315</v>
      </c>
      <c r="C69" s="433" t="s">
        <v>337</v>
      </c>
      <c r="D69" s="434">
        <v>102120</v>
      </c>
      <c r="E69" s="435">
        <v>180080</v>
      </c>
      <c r="F69" s="434">
        <v>99040</v>
      </c>
      <c r="G69" s="435">
        <v>177000</v>
      </c>
      <c r="H69" s="436">
        <v>910</v>
      </c>
      <c r="I69" s="437">
        <v>1690</v>
      </c>
      <c r="J69" s="438" t="s">
        <v>731</v>
      </c>
      <c r="K69" s="436">
        <v>880</v>
      </c>
      <c r="L69" s="437">
        <v>1660</v>
      </c>
      <c r="M69" s="438" t="s">
        <v>287</v>
      </c>
      <c r="N69" s="446"/>
      <c r="O69" s="447"/>
      <c r="P69" s="441"/>
      <c r="Q69" s="441"/>
      <c r="R69" s="1279"/>
      <c r="S69" s="1282"/>
      <c r="T69" s="393" t="s">
        <v>293</v>
      </c>
      <c r="U69" s="442">
        <v>2500</v>
      </c>
      <c r="V69" s="443">
        <v>2800</v>
      </c>
      <c r="W69" s="441">
        <v>2750</v>
      </c>
      <c r="X69" s="444"/>
      <c r="Y69" s="448"/>
      <c r="Z69" s="1301"/>
      <c r="AA69" s="464"/>
      <c r="AB69" s="1287"/>
      <c r="AC69" s="1290"/>
      <c r="AD69" s="1271">
        <v>0.02</v>
      </c>
      <c r="AE69" s="1273">
        <v>0.03</v>
      </c>
      <c r="AF69" s="1273">
        <v>0.05</v>
      </c>
      <c r="AG69" s="1275">
        <v>0.06</v>
      </c>
      <c r="AH69" s="1277">
        <v>0.99</v>
      </c>
      <c r="AJ69" s="210" t="s">
        <v>371</v>
      </c>
      <c r="AK69" s="159" t="s">
        <v>333</v>
      </c>
      <c r="AL69" s="158">
        <v>1934</v>
      </c>
      <c r="AM69" s="207">
        <v>1743</v>
      </c>
      <c r="AN69" s="156"/>
      <c r="AO69" s="153"/>
      <c r="AY69" s="887" t="s">
        <v>628</v>
      </c>
      <c r="AZ69" s="865" t="s">
        <v>442</v>
      </c>
      <c r="BA69" s="843" t="e">
        <f>内訳計算!F11</f>
        <v>#VALUE!</v>
      </c>
      <c r="BB69" s="668" t="e">
        <f t="shared" si="0"/>
        <v>#VALUE!</v>
      </c>
      <c r="BC69" s="668">
        <f>BC64</f>
        <v>1809</v>
      </c>
      <c r="BD69" s="840" t="e">
        <f>内訳計算!H11</f>
        <v>#N/A</v>
      </c>
      <c r="BE69" s="843" t="e">
        <f>基本情報!G7*AY9</f>
        <v>#VALUE!</v>
      </c>
      <c r="BF69" s="672" t="e">
        <f t="shared" si="1"/>
        <v>#VALUE!</v>
      </c>
      <c r="BG69" s="839" t="e">
        <f>AY9*BB59</f>
        <v>#VALUE!</v>
      </c>
      <c r="BH69" s="842" t="e">
        <f>AV41+AW41*基本情報!G7</f>
        <v>#VALUE!</v>
      </c>
      <c r="BI69" s="844" t="e">
        <f>AV41</f>
        <v>#VALUE!</v>
      </c>
      <c r="BJ69" s="672" t="e">
        <f>+AW41*BB58</f>
        <v>#VALUE!</v>
      </c>
      <c r="BK69" s="839" t="e">
        <f>+AW41*BB59</f>
        <v>#VALUE!</v>
      </c>
      <c r="BL69" s="843">
        <f>BL$64</f>
        <v>0</v>
      </c>
      <c r="BM69" s="722">
        <f t="shared" si="16"/>
        <v>0</v>
      </c>
      <c r="BN69" s="722">
        <f t="shared" si="16"/>
        <v>0</v>
      </c>
      <c r="BO69" s="722">
        <f t="shared" si="16"/>
        <v>0</v>
      </c>
      <c r="BP69" s="722">
        <f t="shared" si="16"/>
        <v>0</v>
      </c>
      <c r="BQ69" s="840">
        <f t="shared" si="16"/>
        <v>0</v>
      </c>
      <c r="BR69" s="842">
        <f t="shared" si="3"/>
        <v>0</v>
      </c>
      <c r="BS69" s="839">
        <f t="shared" si="4"/>
        <v>0</v>
      </c>
      <c r="BT69" s="842">
        <f t="shared" si="5"/>
        <v>0</v>
      </c>
      <c r="BU69" s="839">
        <f t="shared" si="6"/>
        <v>0</v>
      </c>
      <c r="BV69" s="841" t="e">
        <f t="shared" si="7"/>
        <v>#VALUE!</v>
      </c>
      <c r="BW69" s="668" t="e">
        <f t="shared" si="8"/>
        <v>#VALUE!</v>
      </c>
      <c r="BX69" s="673" t="e">
        <f t="shared" si="9"/>
        <v>#VALUE!</v>
      </c>
      <c r="BY69" s="729" t="e">
        <f t="shared" si="10"/>
        <v>#VALUE!</v>
      </c>
      <c r="BZ69" s="842">
        <f t="shared" si="11"/>
        <v>4500</v>
      </c>
      <c r="CA69" s="839">
        <f t="shared" si="12"/>
        <v>4500</v>
      </c>
      <c r="CB69" s="842" t="str">
        <f t="shared" si="13"/>
        <v/>
      </c>
      <c r="CC69" s="839" t="str">
        <f t="shared" si="14"/>
        <v/>
      </c>
    </row>
    <row r="70" spans="1:81" ht="14.25" customHeight="1">
      <c r="A70" s="431" t="s">
        <v>291</v>
      </c>
      <c r="B70" s="449" t="s">
        <v>315</v>
      </c>
      <c r="C70" s="450" t="s">
        <v>338</v>
      </c>
      <c r="D70" s="451">
        <v>180080</v>
      </c>
      <c r="E70" s="452"/>
      <c r="F70" s="451">
        <v>177000</v>
      </c>
      <c r="G70" s="452"/>
      <c r="H70" s="439">
        <v>1690</v>
      </c>
      <c r="I70" s="453"/>
      <c r="J70" s="454" t="s">
        <v>731</v>
      </c>
      <c r="K70" s="439">
        <v>1660</v>
      </c>
      <c r="L70" s="453"/>
      <c r="M70" s="454" t="s">
        <v>287</v>
      </c>
      <c r="N70" s="446"/>
      <c r="O70" s="455"/>
      <c r="P70" s="441"/>
      <c r="Q70" s="441"/>
      <c r="R70" s="1280"/>
      <c r="S70" s="1283"/>
      <c r="T70" s="456" t="s">
        <v>294</v>
      </c>
      <c r="U70" s="457">
        <v>2300</v>
      </c>
      <c r="V70" s="458">
        <v>2500</v>
      </c>
      <c r="W70" s="459">
        <v>2750</v>
      </c>
      <c r="X70" s="460"/>
      <c r="Y70" s="448"/>
      <c r="Z70" s="1301"/>
      <c r="AA70" s="464"/>
      <c r="AB70" s="1288"/>
      <c r="AC70" s="1291"/>
      <c r="AD70" s="1272"/>
      <c r="AE70" s="1274"/>
      <c r="AF70" s="1274"/>
      <c r="AG70" s="1276"/>
      <c r="AH70" s="1277"/>
      <c r="AJ70" s="209" t="s">
        <v>372</v>
      </c>
      <c r="AK70" s="154" t="s">
        <v>338</v>
      </c>
      <c r="AL70" s="158">
        <v>11657</v>
      </c>
      <c r="AM70" s="207">
        <v>11476</v>
      </c>
      <c r="AN70" s="156"/>
      <c r="AO70" s="153"/>
      <c r="AY70" s="887" t="s">
        <v>628</v>
      </c>
      <c r="AZ70" s="865" t="s">
        <v>342</v>
      </c>
      <c r="BA70" s="843" t="e">
        <f>内訳計算!F12</f>
        <v>#VALUE!</v>
      </c>
      <c r="BB70" s="668" t="e">
        <f t="shared" si="0"/>
        <v>#VALUE!</v>
      </c>
      <c r="BC70" s="668">
        <f>BC66</f>
        <v>10478</v>
      </c>
      <c r="BD70" s="840" t="e">
        <f>内訳計算!H12</f>
        <v>#N/A</v>
      </c>
      <c r="BE70" s="843" t="e">
        <f>基本情報!G7*AY11</f>
        <v>#VALUE!</v>
      </c>
      <c r="BF70" s="672" t="e">
        <f t="shared" si="1"/>
        <v>#VALUE!</v>
      </c>
      <c r="BG70" s="839" t="e">
        <f>AY11*BB59</f>
        <v>#VALUE!</v>
      </c>
      <c r="BH70" s="845"/>
      <c r="BI70" s="846"/>
      <c r="BJ70" s="776"/>
      <c r="BK70" s="847"/>
      <c r="BL70" s="843">
        <f>BL$66</f>
        <v>0</v>
      </c>
      <c r="BM70" s="722">
        <f t="shared" ref="BM70:BQ71" si="17">BM$66</f>
        <v>0</v>
      </c>
      <c r="BN70" s="722">
        <f t="shared" si="17"/>
        <v>0</v>
      </c>
      <c r="BO70" s="722">
        <f t="shared" si="17"/>
        <v>0</v>
      </c>
      <c r="BP70" s="722">
        <f t="shared" si="17"/>
        <v>0</v>
      </c>
      <c r="BQ70" s="840">
        <f t="shared" si="17"/>
        <v>0</v>
      </c>
      <c r="BR70" s="842">
        <f t="shared" si="3"/>
        <v>0</v>
      </c>
      <c r="BS70" s="839">
        <f t="shared" si="4"/>
        <v>0</v>
      </c>
      <c r="BT70" s="842">
        <f t="shared" si="5"/>
        <v>0</v>
      </c>
      <c r="BU70" s="839">
        <f t="shared" si="6"/>
        <v>0</v>
      </c>
      <c r="BV70" s="841" t="e">
        <f t="shared" si="7"/>
        <v>#VALUE!</v>
      </c>
      <c r="BW70" s="668" t="e">
        <f t="shared" si="8"/>
        <v>#VALUE!</v>
      </c>
      <c r="BX70" s="673" t="e">
        <f t="shared" si="9"/>
        <v>#VALUE!</v>
      </c>
      <c r="BY70" s="729" t="e">
        <f t="shared" si="10"/>
        <v>#VALUE!</v>
      </c>
      <c r="BZ70" s="842">
        <f t="shared" si="11"/>
        <v>4500</v>
      </c>
      <c r="CA70" s="839">
        <f t="shared" si="12"/>
        <v>4500</v>
      </c>
      <c r="CB70" s="842" t="str">
        <f t="shared" si="13"/>
        <v/>
      </c>
      <c r="CC70" s="839" t="str">
        <f t="shared" si="14"/>
        <v/>
      </c>
    </row>
    <row r="71" spans="1:81" ht="14.25" customHeight="1" thickBot="1">
      <c r="A71" s="431" t="s">
        <v>291</v>
      </c>
      <c r="B71" s="416" t="s">
        <v>316</v>
      </c>
      <c r="C71" s="417" t="s">
        <v>334</v>
      </c>
      <c r="D71" s="418">
        <v>30970</v>
      </c>
      <c r="E71" s="419">
        <v>38760</v>
      </c>
      <c r="F71" s="418">
        <v>28070</v>
      </c>
      <c r="G71" s="419">
        <v>35860</v>
      </c>
      <c r="H71" s="420">
        <v>290</v>
      </c>
      <c r="I71" s="421">
        <v>360</v>
      </c>
      <c r="J71" s="422" t="s">
        <v>731</v>
      </c>
      <c r="K71" s="420">
        <v>260</v>
      </c>
      <c r="L71" s="421">
        <v>330</v>
      </c>
      <c r="M71" s="422" t="s">
        <v>287</v>
      </c>
      <c r="N71" s="423">
        <v>7790</v>
      </c>
      <c r="O71" s="424">
        <v>70</v>
      </c>
      <c r="P71" s="441"/>
      <c r="Q71" s="441"/>
      <c r="R71" s="1278">
        <v>2300</v>
      </c>
      <c r="S71" s="1281">
        <v>2500</v>
      </c>
      <c r="T71" s="426" t="s">
        <v>288</v>
      </c>
      <c r="U71" s="427">
        <v>4800</v>
      </c>
      <c r="V71" s="428">
        <v>5400</v>
      </c>
      <c r="W71" s="425">
        <v>2590</v>
      </c>
      <c r="X71" s="429">
        <v>20</v>
      </c>
      <c r="Y71" s="1284">
        <v>4500</v>
      </c>
      <c r="Z71" s="1301"/>
      <c r="AA71" s="464"/>
      <c r="AB71" s="1286">
        <v>3020</v>
      </c>
      <c r="AC71" s="1289">
        <v>30</v>
      </c>
      <c r="AD71" s="1292" t="s">
        <v>290</v>
      </c>
      <c r="AE71" s="1294" t="s">
        <v>290</v>
      </c>
      <c r="AF71" s="1294" t="s">
        <v>290</v>
      </c>
      <c r="AG71" s="1297" t="s">
        <v>290</v>
      </c>
      <c r="AH71" s="1269" t="s">
        <v>296</v>
      </c>
      <c r="AJ71" s="209" t="s">
        <v>372</v>
      </c>
      <c r="AK71" s="157" t="s">
        <v>337</v>
      </c>
      <c r="AL71" s="158">
        <v>6236</v>
      </c>
      <c r="AM71" s="207">
        <v>6055</v>
      </c>
      <c r="AN71" s="156"/>
      <c r="AO71" s="153"/>
      <c r="AY71" s="888" t="s">
        <v>628</v>
      </c>
      <c r="AZ71" s="867" t="s">
        <v>343</v>
      </c>
      <c r="BA71" s="870" t="e">
        <f>内訳計算!F13</f>
        <v>#VALUE!</v>
      </c>
      <c r="BB71" s="868" t="e">
        <f t="shared" si="0"/>
        <v>#VALUE!</v>
      </c>
      <c r="BC71" s="868">
        <f>BC66</f>
        <v>10478</v>
      </c>
      <c r="BD71" s="869" t="e">
        <f>内訳計算!H13</f>
        <v>#N/A</v>
      </c>
      <c r="BE71" s="870" t="e">
        <f>基本情報!G7*AY13</f>
        <v>#VALUE!</v>
      </c>
      <c r="BF71" s="754" t="e">
        <f t="shared" si="1"/>
        <v>#VALUE!</v>
      </c>
      <c r="BG71" s="871" t="e">
        <f>AY13*BB59</f>
        <v>#VALUE!</v>
      </c>
      <c r="BH71" s="872"/>
      <c r="BI71" s="873"/>
      <c r="BJ71" s="874"/>
      <c r="BK71" s="875"/>
      <c r="BL71" s="870">
        <f>BL$66</f>
        <v>0</v>
      </c>
      <c r="BM71" s="889">
        <f t="shared" si="17"/>
        <v>0</v>
      </c>
      <c r="BN71" s="889">
        <f t="shared" si="17"/>
        <v>0</v>
      </c>
      <c r="BO71" s="889">
        <f t="shared" si="17"/>
        <v>0</v>
      </c>
      <c r="BP71" s="889">
        <f t="shared" si="17"/>
        <v>0</v>
      </c>
      <c r="BQ71" s="869">
        <f t="shared" si="17"/>
        <v>0</v>
      </c>
      <c r="BR71" s="876">
        <f t="shared" si="3"/>
        <v>0</v>
      </c>
      <c r="BS71" s="871">
        <f t="shared" si="4"/>
        <v>0</v>
      </c>
      <c r="BT71" s="876">
        <f t="shared" si="5"/>
        <v>0</v>
      </c>
      <c r="BU71" s="871">
        <f t="shared" si="6"/>
        <v>0</v>
      </c>
      <c r="BV71" s="877" t="e">
        <f t="shared" si="7"/>
        <v>#VALUE!</v>
      </c>
      <c r="BW71" s="868" t="e">
        <f t="shared" si="8"/>
        <v>#VALUE!</v>
      </c>
      <c r="BX71" s="684" t="e">
        <f t="shared" si="9"/>
        <v>#VALUE!</v>
      </c>
      <c r="BY71" s="730" t="e">
        <f t="shared" si="10"/>
        <v>#VALUE!</v>
      </c>
      <c r="BZ71" s="876">
        <f t="shared" si="11"/>
        <v>4500</v>
      </c>
      <c r="CA71" s="871">
        <f t="shared" si="12"/>
        <v>4500</v>
      </c>
      <c r="CB71" s="876" t="str">
        <f t="shared" si="13"/>
        <v/>
      </c>
      <c r="CC71" s="871" t="str">
        <f t="shared" si="14"/>
        <v/>
      </c>
    </row>
    <row r="72" spans="1:81" ht="14.25" customHeight="1">
      <c r="A72" s="431" t="s">
        <v>291</v>
      </c>
      <c r="B72" s="432" t="s">
        <v>317</v>
      </c>
      <c r="C72" s="433" t="s">
        <v>336</v>
      </c>
      <c r="D72" s="434">
        <v>38760</v>
      </c>
      <c r="E72" s="435">
        <v>101360</v>
      </c>
      <c r="F72" s="434">
        <v>35860</v>
      </c>
      <c r="G72" s="435">
        <v>98460</v>
      </c>
      <c r="H72" s="436">
        <v>360</v>
      </c>
      <c r="I72" s="437">
        <v>900</v>
      </c>
      <c r="J72" s="438" t="s">
        <v>731</v>
      </c>
      <c r="K72" s="436">
        <v>330</v>
      </c>
      <c r="L72" s="437">
        <v>870</v>
      </c>
      <c r="M72" s="438" t="s">
        <v>287</v>
      </c>
      <c r="N72" s="439">
        <v>7790</v>
      </c>
      <c r="O72" s="440">
        <v>70</v>
      </c>
      <c r="P72" s="441"/>
      <c r="Q72" s="441"/>
      <c r="R72" s="1279"/>
      <c r="S72" s="1282"/>
      <c r="T72" s="393" t="s">
        <v>292</v>
      </c>
      <c r="U72" s="442">
        <v>2600</v>
      </c>
      <c r="V72" s="443">
        <v>2900</v>
      </c>
      <c r="W72" s="441">
        <v>2590</v>
      </c>
      <c r="X72" s="444"/>
      <c r="Y72" s="1285"/>
      <c r="Z72" s="1301"/>
      <c r="AA72" s="464"/>
      <c r="AB72" s="1287"/>
      <c r="AC72" s="1290"/>
      <c r="AD72" s="1293"/>
      <c r="AE72" s="1295"/>
      <c r="AF72" s="1295"/>
      <c r="AG72" s="1298"/>
      <c r="AH72" s="1270"/>
      <c r="AJ72" s="209" t="s">
        <v>372</v>
      </c>
      <c r="AK72" s="157" t="s">
        <v>335</v>
      </c>
      <c r="AL72" s="158">
        <v>2442</v>
      </c>
      <c r="AM72" s="207">
        <v>2261</v>
      </c>
      <c r="AN72" s="156"/>
      <c r="AO72" s="153"/>
      <c r="AY72" s="852" t="s">
        <v>629</v>
      </c>
      <c r="AZ72" s="853" t="s">
        <v>441</v>
      </c>
      <c r="BA72" s="857">
        <f>内訳計算!F32</f>
        <v>0</v>
      </c>
      <c r="BB72" s="855">
        <f t="shared" si="0"/>
        <v>-1809</v>
      </c>
      <c r="BC72" s="855">
        <f>BC64</f>
        <v>1809</v>
      </c>
      <c r="BD72" s="856">
        <f>内訳計算!H32</f>
        <v>0</v>
      </c>
      <c r="BE72" s="857">
        <f>基本情報!G7*AX23</f>
        <v>0</v>
      </c>
      <c r="BF72" s="751">
        <f t="shared" si="1"/>
        <v>0</v>
      </c>
      <c r="BG72" s="858">
        <f>AX23*BB59</f>
        <v>0</v>
      </c>
      <c r="BH72" s="859"/>
      <c r="BI72" s="860"/>
      <c r="BJ72" s="861"/>
      <c r="BK72" s="862"/>
      <c r="BL72" s="857">
        <f>BL$64</f>
        <v>0</v>
      </c>
      <c r="BM72" s="890">
        <f t="shared" ref="BM72:BQ73" si="18">BM$64</f>
        <v>0</v>
      </c>
      <c r="BN72" s="890">
        <f t="shared" si="18"/>
        <v>0</v>
      </c>
      <c r="BO72" s="890">
        <f t="shared" si="18"/>
        <v>0</v>
      </c>
      <c r="BP72" s="890">
        <f t="shared" si="18"/>
        <v>0</v>
      </c>
      <c r="BQ72" s="856">
        <f t="shared" si="18"/>
        <v>0</v>
      </c>
      <c r="BR72" s="863">
        <f t="shared" si="3"/>
        <v>0</v>
      </c>
      <c r="BS72" s="858">
        <f t="shared" si="4"/>
        <v>0</v>
      </c>
      <c r="BT72" s="863">
        <f t="shared" si="5"/>
        <v>0</v>
      </c>
      <c r="BU72" s="858">
        <f t="shared" si="6"/>
        <v>0</v>
      </c>
      <c r="BV72" s="854" t="e">
        <f t="shared" si="7"/>
        <v>#VALUE!</v>
      </c>
      <c r="BW72" s="855" t="e">
        <f t="shared" si="8"/>
        <v>#VALUE!</v>
      </c>
      <c r="BX72" s="779" t="e">
        <f t="shared" si="9"/>
        <v>#VALUE!</v>
      </c>
      <c r="BY72" s="728" t="e">
        <f t="shared" si="10"/>
        <v>#VALUE!</v>
      </c>
      <c r="BZ72" s="863">
        <f t="shared" si="11"/>
        <v>4500</v>
      </c>
      <c r="CA72" s="858">
        <f t="shared" si="12"/>
        <v>4500</v>
      </c>
      <c r="CB72" s="863" t="str">
        <f t="shared" si="13"/>
        <v/>
      </c>
      <c r="CC72" s="858" t="str">
        <f t="shared" si="14"/>
        <v/>
      </c>
    </row>
    <row r="73" spans="1:81" ht="14.25" customHeight="1" thickBot="1">
      <c r="A73" s="431" t="s">
        <v>291</v>
      </c>
      <c r="B73" s="432" t="s">
        <v>316</v>
      </c>
      <c r="C73" s="433" t="s">
        <v>337</v>
      </c>
      <c r="D73" s="434">
        <v>101360</v>
      </c>
      <c r="E73" s="435">
        <v>179320</v>
      </c>
      <c r="F73" s="434">
        <v>98460</v>
      </c>
      <c r="G73" s="435">
        <v>176420</v>
      </c>
      <c r="H73" s="436">
        <v>900</v>
      </c>
      <c r="I73" s="437">
        <v>1680</v>
      </c>
      <c r="J73" s="438" t="s">
        <v>731</v>
      </c>
      <c r="K73" s="436">
        <v>870</v>
      </c>
      <c r="L73" s="437">
        <v>1650</v>
      </c>
      <c r="M73" s="438" t="s">
        <v>287</v>
      </c>
      <c r="N73" s="446"/>
      <c r="O73" s="447"/>
      <c r="P73" s="441"/>
      <c r="Q73" s="441"/>
      <c r="R73" s="1279"/>
      <c r="S73" s="1282"/>
      <c r="T73" s="393" t="s">
        <v>293</v>
      </c>
      <c r="U73" s="442">
        <v>2300</v>
      </c>
      <c r="V73" s="443">
        <v>2500</v>
      </c>
      <c r="W73" s="441">
        <v>2590</v>
      </c>
      <c r="X73" s="444"/>
      <c r="Y73" s="448"/>
      <c r="Z73" s="1301"/>
      <c r="AA73" s="464"/>
      <c r="AB73" s="1287"/>
      <c r="AC73" s="1290"/>
      <c r="AD73" s="1271">
        <v>0.02</v>
      </c>
      <c r="AE73" s="1273">
        <v>0.03</v>
      </c>
      <c r="AF73" s="1273">
        <v>0.05</v>
      </c>
      <c r="AG73" s="1275">
        <v>0.06</v>
      </c>
      <c r="AH73" s="1277">
        <v>0.99</v>
      </c>
      <c r="AJ73" s="211" t="s">
        <v>372</v>
      </c>
      <c r="AK73" s="212" t="s">
        <v>333</v>
      </c>
      <c r="AL73" s="213">
        <v>1900</v>
      </c>
      <c r="AM73" s="214">
        <v>1719</v>
      </c>
      <c r="AN73" s="156"/>
      <c r="AO73" s="153"/>
      <c r="AY73" s="864" t="s">
        <v>629</v>
      </c>
      <c r="AZ73" s="865" t="s">
        <v>442</v>
      </c>
      <c r="BA73" s="843">
        <f>内訳計算!F33</f>
        <v>0</v>
      </c>
      <c r="BB73" s="668">
        <f t="shared" si="0"/>
        <v>-1809</v>
      </c>
      <c r="BC73" s="668">
        <f>BC64</f>
        <v>1809</v>
      </c>
      <c r="BD73" s="840">
        <f>内訳計算!H33</f>
        <v>0</v>
      </c>
      <c r="BE73" s="843">
        <f>基本情報!G7*AX25</f>
        <v>0</v>
      </c>
      <c r="BF73" s="672">
        <f t="shared" si="1"/>
        <v>0</v>
      </c>
      <c r="BG73" s="839">
        <f>AX25*BB59</f>
        <v>0</v>
      </c>
      <c r="BH73" s="842" t="e">
        <f>AV41+AW41*基本情報!G7</f>
        <v>#VALUE!</v>
      </c>
      <c r="BI73" s="844" t="e">
        <f>AV41</f>
        <v>#VALUE!</v>
      </c>
      <c r="BJ73" s="672" t="e">
        <f>+AW41*BB58</f>
        <v>#VALUE!</v>
      </c>
      <c r="BK73" s="839" t="e">
        <f>+AW41*BB59</f>
        <v>#VALUE!</v>
      </c>
      <c r="BL73" s="843">
        <f>BL$64</f>
        <v>0</v>
      </c>
      <c r="BM73" s="722">
        <f t="shared" si="18"/>
        <v>0</v>
      </c>
      <c r="BN73" s="722">
        <f t="shared" si="18"/>
        <v>0</v>
      </c>
      <c r="BO73" s="722">
        <f t="shared" si="18"/>
        <v>0</v>
      </c>
      <c r="BP73" s="722">
        <f t="shared" si="18"/>
        <v>0</v>
      </c>
      <c r="BQ73" s="840">
        <f t="shared" si="18"/>
        <v>0</v>
      </c>
      <c r="BR73" s="842">
        <f t="shared" si="3"/>
        <v>0</v>
      </c>
      <c r="BS73" s="839">
        <f t="shared" si="4"/>
        <v>0</v>
      </c>
      <c r="BT73" s="842">
        <f t="shared" si="5"/>
        <v>0</v>
      </c>
      <c r="BU73" s="839">
        <f t="shared" si="6"/>
        <v>0</v>
      </c>
      <c r="BV73" s="841" t="e">
        <f t="shared" si="7"/>
        <v>#VALUE!</v>
      </c>
      <c r="BW73" s="668" t="e">
        <f t="shared" si="8"/>
        <v>#VALUE!</v>
      </c>
      <c r="BX73" s="673" t="e">
        <f t="shared" si="9"/>
        <v>#VALUE!</v>
      </c>
      <c r="BY73" s="729" t="e">
        <f t="shared" si="10"/>
        <v>#VALUE!</v>
      </c>
      <c r="BZ73" s="842">
        <f t="shared" si="11"/>
        <v>4500</v>
      </c>
      <c r="CA73" s="839">
        <f t="shared" si="12"/>
        <v>4500</v>
      </c>
      <c r="CB73" s="842" t="str">
        <f t="shared" si="13"/>
        <v/>
      </c>
      <c r="CC73" s="839" t="str">
        <f t="shared" si="14"/>
        <v/>
      </c>
    </row>
    <row r="74" spans="1:81" ht="14.25" customHeight="1">
      <c r="A74" s="463" t="s">
        <v>291</v>
      </c>
      <c r="B74" s="449" t="s">
        <v>316</v>
      </c>
      <c r="C74" s="450" t="s">
        <v>338</v>
      </c>
      <c r="D74" s="451">
        <v>179320</v>
      </c>
      <c r="E74" s="452"/>
      <c r="F74" s="451">
        <v>176420</v>
      </c>
      <c r="G74" s="452"/>
      <c r="H74" s="439">
        <v>1680</v>
      </c>
      <c r="I74" s="453"/>
      <c r="J74" s="454" t="s">
        <v>731</v>
      </c>
      <c r="K74" s="439">
        <v>1650</v>
      </c>
      <c r="L74" s="453"/>
      <c r="M74" s="454" t="s">
        <v>287</v>
      </c>
      <c r="N74" s="446"/>
      <c r="O74" s="465"/>
      <c r="P74" s="459"/>
      <c r="Q74" s="459"/>
      <c r="R74" s="1280"/>
      <c r="S74" s="1283"/>
      <c r="T74" s="456" t="s">
        <v>294</v>
      </c>
      <c r="U74" s="457">
        <v>2000</v>
      </c>
      <c r="V74" s="458">
        <v>2300</v>
      </c>
      <c r="W74" s="459">
        <v>2590</v>
      </c>
      <c r="X74" s="460"/>
      <c r="Y74" s="448"/>
      <c r="Z74" s="1301"/>
      <c r="AA74" s="403"/>
      <c r="AB74" s="1288"/>
      <c r="AC74" s="1291"/>
      <c r="AD74" s="1272"/>
      <c r="AE74" s="1274"/>
      <c r="AF74" s="1274"/>
      <c r="AG74" s="1276"/>
      <c r="AH74" s="1296"/>
      <c r="AJ74" s="215"/>
      <c r="AK74" s="216"/>
      <c r="AL74" s="217"/>
      <c r="AM74" s="217"/>
      <c r="AN74" s="156"/>
      <c r="AO74" s="153"/>
      <c r="AY74" s="864" t="s">
        <v>629</v>
      </c>
      <c r="AZ74" s="865" t="s">
        <v>342</v>
      </c>
      <c r="BA74" s="843">
        <f>内訳計算!F34</f>
        <v>0</v>
      </c>
      <c r="BB74" s="668">
        <f t="shared" si="0"/>
        <v>-10478</v>
      </c>
      <c r="BC74" s="668">
        <f>BC66</f>
        <v>10478</v>
      </c>
      <c r="BD74" s="840">
        <f>内訳計算!H34</f>
        <v>0</v>
      </c>
      <c r="BE74" s="843">
        <f>基本情報!G7*AX27</f>
        <v>0</v>
      </c>
      <c r="BF74" s="672">
        <f t="shared" si="1"/>
        <v>0</v>
      </c>
      <c r="BG74" s="839">
        <f>AX27*BB59</f>
        <v>0</v>
      </c>
      <c r="BH74" s="845"/>
      <c r="BI74" s="846"/>
      <c r="BJ74" s="776"/>
      <c r="BK74" s="847"/>
      <c r="BL74" s="843">
        <f>BL$66</f>
        <v>0</v>
      </c>
      <c r="BM74" s="722">
        <f t="shared" ref="BM74:BQ75" si="19">BM$66</f>
        <v>0</v>
      </c>
      <c r="BN74" s="722">
        <f t="shared" si="19"/>
        <v>0</v>
      </c>
      <c r="BO74" s="722">
        <f t="shared" si="19"/>
        <v>0</v>
      </c>
      <c r="BP74" s="722">
        <f t="shared" si="19"/>
        <v>0</v>
      </c>
      <c r="BQ74" s="840">
        <f t="shared" si="19"/>
        <v>0</v>
      </c>
      <c r="BR74" s="842">
        <f t="shared" si="3"/>
        <v>0</v>
      </c>
      <c r="BS74" s="839">
        <f t="shared" si="4"/>
        <v>0</v>
      </c>
      <c r="BT74" s="842">
        <f t="shared" si="5"/>
        <v>0</v>
      </c>
      <c r="BU74" s="839">
        <f t="shared" si="6"/>
        <v>0</v>
      </c>
      <c r="BV74" s="841" t="e">
        <f t="shared" si="7"/>
        <v>#VALUE!</v>
      </c>
      <c r="BW74" s="668" t="e">
        <f t="shared" si="8"/>
        <v>#VALUE!</v>
      </c>
      <c r="BX74" s="673" t="e">
        <f t="shared" si="9"/>
        <v>#VALUE!</v>
      </c>
      <c r="BY74" s="729" t="e">
        <f t="shared" si="10"/>
        <v>#VALUE!</v>
      </c>
      <c r="BZ74" s="842">
        <f t="shared" si="11"/>
        <v>4500</v>
      </c>
      <c r="CA74" s="839">
        <f t="shared" si="12"/>
        <v>4500</v>
      </c>
      <c r="CB74" s="842" t="str">
        <f t="shared" si="13"/>
        <v/>
      </c>
      <c r="CC74" s="839" t="str">
        <f t="shared" si="14"/>
        <v/>
      </c>
    </row>
    <row r="75" spans="1:81" s="89" customFormat="1" ht="14.25" customHeight="1" thickBot="1">
      <c r="A75" s="416" t="s">
        <v>318</v>
      </c>
      <c r="B75" s="416" t="s">
        <v>286</v>
      </c>
      <c r="C75" s="417" t="s">
        <v>334</v>
      </c>
      <c r="D75" s="418">
        <v>121660</v>
      </c>
      <c r="E75" s="419">
        <v>129220</v>
      </c>
      <c r="F75" s="418">
        <v>96200</v>
      </c>
      <c r="G75" s="419">
        <v>103760</v>
      </c>
      <c r="H75" s="420">
        <v>1190</v>
      </c>
      <c r="I75" s="421">
        <v>1260</v>
      </c>
      <c r="J75" s="422" t="s">
        <v>731</v>
      </c>
      <c r="K75" s="420">
        <v>940</v>
      </c>
      <c r="L75" s="421">
        <v>1010</v>
      </c>
      <c r="M75" s="422" t="s">
        <v>287</v>
      </c>
      <c r="N75" s="423">
        <v>7560</v>
      </c>
      <c r="O75" s="424">
        <v>70</v>
      </c>
      <c r="P75" s="425"/>
      <c r="Q75" s="425"/>
      <c r="R75" s="1278">
        <v>7200</v>
      </c>
      <c r="S75" s="1281">
        <v>7900</v>
      </c>
      <c r="T75" s="426" t="s">
        <v>288</v>
      </c>
      <c r="U75" s="427">
        <v>15800</v>
      </c>
      <c r="V75" s="428">
        <v>17600</v>
      </c>
      <c r="W75" s="425">
        <v>22680</v>
      </c>
      <c r="X75" s="429">
        <v>220</v>
      </c>
      <c r="Y75" s="1284">
        <v>4500</v>
      </c>
      <c r="Z75" s="1301" t="s">
        <v>289</v>
      </c>
      <c r="AA75" s="430"/>
      <c r="AB75" s="1286">
        <v>26290</v>
      </c>
      <c r="AC75" s="1289">
        <v>260</v>
      </c>
      <c r="AD75" s="1292" t="s">
        <v>290</v>
      </c>
      <c r="AE75" s="1294" t="s">
        <v>290</v>
      </c>
      <c r="AF75" s="1294" t="s">
        <v>290</v>
      </c>
      <c r="AG75" s="1297" t="s">
        <v>290</v>
      </c>
      <c r="AH75" s="1269" t="s">
        <v>296</v>
      </c>
      <c r="AI75" s="88"/>
      <c r="AJ75" s="215"/>
      <c r="AK75" s="216"/>
      <c r="AL75" s="217"/>
      <c r="AM75" s="217"/>
      <c r="AN75" s="156"/>
      <c r="AO75" s="153"/>
      <c r="AP75" s="88"/>
      <c r="AQ75" s="88"/>
      <c r="AR75" s="88"/>
      <c r="AS75" s="88"/>
      <c r="AT75" s="88"/>
      <c r="AU75" s="88"/>
      <c r="AV75" s="88"/>
      <c r="AW75" s="88"/>
      <c r="AY75" s="866" t="s">
        <v>629</v>
      </c>
      <c r="AZ75" s="867" t="s">
        <v>343</v>
      </c>
      <c r="BA75" s="893">
        <f>内訳計算!F35</f>
        <v>0</v>
      </c>
      <c r="BB75" s="868">
        <f t="shared" si="0"/>
        <v>-10478</v>
      </c>
      <c r="BC75" s="891">
        <f>BC66</f>
        <v>10478</v>
      </c>
      <c r="BD75" s="892">
        <f>内訳計算!H35</f>
        <v>0</v>
      </c>
      <c r="BE75" s="893">
        <f>基本情報!G7*AX29</f>
        <v>0</v>
      </c>
      <c r="BF75" s="754">
        <f t="shared" si="1"/>
        <v>0</v>
      </c>
      <c r="BG75" s="871">
        <f>AX29*BB59</f>
        <v>0</v>
      </c>
      <c r="BH75" s="894"/>
      <c r="BI75" s="895"/>
      <c r="BJ75" s="896"/>
      <c r="BK75" s="897"/>
      <c r="BL75" s="893">
        <f>BL$66</f>
        <v>0</v>
      </c>
      <c r="BM75" s="898">
        <f t="shared" si="19"/>
        <v>0</v>
      </c>
      <c r="BN75" s="898">
        <f t="shared" si="19"/>
        <v>0</v>
      </c>
      <c r="BO75" s="898">
        <f t="shared" si="19"/>
        <v>0</v>
      </c>
      <c r="BP75" s="898">
        <f t="shared" si="19"/>
        <v>0</v>
      </c>
      <c r="BQ75" s="892">
        <f t="shared" si="19"/>
        <v>0</v>
      </c>
      <c r="BR75" s="876">
        <f t="shared" si="3"/>
        <v>0</v>
      </c>
      <c r="BS75" s="871">
        <f t="shared" si="4"/>
        <v>0</v>
      </c>
      <c r="BT75" s="876">
        <f t="shared" si="5"/>
        <v>0</v>
      </c>
      <c r="BU75" s="871">
        <f t="shared" si="6"/>
        <v>0</v>
      </c>
      <c r="BV75" s="877" t="e">
        <f t="shared" si="7"/>
        <v>#VALUE!</v>
      </c>
      <c r="BW75" s="868" t="e">
        <f t="shared" si="8"/>
        <v>#VALUE!</v>
      </c>
      <c r="BX75" s="684" t="e">
        <f t="shared" si="9"/>
        <v>#VALUE!</v>
      </c>
      <c r="BY75" s="730" t="e">
        <f t="shared" si="10"/>
        <v>#VALUE!</v>
      </c>
      <c r="BZ75" s="876">
        <f t="shared" si="11"/>
        <v>4500</v>
      </c>
      <c r="CA75" s="871">
        <f t="shared" si="12"/>
        <v>4500</v>
      </c>
      <c r="CB75" s="876" t="str">
        <f t="shared" si="13"/>
        <v/>
      </c>
      <c r="CC75" s="871" t="str">
        <f t="shared" si="14"/>
        <v/>
      </c>
    </row>
    <row r="76" spans="1:81" s="89" customFormat="1" ht="14.25" customHeight="1" thickBot="1">
      <c r="A76" s="431" t="s">
        <v>318</v>
      </c>
      <c r="B76" s="432" t="s">
        <v>286</v>
      </c>
      <c r="C76" s="433" t="s">
        <v>336</v>
      </c>
      <c r="D76" s="434">
        <v>129220</v>
      </c>
      <c r="E76" s="435">
        <v>190180</v>
      </c>
      <c r="F76" s="434">
        <v>103760</v>
      </c>
      <c r="G76" s="435">
        <v>164720</v>
      </c>
      <c r="H76" s="436">
        <v>1260</v>
      </c>
      <c r="I76" s="437">
        <v>1790</v>
      </c>
      <c r="J76" s="438" t="s">
        <v>731</v>
      </c>
      <c r="K76" s="436">
        <v>1010</v>
      </c>
      <c r="L76" s="437">
        <v>1530</v>
      </c>
      <c r="M76" s="438" t="s">
        <v>287</v>
      </c>
      <c r="N76" s="439">
        <v>7560</v>
      </c>
      <c r="O76" s="440">
        <v>70</v>
      </c>
      <c r="P76" s="441"/>
      <c r="Q76" s="441"/>
      <c r="R76" s="1279"/>
      <c r="S76" s="1282"/>
      <c r="T76" s="393" t="s">
        <v>292</v>
      </c>
      <c r="U76" s="442">
        <v>8700</v>
      </c>
      <c r="V76" s="443">
        <v>9700</v>
      </c>
      <c r="W76" s="441">
        <v>22680</v>
      </c>
      <c r="X76" s="444"/>
      <c r="Y76" s="1285"/>
      <c r="Z76" s="1301"/>
      <c r="AA76" s="445"/>
      <c r="AB76" s="1287"/>
      <c r="AC76" s="1290"/>
      <c r="AD76" s="1293"/>
      <c r="AE76" s="1295"/>
      <c r="AF76" s="1295"/>
      <c r="AG76" s="1298"/>
      <c r="AH76" s="1270"/>
      <c r="AI76" s="88"/>
      <c r="AJ76" s="151" t="s">
        <v>394</v>
      </c>
      <c r="AK76" s="151"/>
      <c r="AL76" s="152"/>
      <c r="AM76" s="152"/>
      <c r="AN76" s="151"/>
      <c r="AO76" s="151"/>
      <c r="AP76" s="88"/>
      <c r="AQ76" s="88"/>
      <c r="AR76" s="88"/>
      <c r="AS76" s="88"/>
      <c r="AT76" s="88"/>
      <c r="AU76" s="88"/>
      <c r="AV76" s="88"/>
      <c r="AW76" s="88"/>
      <c r="AY76" s="899" t="s">
        <v>628</v>
      </c>
      <c r="AZ76" s="853" t="s">
        <v>441</v>
      </c>
      <c r="BA76" s="857">
        <f>内訳計算!F38</f>
        <v>0</v>
      </c>
      <c r="BB76" s="855">
        <f t="shared" si="0"/>
        <v>-1809</v>
      </c>
      <c r="BC76" s="855">
        <f>BC64</f>
        <v>1809</v>
      </c>
      <c r="BD76" s="856">
        <f>内訳計算!H38</f>
        <v>0</v>
      </c>
      <c r="BE76" s="857">
        <f>基本情報!G7*AY23</f>
        <v>0</v>
      </c>
      <c r="BF76" s="751">
        <f t="shared" si="1"/>
        <v>0</v>
      </c>
      <c r="BG76" s="858">
        <f>AY23*BB59</f>
        <v>0</v>
      </c>
      <c r="BH76" s="859"/>
      <c r="BI76" s="860"/>
      <c r="BJ76" s="861"/>
      <c r="BK76" s="862"/>
      <c r="BL76" s="857">
        <f>BL$64</f>
        <v>0</v>
      </c>
      <c r="BM76" s="890">
        <f t="shared" ref="BM76:BQ77" si="20">BM$64</f>
        <v>0</v>
      </c>
      <c r="BN76" s="890">
        <f t="shared" si="20"/>
        <v>0</v>
      </c>
      <c r="BO76" s="890">
        <f t="shared" si="20"/>
        <v>0</v>
      </c>
      <c r="BP76" s="890">
        <f t="shared" si="20"/>
        <v>0</v>
      </c>
      <c r="BQ76" s="856">
        <f t="shared" si="20"/>
        <v>0</v>
      </c>
      <c r="BR76" s="863">
        <f t="shared" si="3"/>
        <v>0</v>
      </c>
      <c r="BS76" s="858">
        <f t="shared" si="4"/>
        <v>0</v>
      </c>
      <c r="BT76" s="863">
        <f t="shared" si="5"/>
        <v>0</v>
      </c>
      <c r="BU76" s="858">
        <f t="shared" si="6"/>
        <v>0</v>
      </c>
      <c r="BV76" s="854" t="e">
        <f t="shared" si="7"/>
        <v>#VALUE!</v>
      </c>
      <c r="BW76" s="855" t="e">
        <f t="shared" si="8"/>
        <v>#VALUE!</v>
      </c>
      <c r="BX76" s="779" t="e">
        <f t="shared" si="9"/>
        <v>#VALUE!</v>
      </c>
      <c r="BY76" s="728" t="e">
        <f t="shared" si="10"/>
        <v>#VALUE!</v>
      </c>
      <c r="BZ76" s="863">
        <f t="shared" si="11"/>
        <v>4500</v>
      </c>
      <c r="CA76" s="858">
        <f t="shared" si="12"/>
        <v>4500</v>
      </c>
      <c r="CB76" s="863" t="str">
        <f t="shared" si="13"/>
        <v/>
      </c>
      <c r="CC76" s="858" t="str">
        <f t="shared" si="14"/>
        <v/>
      </c>
    </row>
    <row r="77" spans="1:81" s="89" customFormat="1" ht="14.25" customHeight="1">
      <c r="A77" s="431" t="s">
        <v>318</v>
      </c>
      <c r="B77" s="432" t="s">
        <v>286</v>
      </c>
      <c r="C77" s="433" t="s">
        <v>337</v>
      </c>
      <c r="D77" s="434">
        <v>190180</v>
      </c>
      <c r="E77" s="435">
        <v>265800</v>
      </c>
      <c r="F77" s="434">
        <v>164720</v>
      </c>
      <c r="G77" s="435">
        <v>240340</v>
      </c>
      <c r="H77" s="436">
        <v>1790</v>
      </c>
      <c r="I77" s="437">
        <v>2550</v>
      </c>
      <c r="J77" s="438" t="s">
        <v>731</v>
      </c>
      <c r="K77" s="436">
        <v>1530</v>
      </c>
      <c r="L77" s="437">
        <v>2290</v>
      </c>
      <c r="M77" s="438" t="s">
        <v>287</v>
      </c>
      <c r="N77" s="446"/>
      <c r="O77" s="447"/>
      <c r="P77" s="441"/>
      <c r="Q77" s="441"/>
      <c r="R77" s="1279"/>
      <c r="S77" s="1282"/>
      <c r="T77" s="393" t="s">
        <v>293</v>
      </c>
      <c r="U77" s="442">
        <v>7600</v>
      </c>
      <c r="V77" s="443">
        <v>8400</v>
      </c>
      <c r="W77" s="441">
        <v>22680</v>
      </c>
      <c r="X77" s="444"/>
      <c r="Y77" s="448"/>
      <c r="Z77" s="1301"/>
      <c r="AA77" s="445"/>
      <c r="AB77" s="1287"/>
      <c r="AC77" s="1290"/>
      <c r="AD77" s="1271">
        <v>0.01</v>
      </c>
      <c r="AE77" s="1273">
        <v>0.03</v>
      </c>
      <c r="AF77" s="1273">
        <v>0.04</v>
      </c>
      <c r="AG77" s="1275">
        <v>0.05</v>
      </c>
      <c r="AH77" s="1277">
        <v>0.79</v>
      </c>
      <c r="AI77" s="88"/>
      <c r="AJ77" s="172" t="s">
        <v>387</v>
      </c>
      <c r="AK77" s="228" t="s">
        <v>268</v>
      </c>
      <c r="AL77" s="229" t="s">
        <v>395</v>
      </c>
      <c r="AM77" s="151"/>
      <c r="AN77" s="151"/>
      <c r="AO77" s="151"/>
      <c r="AP77" s="88"/>
      <c r="AQ77" s="88"/>
      <c r="AR77" s="88"/>
      <c r="AS77" s="88"/>
      <c r="AT77" s="88"/>
      <c r="AU77" s="88"/>
      <c r="AV77" s="88"/>
      <c r="AW77" s="88"/>
      <c r="AY77" s="900" t="s">
        <v>628</v>
      </c>
      <c r="AZ77" s="865" t="s">
        <v>442</v>
      </c>
      <c r="BA77" s="843">
        <f>内訳計算!F39</f>
        <v>0</v>
      </c>
      <c r="BB77" s="668">
        <f t="shared" si="0"/>
        <v>-1809</v>
      </c>
      <c r="BC77" s="668">
        <f>BC64</f>
        <v>1809</v>
      </c>
      <c r="BD77" s="840">
        <f>内訳計算!H39</f>
        <v>0</v>
      </c>
      <c r="BE77" s="843">
        <f>基本情報!G7*AY25</f>
        <v>0</v>
      </c>
      <c r="BF77" s="672">
        <f t="shared" si="1"/>
        <v>0</v>
      </c>
      <c r="BG77" s="839">
        <f>AY25*BB59</f>
        <v>0</v>
      </c>
      <c r="BH77" s="842" t="e">
        <f>AV41+AW41*基本情報!G7</f>
        <v>#VALUE!</v>
      </c>
      <c r="BI77" s="844" t="e">
        <f>AV41</f>
        <v>#VALUE!</v>
      </c>
      <c r="BJ77" s="672" t="e">
        <f>+AW41*BB58</f>
        <v>#VALUE!</v>
      </c>
      <c r="BK77" s="839" t="e">
        <f>+AW41*BB59</f>
        <v>#VALUE!</v>
      </c>
      <c r="BL77" s="843">
        <f>BL$64</f>
        <v>0</v>
      </c>
      <c r="BM77" s="722">
        <f t="shared" si="20"/>
        <v>0</v>
      </c>
      <c r="BN77" s="722">
        <f t="shared" si="20"/>
        <v>0</v>
      </c>
      <c r="BO77" s="722">
        <f t="shared" si="20"/>
        <v>0</v>
      </c>
      <c r="BP77" s="722">
        <f t="shared" si="20"/>
        <v>0</v>
      </c>
      <c r="BQ77" s="840">
        <f t="shared" si="20"/>
        <v>0</v>
      </c>
      <c r="BR77" s="842">
        <f t="shared" si="3"/>
        <v>0</v>
      </c>
      <c r="BS77" s="839">
        <f t="shared" si="4"/>
        <v>0</v>
      </c>
      <c r="BT77" s="842">
        <f t="shared" si="5"/>
        <v>0</v>
      </c>
      <c r="BU77" s="839">
        <f t="shared" si="6"/>
        <v>0</v>
      </c>
      <c r="BV77" s="841" t="e">
        <f t="shared" si="7"/>
        <v>#VALUE!</v>
      </c>
      <c r="BW77" s="668" t="e">
        <f t="shared" si="8"/>
        <v>#VALUE!</v>
      </c>
      <c r="BX77" s="673" t="e">
        <f t="shared" si="9"/>
        <v>#VALUE!</v>
      </c>
      <c r="BY77" s="729" t="e">
        <f t="shared" si="10"/>
        <v>#VALUE!</v>
      </c>
      <c r="BZ77" s="842">
        <f t="shared" si="11"/>
        <v>4500</v>
      </c>
      <c r="CA77" s="839">
        <f t="shared" si="12"/>
        <v>4500</v>
      </c>
      <c r="CB77" s="842" t="str">
        <f t="shared" si="13"/>
        <v/>
      </c>
      <c r="CC77" s="839" t="str">
        <f t="shared" si="14"/>
        <v/>
      </c>
    </row>
    <row r="78" spans="1:81" s="89" customFormat="1" ht="14.25" customHeight="1">
      <c r="A78" s="431" t="s">
        <v>318</v>
      </c>
      <c r="B78" s="449" t="s">
        <v>286</v>
      </c>
      <c r="C78" s="450" t="s">
        <v>338</v>
      </c>
      <c r="D78" s="451">
        <v>265800</v>
      </c>
      <c r="E78" s="452"/>
      <c r="F78" s="451">
        <v>240340</v>
      </c>
      <c r="G78" s="452"/>
      <c r="H78" s="439">
        <v>2550</v>
      </c>
      <c r="I78" s="453"/>
      <c r="J78" s="454" t="s">
        <v>731</v>
      </c>
      <c r="K78" s="439">
        <v>2290</v>
      </c>
      <c r="L78" s="453"/>
      <c r="M78" s="454" t="s">
        <v>287</v>
      </c>
      <c r="N78" s="446"/>
      <c r="O78" s="455"/>
      <c r="P78" s="441"/>
      <c r="Q78" s="441"/>
      <c r="R78" s="1280"/>
      <c r="S78" s="1283"/>
      <c r="T78" s="456" t="s">
        <v>294</v>
      </c>
      <c r="U78" s="457">
        <v>6800</v>
      </c>
      <c r="V78" s="458">
        <v>7500</v>
      </c>
      <c r="W78" s="459">
        <v>22680</v>
      </c>
      <c r="X78" s="460"/>
      <c r="Y78" s="448"/>
      <c r="Z78" s="1301"/>
      <c r="AA78" s="445"/>
      <c r="AB78" s="1288"/>
      <c r="AC78" s="1291"/>
      <c r="AD78" s="1272"/>
      <c r="AE78" s="1274"/>
      <c r="AF78" s="1274"/>
      <c r="AG78" s="1276"/>
      <c r="AH78" s="1277"/>
      <c r="AI78" s="88"/>
      <c r="AJ78" s="230" t="s">
        <v>389</v>
      </c>
      <c r="AK78" s="190">
        <v>7790</v>
      </c>
      <c r="AL78" s="231">
        <v>70</v>
      </c>
      <c r="AM78" s="156"/>
      <c r="AN78" s="151"/>
      <c r="AO78" s="151"/>
      <c r="AP78" s="88"/>
      <c r="AQ78" s="88"/>
      <c r="AR78" s="88"/>
      <c r="AS78" s="88"/>
      <c r="AT78" s="88"/>
      <c r="AU78" s="88"/>
      <c r="AV78" s="88"/>
      <c r="AW78" s="88"/>
      <c r="AY78" s="900" t="s">
        <v>628</v>
      </c>
      <c r="AZ78" s="865" t="s">
        <v>342</v>
      </c>
      <c r="BA78" s="843">
        <f>内訳計算!F40</f>
        <v>0</v>
      </c>
      <c r="BB78" s="668">
        <f t="shared" si="0"/>
        <v>-10478</v>
      </c>
      <c r="BC78" s="668">
        <f>BC66</f>
        <v>10478</v>
      </c>
      <c r="BD78" s="840">
        <f>内訳計算!H40</f>
        <v>0</v>
      </c>
      <c r="BE78" s="843">
        <f>基本情報!G7*AY27</f>
        <v>0</v>
      </c>
      <c r="BF78" s="672">
        <f t="shared" si="1"/>
        <v>0</v>
      </c>
      <c r="BG78" s="839">
        <f>AY27*BB59</f>
        <v>0</v>
      </c>
      <c r="BH78" s="845"/>
      <c r="BI78" s="846"/>
      <c r="BJ78" s="776"/>
      <c r="BK78" s="847"/>
      <c r="BL78" s="843">
        <f>BL$66</f>
        <v>0</v>
      </c>
      <c r="BM78" s="722">
        <f t="shared" ref="BM78:BQ79" si="21">BM$66</f>
        <v>0</v>
      </c>
      <c r="BN78" s="722">
        <f t="shared" si="21"/>
        <v>0</v>
      </c>
      <c r="BO78" s="722">
        <f t="shared" si="21"/>
        <v>0</v>
      </c>
      <c r="BP78" s="722">
        <f t="shared" si="21"/>
        <v>0</v>
      </c>
      <c r="BQ78" s="840">
        <f t="shared" si="21"/>
        <v>0</v>
      </c>
      <c r="BR78" s="842">
        <f t="shared" si="3"/>
        <v>0</v>
      </c>
      <c r="BS78" s="839">
        <f t="shared" si="4"/>
        <v>0</v>
      </c>
      <c r="BT78" s="842">
        <f t="shared" si="5"/>
        <v>0</v>
      </c>
      <c r="BU78" s="839">
        <f t="shared" si="6"/>
        <v>0</v>
      </c>
      <c r="BV78" s="841" t="e">
        <f t="shared" si="7"/>
        <v>#VALUE!</v>
      </c>
      <c r="BW78" s="668" t="e">
        <f t="shared" si="8"/>
        <v>#VALUE!</v>
      </c>
      <c r="BX78" s="673" t="e">
        <f t="shared" si="9"/>
        <v>#VALUE!</v>
      </c>
      <c r="BY78" s="729" t="e">
        <f t="shared" si="10"/>
        <v>#VALUE!</v>
      </c>
      <c r="BZ78" s="842">
        <f t="shared" si="11"/>
        <v>4500</v>
      </c>
      <c r="CA78" s="839">
        <f t="shared" si="12"/>
        <v>4500</v>
      </c>
      <c r="CB78" s="842" t="str">
        <f t="shared" si="13"/>
        <v/>
      </c>
      <c r="CC78" s="839" t="str">
        <f t="shared" si="14"/>
        <v/>
      </c>
    </row>
    <row r="79" spans="1:81" s="89" customFormat="1" ht="13.5" customHeight="1" thickBot="1">
      <c r="A79" s="431" t="s">
        <v>318</v>
      </c>
      <c r="B79" s="416" t="s">
        <v>295</v>
      </c>
      <c r="C79" s="417" t="s">
        <v>334</v>
      </c>
      <c r="D79" s="418">
        <v>87730</v>
      </c>
      <c r="E79" s="419">
        <v>95290</v>
      </c>
      <c r="F79" s="418">
        <v>70760</v>
      </c>
      <c r="G79" s="419">
        <v>78320</v>
      </c>
      <c r="H79" s="420">
        <v>850</v>
      </c>
      <c r="I79" s="421">
        <v>920</v>
      </c>
      <c r="J79" s="422" t="s">
        <v>731</v>
      </c>
      <c r="K79" s="420">
        <v>680</v>
      </c>
      <c r="L79" s="421">
        <v>750</v>
      </c>
      <c r="M79" s="422" t="s">
        <v>287</v>
      </c>
      <c r="N79" s="423">
        <v>7560</v>
      </c>
      <c r="O79" s="424">
        <v>70</v>
      </c>
      <c r="P79" s="441"/>
      <c r="Q79" s="441"/>
      <c r="R79" s="1278">
        <v>5000</v>
      </c>
      <c r="S79" s="1281">
        <v>5500</v>
      </c>
      <c r="T79" s="426" t="s">
        <v>288</v>
      </c>
      <c r="U79" s="427">
        <v>10900</v>
      </c>
      <c r="V79" s="428">
        <v>12200</v>
      </c>
      <c r="W79" s="425">
        <v>15120</v>
      </c>
      <c r="X79" s="429">
        <v>150</v>
      </c>
      <c r="Y79" s="1284">
        <v>4500</v>
      </c>
      <c r="Z79" s="1301"/>
      <c r="AA79" s="445"/>
      <c r="AB79" s="1286">
        <v>17520</v>
      </c>
      <c r="AC79" s="1289">
        <v>170</v>
      </c>
      <c r="AD79" s="1292" t="s">
        <v>290</v>
      </c>
      <c r="AE79" s="1294" t="s">
        <v>290</v>
      </c>
      <c r="AF79" s="1294" t="s">
        <v>290</v>
      </c>
      <c r="AG79" s="1297" t="s">
        <v>290</v>
      </c>
      <c r="AH79" s="1269" t="s">
        <v>296</v>
      </c>
      <c r="AI79" s="88"/>
      <c r="AJ79" s="232" t="s">
        <v>318</v>
      </c>
      <c r="AK79" s="190">
        <v>7560</v>
      </c>
      <c r="AL79" s="231">
        <v>70</v>
      </c>
      <c r="AM79" s="156"/>
      <c r="AN79" s="151"/>
      <c r="AO79" s="151"/>
      <c r="AP79" s="88"/>
      <c r="AQ79" s="88"/>
      <c r="AR79" s="88"/>
      <c r="AS79" s="88"/>
      <c r="AT79" s="88"/>
      <c r="AU79" s="88"/>
      <c r="AV79" s="88"/>
      <c r="AW79" s="88"/>
      <c r="AY79" s="901" t="s">
        <v>628</v>
      </c>
      <c r="AZ79" s="867" t="s">
        <v>343</v>
      </c>
      <c r="BA79" s="870">
        <f>内訳計算!F41</f>
        <v>0</v>
      </c>
      <c r="BB79" s="868">
        <f t="shared" si="0"/>
        <v>-10478</v>
      </c>
      <c r="BC79" s="868">
        <f>BC66</f>
        <v>10478</v>
      </c>
      <c r="BD79" s="869">
        <f>内訳計算!H41</f>
        <v>0</v>
      </c>
      <c r="BE79" s="870">
        <f>基本情報!G7*AY29</f>
        <v>0</v>
      </c>
      <c r="BF79" s="754">
        <f>BE79-BG79</f>
        <v>0</v>
      </c>
      <c r="BG79" s="871">
        <f>AY29*BB59</f>
        <v>0</v>
      </c>
      <c r="BH79" s="872"/>
      <c r="BI79" s="873"/>
      <c r="BJ79" s="874"/>
      <c r="BK79" s="875"/>
      <c r="BL79" s="870">
        <f>BL$66</f>
        <v>0</v>
      </c>
      <c r="BM79" s="889">
        <f t="shared" si="21"/>
        <v>0</v>
      </c>
      <c r="BN79" s="889">
        <f t="shared" si="21"/>
        <v>0</v>
      </c>
      <c r="BO79" s="889">
        <f t="shared" si="21"/>
        <v>0</v>
      </c>
      <c r="BP79" s="889">
        <f t="shared" si="21"/>
        <v>0</v>
      </c>
      <c r="BQ79" s="869">
        <f t="shared" si="21"/>
        <v>0</v>
      </c>
      <c r="BR79" s="876">
        <f t="shared" si="3"/>
        <v>0</v>
      </c>
      <c r="BS79" s="871">
        <f t="shared" si="4"/>
        <v>0</v>
      </c>
      <c r="BT79" s="876">
        <f t="shared" si="5"/>
        <v>0</v>
      </c>
      <c r="BU79" s="871">
        <f t="shared" si="6"/>
        <v>0</v>
      </c>
      <c r="BV79" s="877" t="e">
        <f t="shared" si="7"/>
        <v>#VALUE!</v>
      </c>
      <c r="BW79" s="868" t="e">
        <f t="shared" si="8"/>
        <v>#VALUE!</v>
      </c>
      <c r="BX79" s="684" t="e">
        <f t="shared" si="9"/>
        <v>#VALUE!</v>
      </c>
      <c r="BY79" s="730" t="e">
        <f t="shared" si="10"/>
        <v>#VALUE!</v>
      </c>
      <c r="BZ79" s="876">
        <f t="shared" si="11"/>
        <v>4500</v>
      </c>
      <c r="CA79" s="871">
        <f t="shared" si="12"/>
        <v>4500</v>
      </c>
      <c r="CB79" s="876" t="str">
        <f t="shared" si="13"/>
        <v/>
      </c>
      <c r="CC79" s="871" t="str">
        <f t="shared" si="14"/>
        <v/>
      </c>
    </row>
    <row r="80" spans="1:81" s="89" customFormat="1" ht="13.5" customHeight="1">
      <c r="A80" s="431" t="s">
        <v>318</v>
      </c>
      <c r="B80" s="432" t="s">
        <v>297</v>
      </c>
      <c r="C80" s="433" t="s">
        <v>336</v>
      </c>
      <c r="D80" s="434">
        <v>95290</v>
      </c>
      <c r="E80" s="435">
        <v>156250</v>
      </c>
      <c r="F80" s="434">
        <v>78320</v>
      </c>
      <c r="G80" s="435">
        <v>139280</v>
      </c>
      <c r="H80" s="436">
        <v>920</v>
      </c>
      <c r="I80" s="437">
        <v>1450</v>
      </c>
      <c r="J80" s="438" t="s">
        <v>731</v>
      </c>
      <c r="K80" s="436">
        <v>750</v>
      </c>
      <c r="L80" s="437">
        <v>1280</v>
      </c>
      <c r="M80" s="438" t="s">
        <v>287</v>
      </c>
      <c r="N80" s="439">
        <v>7560</v>
      </c>
      <c r="O80" s="440">
        <v>70</v>
      </c>
      <c r="P80" s="441"/>
      <c r="Q80" s="441"/>
      <c r="R80" s="1279"/>
      <c r="S80" s="1282"/>
      <c r="T80" s="393" t="s">
        <v>292</v>
      </c>
      <c r="U80" s="442">
        <v>6000</v>
      </c>
      <c r="V80" s="443">
        <v>6700</v>
      </c>
      <c r="W80" s="441">
        <v>15120</v>
      </c>
      <c r="X80" s="444"/>
      <c r="Y80" s="1285"/>
      <c r="Z80" s="1301"/>
      <c r="AA80" s="445"/>
      <c r="AB80" s="1287"/>
      <c r="AC80" s="1290"/>
      <c r="AD80" s="1293"/>
      <c r="AE80" s="1295"/>
      <c r="AF80" s="1295"/>
      <c r="AG80" s="1298"/>
      <c r="AH80" s="1270"/>
      <c r="AI80" s="88"/>
      <c r="AJ80" s="230" t="s">
        <v>396</v>
      </c>
      <c r="AK80" s="190">
        <v>7500</v>
      </c>
      <c r="AL80" s="231">
        <v>70</v>
      </c>
      <c r="AM80" s="156"/>
      <c r="AN80" s="151"/>
      <c r="AO80" s="151"/>
      <c r="AP80" s="88"/>
      <c r="AQ80" s="88"/>
      <c r="AR80" s="88"/>
      <c r="AS80" s="88"/>
      <c r="AT80" s="88"/>
      <c r="AU80" s="88"/>
      <c r="AV80" s="88"/>
      <c r="AW80" s="88"/>
    </row>
    <row r="81" spans="1:87" s="89" customFormat="1" ht="13.5" customHeight="1">
      <c r="A81" s="431" t="s">
        <v>318</v>
      </c>
      <c r="B81" s="432" t="s">
        <v>297</v>
      </c>
      <c r="C81" s="433" t="s">
        <v>337</v>
      </c>
      <c r="D81" s="434">
        <v>156250</v>
      </c>
      <c r="E81" s="435">
        <v>231870</v>
      </c>
      <c r="F81" s="434">
        <v>139280</v>
      </c>
      <c r="G81" s="435">
        <v>214900</v>
      </c>
      <c r="H81" s="436">
        <v>1450</v>
      </c>
      <c r="I81" s="437">
        <v>2210</v>
      </c>
      <c r="J81" s="438" t="s">
        <v>731</v>
      </c>
      <c r="K81" s="436">
        <v>1280</v>
      </c>
      <c r="L81" s="437">
        <v>2040</v>
      </c>
      <c r="M81" s="438" t="s">
        <v>287</v>
      </c>
      <c r="N81" s="446"/>
      <c r="O81" s="447"/>
      <c r="P81" s="461"/>
      <c r="Q81" s="461"/>
      <c r="R81" s="1279"/>
      <c r="S81" s="1282"/>
      <c r="T81" s="393" t="s">
        <v>293</v>
      </c>
      <c r="U81" s="442">
        <v>5200</v>
      </c>
      <c r="V81" s="443">
        <v>5800</v>
      </c>
      <c r="W81" s="441">
        <v>15120</v>
      </c>
      <c r="X81" s="444"/>
      <c r="Y81" s="448"/>
      <c r="Z81" s="1301"/>
      <c r="AA81" s="445"/>
      <c r="AB81" s="1287"/>
      <c r="AC81" s="1290"/>
      <c r="AD81" s="1271">
        <v>0.01</v>
      </c>
      <c r="AE81" s="1273">
        <v>0.03</v>
      </c>
      <c r="AF81" s="1273">
        <v>0.04</v>
      </c>
      <c r="AG81" s="1275">
        <v>0.05</v>
      </c>
      <c r="AH81" s="1277">
        <v>0.87</v>
      </c>
      <c r="AI81" s="88"/>
      <c r="AJ81" s="232" t="s">
        <v>390</v>
      </c>
      <c r="AK81" s="190">
        <v>7320</v>
      </c>
      <c r="AL81" s="231">
        <v>70</v>
      </c>
      <c r="AM81" s="156"/>
      <c r="AN81" s="151"/>
      <c r="AO81" s="151"/>
      <c r="AP81" s="88"/>
      <c r="AQ81" s="88"/>
      <c r="AR81" s="88"/>
      <c r="AS81" s="88"/>
      <c r="AT81" s="88"/>
      <c r="AU81" s="88"/>
      <c r="AV81" s="88"/>
      <c r="AW81" s="88"/>
    </row>
    <row r="82" spans="1:87" s="89" customFormat="1" ht="13.5" customHeight="1">
      <c r="A82" s="431" t="s">
        <v>318</v>
      </c>
      <c r="B82" s="449" t="s">
        <v>297</v>
      </c>
      <c r="C82" s="450" t="s">
        <v>338</v>
      </c>
      <c r="D82" s="451">
        <v>231870</v>
      </c>
      <c r="E82" s="452"/>
      <c r="F82" s="451">
        <v>214900</v>
      </c>
      <c r="G82" s="452"/>
      <c r="H82" s="439">
        <v>2210</v>
      </c>
      <c r="I82" s="453"/>
      <c r="J82" s="454" t="s">
        <v>731</v>
      </c>
      <c r="K82" s="439">
        <v>2040</v>
      </c>
      <c r="L82" s="453"/>
      <c r="M82" s="454" t="s">
        <v>287</v>
      </c>
      <c r="N82" s="446"/>
      <c r="O82" s="455"/>
      <c r="P82" s="461"/>
      <c r="Q82" s="461"/>
      <c r="R82" s="1280"/>
      <c r="S82" s="1283"/>
      <c r="T82" s="456" t="s">
        <v>294</v>
      </c>
      <c r="U82" s="457">
        <v>4700</v>
      </c>
      <c r="V82" s="458">
        <v>5200</v>
      </c>
      <c r="W82" s="459">
        <v>15120</v>
      </c>
      <c r="X82" s="460"/>
      <c r="Y82" s="448"/>
      <c r="Z82" s="1301"/>
      <c r="AA82" s="445"/>
      <c r="AB82" s="1288"/>
      <c r="AC82" s="1291"/>
      <c r="AD82" s="1272"/>
      <c r="AE82" s="1274"/>
      <c r="AF82" s="1274"/>
      <c r="AG82" s="1276"/>
      <c r="AH82" s="1277"/>
      <c r="AI82" s="88"/>
      <c r="AJ82" s="232" t="s">
        <v>397</v>
      </c>
      <c r="AK82" s="190">
        <v>7210</v>
      </c>
      <c r="AL82" s="231">
        <v>70</v>
      </c>
      <c r="AM82" s="156"/>
      <c r="AN82" s="151"/>
      <c r="AO82" s="151"/>
      <c r="AP82" s="88"/>
      <c r="AQ82" s="88"/>
      <c r="AR82" s="88"/>
      <c r="AS82" s="88"/>
      <c r="AT82" s="88"/>
      <c r="AU82" s="88"/>
      <c r="AV82" s="88"/>
      <c r="AW82" s="88"/>
    </row>
    <row r="83" spans="1:87" ht="13.5" customHeight="1">
      <c r="A83" s="431" t="s">
        <v>318</v>
      </c>
      <c r="B83" s="416" t="s">
        <v>298</v>
      </c>
      <c r="C83" s="417" t="s">
        <v>334</v>
      </c>
      <c r="D83" s="418">
        <v>71030</v>
      </c>
      <c r="E83" s="419">
        <v>78590</v>
      </c>
      <c r="F83" s="418">
        <v>58300</v>
      </c>
      <c r="G83" s="419">
        <v>65860</v>
      </c>
      <c r="H83" s="420">
        <v>690</v>
      </c>
      <c r="I83" s="421">
        <v>760</v>
      </c>
      <c r="J83" s="422" t="s">
        <v>731</v>
      </c>
      <c r="K83" s="420">
        <v>560</v>
      </c>
      <c r="L83" s="421">
        <v>630</v>
      </c>
      <c r="M83" s="422" t="s">
        <v>287</v>
      </c>
      <c r="N83" s="423">
        <v>7560</v>
      </c>
      <c r="O83" s="424">
        <v>70</v>
      </c>
      <c r="P83" s="461"/>
      <c r="Q83" s="461"/>
      <c r="R83" s="1278">
        <v>4400</v>
      </c>
      <c r="S83" s="1281">
        <v>4800</v>
      </c>
      <c r="T83" s="426" t="s">
        <v>288</v>
      </c>
      <c r="U83" s="427">
        <v>9800</v>
      </c>
      <c r="V83" s="428">
        <v>10900</v>
      </c>
      <c r="W83" s="425">
        <v>11340</v>
      </c>
      <c r="X83" s="429">
        <v>110</v>
      </c>
      <c r="Y83" s="1284">
        <v>4500</v>
      </c>
      <c r="Z83" s="1301"/>
      <c r="AA83" s="445"/>
      <c r="AB83" s="1286">
        <v>13140</v>
      </c>
      <c r="AC83" s="1289">
        <v>130</v>
      </c>
      <c r="AD83" s="1292" t="s">
        <v>290</v>
      </c>
      <c r="AE83" s="1294" t="s">
        <v>290</v>
      </c>
      <c r="AF83" s="1294" t="s">
        <v>290</v>
      </c>
      <c r="AG83" s="1297" t="s">
        <v>290</v>
      </c>
      <c r="AH83" s="1269" t="s">
        <v>296</v>
      </c>
      <c r="AJ83" s="232" t="s">
        <v>391</v>
      </c>
      <c r="AK83" s="190">
        <v>6970</v>
      </c>
      <c r="AL83" s="231">
        <v>60</v>
      </c>
      <c r="AM83" s="156"/>
      <c r="AN83" s="151"/>
      <c r="AO83" s="151"/>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c r="BW83" s="89"/>
      <c r="BX83" s="89"/>
      <c r="BY83" s="89"/>
      <c r="BZ83" s="89"/>
      <c r="CA83" s="89"/>
      <c r="CB83" s="89"/>
      <c r="CC83" s="89"/>
      <c r="CD83" s="89"/>
      <c r="CE83" s="89"/>
      <c r="CF83" s="89"/>
      <c r="CG83" s="89"/>
      <c r="CH83" s="89"/>
      <c r="CI83" s="89"/>
    </row>
    <row r="84" spans="1:87" ht="13.5" customHeight="1">
      <c r="A84" s="431" t="s">
        <v>318</v>
      </c>
      <c r="B84" s="432" t="s">
        <v>299</v>
      </c>
      <c r="C84" s="433" t="s">
        <v>336</v>
      </c>
      <c r="D84" s="434">
        <v>78590</v>
      </c>
      <c r="E84" s="435">
        <v>139550</v>
      </c>
      <c r="F84" s="434">
        <v>65860</v>
      </c>
      <c r="G84" s="435">
        <v>126820</v>
      </c>
      <c r="H84" s="436">
        <v>760</v>
      </c>
      <c r="I84" s="437">
        <v>1280</v>
      </c>
      <c r="J84" s="438" t="s">
        <v>731</v>
      </c>
      <c r="K84" s="436">
        <v>630</v>
      </c>
      <c r="L84" s="437">
        <v>1150</v>
      </c>
      <c r="M84" s="438" t="s">
        <v>287</v>
      </c>
      <c r="N84" s="439">
        <v>7560</v>
      </c>
      <c r="O84" s="440">
        <v>70</v>
      </c>
      <c r="P84" s="461"/>
      <c r="Q84" s="461"/>
      <c r="R84" s="1279"/>
      <c r="S84" s="1282"/>
      <c r="T84" s="393" t="s">
        <v>292</v>
      </c>
      <c r="U84" s="442">
        <v>5400</v>
      </c>
      <c r="V84" s="443">
        <v>6000</v>
      </c>
      <c r="W84" s="441">
        <v>11340</v>
      </c>
      <c r="X84" s="444"/>
      <c r="Y84" s="1285"/>
      <c r="Z84" s="1301"/>
      <c r="AA84" s="445"/>
      <c r="AB84" s="1287"/>
      <c r="AC84" s="1290"/>
      <c r="AD84" s="1293"/>
      <c r="AE84" s="1295"/>
      <c r="AF84" s="1295"/>
      <c r="AG84" s="1298"/>
      <c r="AH84" s="1270"/>
      <c r="AJ84" s="232" t="s">
        <v>392</v>
      </c>
      <c r="AK84" s="190">
        <v>6800</v>
      </c>
      <c r="AL84" s="231">
        <v>60</v>
      </c>
      <c r="AM84" s="156"/>
      <c r="AN84" s="151"/>
      <c r="AO84" s="151"/>
    </row>
    <row r="85" spans="1:87" ht="13.5" customHeight="1" thickBot="1">
      <c r="A85" s="431" t="s">
        <v>318</v>
      </c>
      <c r="B85" s="432" t="s">
        <v>299</v>
      </c>
      <c r="C85" s="433" t="s">
        <v>337</v>
      </c>
      <c r="D85" s="434">
        <v>139550</v>
      </c>
      <c r="E85" s="435">
        <v>215170</v>
      </c>
      <c r="F85" s="434">
        <v>126820</v>
      </c>
      <c r="G85" s="435">
        <v>202440</v>
      </c>
      <c r="H85" s="436">
        <v>1280</v>
      </c>
      <c r="I85" s="437">
        <v>2040</v>
      </c>
      <c r="J85" s="438" t="s">
        <v>731</v>
      </c>
      <c r="K85" s="436">
        <v>1150</v>
      </c>
      <c r="L85" s="437">
        <v>1910</v>
      </c>
      <c r="M85" s="438" t="s">
        <v>287</v>
      </c>
      <c r="N85" s="446"/>
      <c r="O85" s="447"/>
      <c r="P85" s="461"/>
      <c r="Q85" s="461"/>
      <c r="R85" s="1279"/>
      <c r="S85" s="1282"/>
      <c r="T85" s="393" t="s">
        <v>293</v>
      </c>
      <c r="U85" s="442">
        <v>4700</v>
      </c>
      <c r="V85" s="443">
        <v>5200</v>
      </c>
      <c r="W85" s="441">
        <v>11340</v>
      </c>
      <c r="X85" s="444"/>
      <c r="Y85" s="448"/>
      <c r="Z85" s="1301"/>
      <c r="AA85" s="445"/>
      <c r="AB85" s="1287"/>
      <c r="AC85" s="1290"/>
      <c r="AD85" s="1271">
        <v>0.01</v>
      </c>
      <c r="AE85" s="1273">
        <v>0.03</v>
      </c>
      <c r="AF85" s="1273">
        <v>0.04</v>
      </c>
      <c r="AG85" s="1275">
        <v>0.05</v>
      </c>
      <c r="AH85" s="1277">
        <v>0.96</v>
      </c>
      <c r="AJ85" s="186" t="s">
        <v>393</v>
      </c>
      <c r="AK85" s="233">
        <v>6620</v>
      </c>
      <c r="AL85" s="234">
        <v>60</v>
      </c>
      <c r="AM85" s="156"/>
      <c r="AN85" s="151"/>
      <c r="AO85" s="151"/>
    </row>
    <row r="86" spans="1:87" ht="13.5" customHeight="1">
      <c r="A86" s="431" t="s">
        <v>318</v>
      </c>
      <c r="B86" s="449" t="s">
        <v>299</v>
      </c>
      <c r="C86" s="450" t="s">
        <v>338</v>
      </c>
      <c r="D86" s="451">
        <v>215170</v>
      </c>
      <c r="E86" s="452"/>
      <c r="F86" s="451">
        <v>202440</v>
      </c>
      <c r="G86" s="452"/>
      <c r="H86" s="439">
        <v>2040</v>
      </c>
      <c r="I86" s="453"/>
      <c r="J86" s="454" t="s">
        <v>731</v>
      </c>
      <c r="K86" s="439">
        <v>1910</v>
      </c>
      <c r="L86" s="453"/>
      <c r="M86" s="454" t="s">
        <v>287</v>
      </c>
      <c r="N86" s="446"/>
      <c r="O86" s="455"/>
      <c r="P86" s="461"/>
      <c r="Q86" s="461"/>
      <c r="R86" s="1280"/>
      <c r="S86" s="1283"/>
      <c r="T86" s="456" t="s">
        <v>294</v>
      </c>
      <c r="U86" s="457">
        <v>4200</v>
      </c>
      <c r="V86" s="458">
        <v>4600</v>
      </c>
      <c r="W86" s="459">
        <v>11340</v>
      </c>
      <c r="X86" s="460"/>
      <c r="Y86" s="448"/>
      <c r="Z86" s="1301"/>
      <c r="AA86" s="445"/>
      <c r="AB86" s="1288"/>
      <c r="AC86" s="1291"/>
      <c r="AD86" s="1272"/>
      <c r="AE86" s="1274"/>
      <c r="AF86" s="1274"/>
      <c r="AG86" s="1276"/>
      <c r="AH86" s="1277"/>
    </row>
    <row r="87" spans="1:87" ht="13.5" customHeight="1">
      <c r="A87" s="431" t="s">
        <v>318</v>
      </c>
      <c r="B87" s="416" t="s">
        <v>300</v>
      </c>
      <c r="C87" s="417" t="s">
        <v>334</v>
      </c>
      <c r="D87" s="418">
        <v>66450</v>
      </c>
      <c r="E87" s="419">
        <v>74010</v>
      </c>
      <c r="F87" s="418">
        <v>56270</v>
      </c>
      <c r="G87" s="419">
        <v>63830</v>
      </c>
      <c r="H87" s="420">
        <v>640</v>
      </c>
      <c r="I87" s="421">
        <v>710</v>
      </c>
      <c r="J87" s="422" t="s">
        <v>731</v>
      </c>
      <c r="K87" s="420">
        <v>540</v>
      </c>
      <c r="L87" s="421">
        <v>610</v>
      </c>
      <c r="M87" s="422" t="s">
        <v>287</v>
      </c>
      <c r="N87" s="423">
        <v>7560</v>
      </c>
      <c r="O87" s="424">
        <v>70</v>
      </c>
      <c r="P87" s="1300"/>
      <c r="Q87" s="1300"/>
      <c r="R87" s="1278">
        <v>4000</v>
      </c>
      <c r="S87" s="1281">
        <v>4400</v>
      </c>
      <c r="T87" s="426" t="s">
        <v>288</v>
      </c>
      <c r="U87" s="427">
        <v>8800</v>
      </c>
      <c r="V87" s="428">
        <v>9800</v>
      </c>
      <c r="W87" s="425">
        <v>9070</v>
      </c>
      <c r="X87" s="429">
        <v>90</v>
      </c>
      <c r="Y87" s="1284">
        <v>4500</v>
      </c>
      <c r="Z87" s="1301"/>
      <c r="AA87" s="445"/>
      <c r="AB87" s="1286">
        <v>10510</v>
      </c>
      <c r="AC87" s="1289">
        <v>100</v>
      </c>
      <c r="AD87" s="1292" t="s">
        <v>290</v>
      </c>
      <c r="AE87" s="1294" t="s">
        <v>290</v>
      </c>
      <c r="AF87" s="1294" t="s">
        <v>290</v>
      </c>
      <c r="AG87" s="1297" t="s">
        <v>290</v>
      </c>
      <c r="AH87" s="1269" t="s">
        <v>296</v>
      </c>
      <c r="AJ87" s="151"/>
      <c r="AK87" s="151"/>
      <c r="AL87" s="152"/>
      <c r="AM87" s="152"/>
      <c r="AN87" s="151"/>
      <c r="AO87" s="153"/>
    </row>
    <row r="88" spans="1:87" ht="13.5" customHeight="1" thickBot="1">
      <c r="A88" s="431" t="s">
        <v>318</v>
      </c>
      <c r="B88" s="432" t="s">
        <v>301</v>
      </c>
      <c r="C88" s="433" t="s">
        <v>336</v>
      </c>
      <c r="D88" s="434">
        <v>74010</v>
      </c>
      <c r="E88" s="435">
        <v>134970</v>
      </c>
      <c r="F88" s="434">
        <v>63830</v>
      </c>
      <c r="G88" s="435">
        <v>124790</v>
      </c>
      <c r="H88" s="436">
        <v>710</v>
      </c>
      <c r="I88" s="437">
        <v>1230</v>
      </c>
      <c r="J88" s="438" t="s">
        <v>731</v>
      </c>
      <c r="K88" s="436">
        <v>610</v>
      </c>
      <c r="L88" s="437">
        <v>1130</v>
      </c>
      <c r="M88" s="438" t="s">
        <v>287</v>
      </c>
      <c r="N88" s="439">
        <v>7560</v>
      </c>
      <c r="O88" s="440">
        <v>70</v>
      </c>
      <c r="P88" s="1300"/>
      <c r="Q88" s="1300"/>
      <c r="R88" s="1279"/>
      <c r="S88" s="1282"/>
      <c r="T88" s="393" t="s">
        <v>292</v>
      </c>
      <c r="U88" s="442">
        <v>4800</v>
      </c>
      <c r="V88" s="443">
        <v>5400</v>
      </c>
      <c r="W88" s="441">
        <v>9070</v>
      </c>
      <c r="X88" s="444"/>
      <c r="Y88" s="1285"/>
      <c r="Z88" s="1301"/>
      <c r="AA88" s="445"/>
      <c r="AB88" s="1287"/>
      <c r="AC88" s="1290"/>
      <c r="AD88" s="1293"/>
      <c r="AE88" s="1295"/>
      <c r="AF88" s="1295"/>
      <c r="AG88" s="1298"/>
      <c r="AH88" s="1270"/>
      <c r="AJ88" s="150" t="s">
        <v>373</v>
      </c>
      <c r="AK88" s="151"/>
      <c r="AL88" s="152"/>
      <c r="AM88" s="152"/>
      <c r="AN88" s="151"/>
      <c r="AO88" s="153"/>
      <c r="AS88" s="248" t="s">
        <v>415</v>
      </c>
      <c r="AT88" s="151"/>
      <c r="AU88" s="151"/>
      <c r="AV88" s="151"/>
      <c r="AW88" s="151"/>
      <c r="AX88" s="151"/>
    </row>
    <row r="89" spans="1:87" ht="13.5" customHeight="1">
      <c r="A89" s="431" t="s">
        <v>318</v>
      </c>
      <c r="B89" s="432" t="s">
        <v>301</v>
      </c>
      <c r="C89" s="433" t="s">
        <v>337</v>
      </c>
      <c r="D89" s="434">
        <v>134970</v>
      </c>
      <c r="E89" s="435">
        <v>210590</v>
      </c>
      <c r="F89" s="434">
        <v>124790</v>
      </c>
      <c r="G89" s="435">
        <v>200410</v>
      </c>
      <c r="H89" s="436">
        <v>1230</v>
      </c>
      <c r="I89" s="437">
        <v>1990</v>
      </c>
      <c r="J89" s="438" t="s">
        <v>731</v>
      </c>
      <c r="K89" s="436">
        <v>1130</v>
      </c>
      <c r="L89" s="437">
        <v>1890</v>
      </c>
      <c r="M89" s="438" t="s">
        <v>287</v>
      </c>
      <c r="N89" s="446"/>
      <c r="O89" s="447"/>
      <c r="P89" s="1300"/>
      <c r="Q89" s="1300"/>
      <c r="R89" s="1279"/>
      <c r="S89" s="1282"/>
      <c r="T89" s="393" t="s">
        <v>293</v>
      </c>
      <c r="U89" s="442">
        <v>4200</v>
      </c>
      <c r="V89" s="443">
        <v>4700</v>
      </c>
      <c r="W89" s="441">
        <v>9070</v>
      </c>
      <c r="X89" s="444"/>
      <c r="Y89" s="448"/>
      <c r="Z89" s="1301"/>
      <c r="AA89" s="445"/>
      <c r="AB89" s="1287"/>
      <c r="AC89" s="1290"/>
      <c r="AD89" s="1271">
        <v>0.01</v>
      </c>
      <c r="AE89" s="1273">
        <v>0.03</v>
      </c>
      <c r="AF89" s="1273">
        <v>0.04</v>
      </c>
      <c r="AG89" s="1275">
        <v>0.06</v>
      </c>
      <c r="AH89" s="1277">
        <v>0.92</v>
      </c>
      <c r="AJ89" s="192" t="s">
        <v>220</v>
      </c>
      <c r="AK89" s="193" t="s">
        <v>221</v>
      </c>
      <c r="AL89" s="194" t="s">
        <v>374</v>
      </c>
      <c r="AM89" s="195" t="s">
        <v>375</v>
      </c>
      <c r="AN89" s="196" t="s">
        <v>376</v>
      </c>
      <c r="AO89" s="197" t="s">
        <v>353</v>
      </c>
      <c r="AS89" s="240" t="s">
        <v>340</v>
      </c>
      <c r="AT89" s="246" t="s">
        <v>341</v>
      </c>
      <c r="AU89" s="241" t="s">
        <v>416</v>
      </c>
      <c r="AV89" s="247" t="s">
        <v>417</v>
      </c>
      <c r="AW89" s="241" t="s">
        <v>418</v>
      </c>
      <c r="AX89" s="247" t="s">
        <v>419</v>
      </c>
    </row>
    <row r="90" spans="1:87" ht="13.5" customHeight="1">
      <c r="A90" s="431" t="s">
        <v>318</v>
      </c>
      <c r="B90" s="449" t="s">
        <v>301</v>
      </c>
      <c r="C90" s="450" t="s">
        <v>338</v>
      </c>
      <c r="D90" s="451">
        <v>210590</v>
      </c>
      <c r="E90" s="452"/>
      <c r="F90" s="451">
        <v>200410</v>
      </c>
      <c r="G90" s="452"/>
      <c r="H90" s="439">
        <v>1990</v>
      </c>
      <c r="I90" s="453"/>
      <c r="J90" s="454" t="s">
        <v>731</v>
      </c>
      <c r="K90" s="439">
        <v>1890</v>
      </c>
      <c r="L90" s="453"/>
      <c r="M90" s="454" t="s">
        <v>287</v>
      </c>
      <c r="N90" s="446"/>
      <c r="O90" s="455"/>
      <c r="P90" s="441"/>
      <c r="Q90" s="441"/>
      <c r="R90" s="1280"/>
      <c r="S90" s="1283"/>
      <c r="T90" s="456" t="s">
        <v>294</v>
      </c>
      <c r="U90" s="457">
        <v>3800</v>
      </c>
      <c r="V90" s="458">
        <v>4200</v>
      </c>
      <c r="W90" s="459">
        <v>9070</v>
      </c>
      <c r="X90" s="460"/>
      <c r="Y90" s="448"/>
      <c r="Z90" s="1301"/>
      <c r="AA90" s="445"/>
      <c r="AB90" s="1288"/>
      <c r="AC90" s="1291"/>
      <c r="AD90" s="1272"/>
      <c r="AE90" s="1274"/>
      <c r="AF90" s="1274"/>
      <c r="AG90" s="1276"/>
      <c r="AH90" s="1277"/>
      <c r="AJ90" s="198" t="s">
        <v>286</v>
      </c>
      <c r="AK90" s="160" t="s">
        <v>378</v>
      </c>
      <c r="AL90" s="161">
        <v>28840</v>
      </c>
      <c r="AM90" s="162">
        <v>230</v>
      </c>
      <c r="AN90" s="163">
        <v>5136</v>
      </c>
      <c r="AO90" s="199">
        <v>124</v>
      </c>
      <c r="AS90" s="243" t="str">
        <f>基本情報!AC4</f>
        <v/>
      </c>
      <c r="AT90" s="244" t="s">
        <v>377</v>
      </c>
      <c r="AU90" s="245">
        <f>IFERROR(DGET(AJ89:AO123,AU89,AS89:AT90),0)</f>
        <v>0</v>
      </c>
      <c r="AV90" s="245">
        <f>IFERROR(DGET(AJ89:AO123,AV89,AS89:AT90),0)</f>
        <v>0</v>
      </c>
      <c r="AW90" s="245">
        <f>IFERROR(DGET(AJ89:AO123,AW89,AS89:AT90),0)</f>
        <v>0</v>
      </c>
      <c r="AX90" s="245">
        <f>IFERROR(DGET(AJ89:AO123,AX89,AS89:AT90),0)</f>
        <v>0</v>
      </c>
    </row>
    <row r="91" spans="1:87" ht="13.5" customHeight="1">
      <c r="A91" s="431" t="s">
        <v>318</v>
      </c>
      <c r="B91" s="416" t="s">
        <v>303</v>
      </c>
      <c r="C91" s="417" t="s">
        <v>334</v>
      </c>
      <c r="D91" s="418">
        <v>58230</v>
      </c>
      <c r="E91" s="419">
        <v>65790</v>
      </c>
      <c r="F91" s="418">
        <v>49740</v>
      </c>
      <c r="G91" s="419">
        <v>57300</v>
      </c>
      <c r="H91" s="420">
        <v>560</v>
      </c>
      <c r="I91" s="421">
        <v>630</v>
      </c>
      <c r="J91" s="422" t="s">
        <v>731</v>
      </c>
      <c r="K91" s="420">
        <v>470</v>
      </c>
      <c r="L91" s="421">
        <v>540</v>
      </c>
      <c r="M91" s="422" t="s">
        <v>287</v>
      </c>
      <c r="N91" s="423">
        <v>7560</v>
      </c>
      <c r="O91" s="424">
        <v>70</v>
      </c>
      <c r="P91" s="441"/>
      <c r="Q91" s="441"/>
      <c r="R91" s="1278">
        <v>3300</v>
      </c>
      <c r="S91" s="1281">
        <v>3600</v>
      </c>
      <c r="T91" s="426" t="s">
        <v>288</v>
      </c>
      <c r="U91" s="427">
        <v>7200</v>
      </c>
      <c r="V91" s="428">
        <v>8100</v>
      </c>
      <c r="W91" s="425">
        <v>7560</v>
      </c>
      <c r="X91" s="429">
        <v>70</v>
      </c>
      <c r="Y91" s="1284">
        <v>4500</v>
      </c>
      <c r="Z91" s="1301"/>
      <c r="AA91" s="445"/>
      <c r="AB91" s="1286">
        <v>8760</v>
      </c>
      <c r="AC91" s="1289">
        <v>80</v>
      </c>
      <c r="AD91" s="1292" t="s">
        <v>290</v>
      </c>
      <c r="AE91" s="1294" t="s">
        <v>290</v>
      </c>
      <c r="AF91" s="1294" t="s">
        <v>290</v>
      </c>
      <c r="AG91" s="1297" t="s">
        <v>290</v>
      </c>
      <c r="AH91" s="1269" t="s">
        <v>296</v>
      </c>
      <c r="AJ91" s="198" t="s">
        <v>286</v>
      </c>
      <c r="AK91" s="160" t="s">
        <v>377</v>
      </c>
      <c r="AL91" s="161">
        <v>30560</v>
      </c>
      <c r="AM91" s="162">
        <v>230</v>
      </c>
      <c r="AN91" s="163">
        <v>6848</v>
      </c>
      <c r="AO91" s="199">
        <v>124</v>
      </c>
      <c r="AS91" s="240" t="s">
        <v>340</v>
      </c>
      <c r="AT91" s="240" t="s">
        <v>341</v>
      </c>
      <c r="AU91" s="241" t="s">
        <v>416</v>
      </c>
      <c r="AV91" s="247" t="s">
        <v>417</v>
      </c>
      <c r="AW91" s="241" t="s">
        <v>418</v>
      </c>
      <c r="AX91" s="247" t="s">
        <v>419</v>
      </c>
    </row>
    <row r="92" spans="1:87" ht="13.5" customHeight="1">
      <c r="A92" s="431" t="s">
        <v>318</v>
      </c>
      <c r="B92" s="431" t="s">
        <v>303</v>
      </c>
      <c r="C92" s="433" t="s">
        <v>336</v>
      </c>
      <c r="D92" s="434">
        <v>65790</v>
      </c>
      <c r="E92" s="435">
        <v>126750</v>
      </c>
      <c r="F92" s="434">
        <v>57300</v>
      </c>
      <c r="G92" s="435">
        <v>118260</v>
      </c>
      <c r="H92" s="436">
        <v>630</v>
      </c>
      <c r="I92" s="437">
        <v>1150</v>
      </c>
      <c r="J92" s="438" t="s">
        <v>731</v>
      </c>
      <c r="K92" s="436">
        <v>540</v>
      </c>
      <c r="L92" s="437">
        <v>1070</v>
      </c>
      <c r="M92" s="438" t="s">
        <v>287</v>
      </c>
      <c r="N92" s="439">
        <v>7560</v>
      </c>
      <c r="O92" s="440">
        <v>70</v>
      </c>
      <c r="P92" s="462"/>
      <c r="Q92" s="462"/>
      <c r="R92" s="1279"/>
      <c r="S92" s="1282"/>
      <c r="T92" s="393" t="s">
        <v>292</v>
      </c>
      <c r="U92" s="442">
        <v>4000</v>
      </c>
      <c r="V92" s="443">
        <v>4400</v>
      </c>
      <c r="W92" s="441">
        <v>7560</v>
      </c>
      <c r="X92" s="444">
        <v>70</v>
      </c>
      <c r="Y92" s="1285"/>
      <c r="Z92" s="1301"/>
      <c r="AA92" s="445"/>
      <c r="AB92" s="1287"/>
      <c r="AC92" s="1290"/>
      <c r="AD92" s="1293"/>
      <c r="AE92" s="1295"/>
      <c r="AF92" s="1295"/>
      <c r="AG92" s="1298"/>
      <c r="AH92" s="1270"/>
      <c r="AJ92" s="198" t="s">
        <v>379</v>
      </c>
      <c r="AK92" s="160" t="s">
        <v>378</v>
      </c>
      <c r="AL92" s="161">
        <v>20950</v>
      </c>
      <c r="AM92" s="162">
        <v>150</v>
      </c>
      <c r="AN92" s="163">
        <v>5136</v>
      </c>
      <c r="AO92" s="199">
        <v>82</v>
      </c>
      <c r="AS92" s="243" t="str">
        <f>基本情報!AC4</f>
        <v/>
      </c>
      <c r="AT92" s="244" t="s">
        <v>378</v>
      </c>
      <c r="AU92" s="245">
        <f>IFERROR(DGET(AJ89:AO123,AU91,AS91:AT92),0)</f>
        <v>0</v>
      </c>
      <c r="AV92" s="245">
        <f>IFERROR(DGET(AJ89:AO123,AV91,AS91:AT92),0)</f>
        <v>0</v>
      </c>
      <c r="AW92" s="245">
        <f>IFERROR(DGET(AJ89:AO123,AW91,AS91:AT92),0)</f>
        <v>0</v>
      </c>
      <c r="AX92" s="245">
        <f>IFERROR(DGET(AJ89:AO123,AX91,AS91:AT92),0)</f>
        <v>0</v>
      </c>
    </row>
    <row r="93" spans="1:87" ht="13.5" customHeight="1">
      <c r="A93" s="431" t="s">
        <v>318</v>
      </c>
      <c r="B93" s="431" t="s">
        <v>303</v>
      </c>
      <c r="C93" s="433" t="s">
        <v>337</v>
      </c>
      <c r="D93" s="434">
        <v>126750</v>
      </c>
      <c r="E93" s="435">
        <v>202370</v>
      </c>
      <c r="F93" s="434">
        <v>118260</v>
      </c>
      <c r="G93" s="435">
        <v>193880</v>
      </c>
      <c r="H93" s="436">
        <v>1150</v>
      </c>
      <c r="I93" s="437">
        <v>1910</v>
      </c>
      <c r="J93" s="438" t="s">
        <v>731</v>
      </c>
      <c r="K93" s="436">
        <v>1070</v>
      </c>
      <c r="L93" s="437">
        <v>1830</v>
      </c>
      <c r="M93" s="438" t="s">
        <v>287</v>
      </c>
      <c r="N93" s="446"/>
      <c r="O93" s="447"/>
      <c r="P93" s="441"/>
      <c r="Q93" s="441"/>
      <c r="R93" s="1279"/>
      <c r="S93" s="1282"/>
      <c r="T93" s="393" t="s">
        <v>293</v>
      </c>
      <c r="U93" s="442">
        <v>3500</v>
      </c>
      <c r="V93" s="443">
        <v>3800</v>
      </c>
      <c r="W93" s="441">
        <v>7560</v>
      </c>
      <c r="X93" s="444">
        <v>70</v>
      </c>
      <c r="Y93" s="448"/>
      <c r="Z93" s="1301"/>
      <c r="AA93" s="445"/>
      <c r="AB93" s="1287"/>
      <c r="AC93" s="1290"/>
      <c r="AD93" s="1271">
        <v>0.01</v>
      </c>
      <c r="AE93" s="1273">
        <v>0.03</v>
      </c>
      <c r="AF93" s="1273">
        <v>0.04</v>
      </c>
      <c r="AG93" s="1275">
        <v>0.06</v>
      </c>
      <c r="AH93" s="1277">
        <v>0.9</v>
      </c>
      <c r="AJ93" s="198" t="s">
        <v>379</v>
      </c>
      <c r="AK93" s="160" t="s">
        <v>377</v>
      </c>
      <c r="AL93" s="161">
        <v>22670</v>
      </c>
      <c r="AM93" s="162">
        <v>150</v>
      </c>
      <c r="AN93" s="163">
        <v>6848</v>
      </c>
      <c r="AO93" s="199">
        <v>82</v>
      </c>
    </row>
    <row r="94" spans="1:87" ht="13.5" customHeight="1">
      <c r="A94" s="431" t="s">
        <v>318</v>
      </c>
      <c r="B94" s="463" t="s">
        <v>303</v>
      </c>
      <c r="C94" s="450" t="s">
        <v>338</v>
      </c>
      <c r="D94" s="451">
        <v>202370</v>
      </c>
      <c r="E94" s="452"/>
      <c r="F94" s="451">
        <v>193880</v>
      </c>
      <c r="G94" s="452"/>
      <c r="H94" s="439">
        <v>1910</v>
      </c>
      <c r="I94" s="453"/>
      <c r="J94" s="454" t="s">
        <v>731</v>
      </c>
      <c r="K94" s="439">
        <v>1830</v>
      </c>
      <c r="L94" s="453"/>
      <c r="M94" s="454" t="s">
        <v>287</v>
      </c>
      <c r="N94" s="446"/>
      <c r="O94" s="455"/>
      <c r="P94" s="441"/>
      <c r="Q94" s="441"/>
      <c r="R94" s="1280"/>
      <c r="S94" s="1283"/>
      <c r="T94" s="456" t="s">
        <v>294</v>
      </c>
      <c r="U94" s="457">
        <v>3100</v>
      </c>
      <c r="V94" s="458">
        <v>3400</v>
      </c>
      <c r="W94" s="459">
        <v>7560</v>
      </c>
      <c r="X94" s="460">
        <v>70</v>
      </c>
      <c r="Y94" s="448"/>
      <c r="Z94" s="1301"/>
      <c r="AA94" s="445"/>
      <c r="AB94" s="1288"/>
      <c r="AC94" s="1291"/>
      <c r="AD94" s="1272"/>
      <c r="AE94" s="1274"/>
      <c r="AF94" s="1274"/>
      <c r="AG94" s="1276"/>
      <c r="AH94" s="1277"/>
      <c r="AJ94" s="198" t="s">
        <v>380</v>
      </c>
      <c r="AK94" s="160" t="s">
        <v>378</v>
      </c>
      <c r="AL94" s="161">
        <v>17000</v>
      </c>
      <c r="AM94" s="162">
        <v>110</v>
      </c>
      <c r="AN94" s="163">
        <v>5136</v>
      </c>
      <c r="AO94" s="199">
        <v>62</v>
      </c>
    </row>
    <row r="95" spans="1:87" ht="13.5" customHeight="1">
      <c r="A95" s="431" t="s">
        <v>318</v>
      </c>
      <c r="B95" s="416" t="s">
        <v>304</v>
      </c>
      <c r="C95" s="417" t="s">
        <v>334</v>
      </c>
      <c r="D95" s="418">
        <v>52430</v>
      </c>
      <c r="E95" s="419">
        <v>59990</v>
      </c>
      <c r="F95" s="418">
        <v>45160</v>
      </c>
      <c r="G95" s="419">
        <v>52720</v>
      </c>
      <c r="H95" s="420">
        <v>500</v>
      </c>
      <c r="I95" s="421">
        <v>570</v>
      </c>
      <c r="J95" s="422" t="s">
        <v>731</v>
      </c>
      <c r="K95" s="420">
        <v>430</v>
      </c>
      <c r="L95" s="421">
        <v>500</v>
      </c>
      <c r="M95" s="422" t="s">
        <v>287</v>
      </c>
      <c r="N95" s="423">
        <v>7560</v>
      </c>
      <c r="O95" s="424">
        <v>70</v>
      </c>
      <c r="P95" s="462"/>
      <c r="Q95" s="462"/>
      <c r="R95" s="1278">
        <v>2800</v>
      </c>
      <c r="S95" s="1281">
        <v>3100</v>
      </c>
      <c r="T95" s="426" t="s">
        <v>288</v>
      </c>
      <c r="U95" s="427">
        <v>6300</v>
      </c>
      <c r="V95" s="428">
        <v>7100</v>
      </c>
      <c r="W95" s="425">
        <v>6480</v>
      </c>
      <c r="X95" s="429">
        <v>60</v>
      </c>
      <c r="Y95" s="1284">
        <v>4500</v>
      </c>
      <c r="Z95" s="1301"/>
      <c r="AA95" s="445"/>
      <c r="AB95" s="1286">
        <v>7510</v>
      </c>
      <c r="AC95" s="1289">
        <v>70</v>
      </c>
      <c r="AD95" s="1292" t="s">
        <v>290</v>
      </c>
      <c r="AE95" s="1294" t="s">
        <v>290</v>
      </c>
      <c r="AF95" s="1294" t="s">
        <v>290</v>
      </c>
      <c r="AG95" s="1297" t="s">
        <v>290</v>
      </c>
      <c r="AH95" s="1269" t="s">
        <v>296</v>
      </c>
      <c r="AJ95" s="198" t="s">
        <v>380</v>
      </c>
      <c r="AK95" s="160" t="s">
        <v>377</v>
      </c>
      <c r="AL95" s="161">
        <v>18720</v>
      </c>
      <c r="AM95" s="162">
        <v>110</v>
      </c>
      <c r="AN95" s="163">
        <v>6848</v>
      </c>
      <c r="AO95" s="199">
        <v>62</v>
      </c>
    </row>
    <row r="96" spans="1:87" ht="13.5" customHeight="1">
      <c r="A96" s="431" t="s">
        <v>318</v>
      </c>
      <c r="B96" s="432" t="s">
        <v>304</v>
      </c>
      <c r="C96" s="433" t="s">
        <v>336</v>
      </c>
      <c r="D96" s="434">
        <v>59990</v>
      </c>
      <c r="E96" s="435">
        <v>120950</v>
      </c>
      <c r="F96" s="434">
        <v>52720</v>
      </c>
      <c r="G96" s="435">
        <v>113680</v>
      </c>
      <c r="H96" s="436">
        <v>570</v>
      </c>
      <c r="I96" s="437">
        <v>1090</v>
      </c>
      <c r="J96" s="438" t="s">
        <v>731</v>
      </c>
      <c r="K96" s="436">
        <v>500</v>
      </c>
      <c r="L96" s="437">
        <v>1020</v>
      </c>
      <c r="M96" s="438" t="s">
        <v>287</v>
      </c>
      <c r="N96" s="439">
        <v>7560</v>
      </c>
      <c r="O96" s="440">
        <v>70</v>
      </c>
      <c r="P96" s="441"/>
      <c r="Q96" s="441"/>
      <c r="R96" s="1279"/>
      <c r="S96" s="1282"/>
      <c r="T96" s="393" t="s">
        <v>292</v>
      </c>
      <c r="U96" s="442">
        <v>3500</v>
      </c>
      <c r="V96" s="443">
        <v>3900</v>
      </c>
      <c r="W96" s="441">
        <v>6480</v>
      </c>
      <c r="X96" s="444">
        <v>60</v>
      </c>
      <c r="Y96" s="1285"/>
      <c r="Z96" s="1301"/>
      <c r="AA96" s="445"/>
      <c r="AB96" s="1287"/>
      <c r="AC96" s="1290"/>
      <c r="AD96" s="1293"/>
      <c r="AE96" s="1295"/>
      <c r="AF96" s="1295"/>
      <c r="AG96" s="1298"/>
      <c r="AH96" s="1270"/>
      <c r="AJ96" s="198" t="s">
        <v>381</v>
      </c>
      <c r="AK96" s="160" t="s">
        <v>378</v>
      </c>
      <c r="AL96" s="161">
        <v>14630</v>
      </c>
      <c r="AM96" s="162">
        <v>90</v>
      </c>
      <c r="AN96" s="163">
        <v>5136</v>
      </c>
      <c r="AO96" s="199">
        <v>49</v>
      </c>
    </row>
    <row r="97" spans="1:41" ht="13.5" customHeight="1">
      <c r="A97" s="431" t="s">
        <v>318</v>
      </c>
      <c r="B97" s="432" t="s">
        <v>304</v>
      </c>
      <c r="C97" s="433" t="s">
        <v>337</v>
      </c>
      <c r="D97" s="434">
        <v>120950</v>
      </c>
      <c r="E97" s="435">
        <v>196570</v>
      </c>
      <c r="F97" s="434">
        <v>113680</v>
      </c>
      <c r="G97" s="435">
        <v>189300</v>
      </c>
      <c r="H97" s="436">
        <v>1090</v>
      </c>
      <c r="I97" s="437">
        <v>1850</v>
      </c>
      <c r="J97" s="438" t="s">
        <v>731</v>
      </c>
      <c r="K97" s="436">
        <v>1020</v>
      </c>
      <c r="L97" s="437">
        <v>1780</v>
      </c>
      <c r="M97" s="438" t="s">
        <v>287</v>
      </c>
      <c r="N97" s="446"/>
      <c r="O97" s="447"/>
      <c r="P97" s="441"/>
      <c r="Q97" s="441"/>
      <c r="R97" s="1279"/>
      <c r="S97" s="1282"/>
      <c r="T97" s="393" t="s">
        <v>293</v>
      </c>
      <c r="U97" s="442">
        <v>3000</v>
      </c>
      <c r="V97" s="443">
        <v>3400</v>
      </c>
      <c r="W97" s="441">
        <v>6480</v>
      </c>
      <c r="X97" s="444">
        <v>60</v>
      </c>
      <c r="Y97" s="448"/>
      <c r="Z97" s="1301"/>
      <c r="AA97" s="445"/>
      <c r="AB97" s="1287"/>
      <c r="AC97" s="1290"/>
      <c r="AD97" s="1271">
        <v>0.01</v>
      </c>
      <c r="AE97" s="1273">
        <v>0.03</v>
      </c>
      <c r="AF97" s="1273">
        <v>0.04</v>
      </c>
      <c r="AG97" s="1275">
        <v>0.06</v>
      </c>
      <c r="AH97" s="1277">
        <v>0.92</v>
      </c>
      <c r="AJ97" s="198" t="s">
        <v>381</v>
      </c>
      <c r="AK97" s="160" t="s">
        <v>377</v>
      </c>
      <c r="AL97" s="161">
        <v>16350</v>
      </c>
      <c r="AM97" s="162">
        <v>90</v>
      </c>
      <c r="AN97" s="163">
        <v>6848</v>
      </c>
      <c r="AO97" s="199">
        <v>49</v>
      </c>
    </row>
    <row r="98" spans="1:41" ht="13.5" customHeight="1">
      <c r="A98" s="431" t="s">
        <v>318</v>
      </c>
      <c r="B98" s="449" t="s">
        <v>304</v>
      </c>
      <c r="C98" s="450" t="s">
        <v>338</v>
      </c>
      <c r="D98" s="451">
        <v>196570</v>
      </c>
      <c r="E98" s="452"/>
      <c r="F98" s="451">
        <v>189300</v>
      </c>
      <c r="G98" s="452"/>
      <c r="H98" s="439">
        <v>1850</v>
      </c>
      <c r="I98" s="453"/>
      <c r="J98" s="454" t="s">
        <v>731</v>
      </c>
      <c r="K98" s="439">
        <v>1780</v>
      </c>
      <c r="L98" s="453"/>
      <c r="M98" s="454" t="s">
        <v>287</v>
      </c>
      <c r="N98" s="446"/>
      <c r="O98" s="455"/>
      <c r="P98" s="462"/>
      <c r="Q98" s="462"/>
      <c r="R98" s="1280"/>
      <c r="S98" s="1283"/>
      <c r="T98" s="456" t="s">
        <v>294</v>
      </c>
      <c r="U98" s="457">
        <v>2700</v>
      </c>
      <c r="V98" s="458">
        <v>3000</v>
      </c>
      <c r="W98" s="459">
        <v>6480</v>
      </c>
      <c r="X98" s="460">
        <v>60</v>
      </c>
      <c r="Y98" s="448"/>
      <c r="Z98" s="1301"/>
      <c r="AA98" s="445"/>
      <c r="AB98" s="1288"/>
      <c r="AC98" s="1291"/>
      <c r="AD98" s="1272"/>
      <c r="AE98" s="1274"/>
      <c r="AF98" s="1274"/>
      <c r="AG98" s="1276"/>
      <c r="AH98" s="1277"/>
      <c r="AJ98" s="198" t="s">
        <v>382</v>
      </c>
      <c r="AK98" s="160" t="s">
        <v>378</v>
      </c>
      <c r="AL98" s="161">
        <v>13050</v>
      </c>
      <c r="AM98" s="162">
        <v>70</v>
      </c>
      <c r="AN98" s="163">
        <v>5136</v>
      </c>
      <c r="AO98" s="199">
        <v>41</v>
      </c>
    </row>
    <row r="99" spans="1:41" ht="13.5" customHeight="1">
      <c r="A99" s="431" t="s">
        <v>318</v>
      </c>
      <c r="B99" s="416" t="s">
        <v>305</v>
      </c>
      <c r="C99" s="417" t="s">
        <v>334</v>
      </c>
      <c r="D99" s="418">
        <v>48140</v>
      </c>
      <c r="E99" s="419">
        <v>55700</v>
      </c>
      <c r="F99" s="418">
        <v>41770</v>
      </c>
      <c r="G99" s="419">
        <v>49330</v>
      </c>
      <c r="H99" s="420">
        <v>460</v>
      </c>
      <c r="I99" s="421">
        <v>530</v>
      </c>
      <c r="J99" s="422" t="s">
        <v>731</v>
      </c>
      <c r="K99" s="420">
        <v>390</v>
      </c>
      <c r="L99" s="421">
        <v>460</v>
      </c>
      <c r="M99" s="422" t="s">
        <v>287</v>
      </c>
      <c r="N99" s="423">
        <v>7560</v>
      </c>
      <c r="O99" s="424">
        <v>70</v>
      </c>
      <c r="P99" s="441"/>
      <c r="Q99" s="441"/>
      <c r="R99" s="1278">
        <v>3200</v>
      </c>
      <c r="S99" s="1281">
        <v>3600</v>
      </c>
      <c r="T99" s="426" t="s">
        <v>288</v>
      </c>
      <c r="U99" s="427">
        <v>7100</v>
      </c>
      <c r="V99" s="428">
        <v>7900</v>
      </c>
      <c r="W99" s="425">
        <v>5670</v>
      </c>
      <c r="X99" s="429">
        <v>50</v>
      </c>
      <c r="Y99" s="1284">
        <v>4500</v>
      </c>
      <c r="Z99" s="1301"/>
      <c r="AA99" s="445"/>
      <c r="AB99" s="1286">
        <v>6570</v>
      </c>
      <c r="AC99" s="1289">
        <v>60</v>
      </c>
      <c r="AD99" s="1292" t="s">
        <v>290</v>
      </c>
      <c r="AE99" s="1294" t="s">
        <v>290</v>
      </c>
      <c r="AF99" s="1294" t="s">
        <v>290</v>
      </c>
      <c r="AG99" s="1297" t="s">
        <v>290</v>
      </c>
      <c r="AH99" s="1269" t="s">
        <v>296</v>
      </c>
      <c r="AJ99" s="198" t="s">
        <v>382</v>
      </c>
      <c r="AK99" s="160" t="s">
        <v>377</v>
      </c>
      <c r="AL99" s="161">
        <v>14770</v>
      </c>
      <c r="AM99" s="162">
        <v>70</v>
      </c>
      <c r="AN99" s="163">
        <v>6848</v>
      </c>
      <c r="AO99" s="199">
        <v>41</v>
      </c>
    </row>
    <row r="100" spans="1:41" ht="13.5" customHeight="1">
      <c r="A100" s="431" t="s">
        <v>318</v>
      </c>
      <c r="B100" s="432" t="s">
        <v>305</v>
      </c>
      <c r="C100" s="433" t="s">
        <v>336</v>
      </c>
      <c r="D100" s="434">
        <v>55700</v>
      </c>
      <c r="E100" s="435">
        <v>116660</v>
      </c>
      <c r="F100" s="434">
        <v>49330</v>
      </c>
      <c r="G100" s="435">
        <v>110290</v>
      </c>
      <c r="H100" s="436">
        <v>530</v>
      </c>
      <c r="I100" s="437">
        <v>1050</v>
      </c>
      <c r="J100" s="438" t="s">
        <v>731</v>
      </c>
      <c r="K100" s="436">
        <v>460</v>
      </c>
      <c r="L100" s="437">
        <v>990</v>
      </c>
      <c r="M100" s="438" t="s">
        <v>287</v>
      </c>
      <c r="N100" s="439">
        <v>7560</v>
      </c>
      <c r="O100" s="440">
        <v>70</v>
      </c>
      <c r="P100" s="441"/>
      <c r="Q100" s="441"/>
      <c r="R100" s="1279"/>
      <c r="S100" s="1282"/>
      <c r="T100" s="393" t="s">
        <v>292</v>
      </c>
      <c r="U100" s="442">
        <v>3900</v>
      </c>
      <c r="V100" s="443">
        <v>4300</v>
      </c>
      <c r="W100" s="441">
        <v>5670</v>
      </c>
      <c r="X100" s="444">
        <v>50</v>
      </c>
      <c r="Y100" s="1285"/>
      <c r="Z100" s="1301"/>
      <c r="AA100" s="445"/>
      <c r="AB100" s="1287"/>
      <c r="AC100" s="1290"/>
      <c r="AD100" s="1293"/>
      <c r="AE100" s="1295"/>
      <c r="AF100" s="1295"/>
      <c r="AG100" s="1298"/>
      <c r="AH100" s="1270"/>
      <c r="AJ100" s="198" t="s">
        <v>383</v>
      </c>
      <c r="AK100" s="160" t="s">
        <v>378</v>
      </c>
      <c r="AL100" s="161">
        <v>11920</v>
      </c>
      <c r="AM100" s="162">
        <v>60</v>
      </c>
      <c r="AN100" s="163">
        <v>5136</v>
      </c>
      <c r="AO100" s="199">
        <v>35</v>
      </c>
    </row>
    <row r="101" spans="1:41" ht="13.5" customHeight="1">
      <c r="A101" s="431" t="s">
        <v>318</v>
      </c>
      <c r="B101" s="432" t="s">
        <v>305</v>
      </c>
      <c r="C101" s="433" t="s">
        <v>337</v>
      </c>
      <c r="D101" s="434">
        <v>116660</v>
      </c>
      <c r="E101" s="435">
        <v>192280</v>
      </c>
      <c r="F101" s="434">
        <v>110290</v>
      </c>
      <c r="G101" s="435">
        <v>185910</v>
      </c>
      <c r="H101" s="436">
        <v>1050</v>
      </c>
      <c r="I101" s="437">
        <v>1810</v>
      </c>
      <c r="J101" s="438" t="s">
        <v>731</v>
      </c>
      <c r="K101" s="436">
        <v>990</v>
      </c>
      <c r="L101" s="437">
        <v>1750</v>
      </c>
      <c r="M101" s="438" t="s">
        <v>287</v>
      </c>
      <c r="N101" s="446"/>
      <c r="O101" s="447"/>
      <c r="P101" s="462"/>
      <c r="Q101" s="462"/>
      <c r="R101" s="1279"/>
      <c r="S101" s="1282"/>
      <c r="T101" s="393" t="s">
        <v>293</v>
      </c>
      <c r="U101" s="442">
        <v>3400</v>
      </c>
      <c r="V101" s="443">
        <v>3800</v>
      </c>
      <c r="W101" s="441">
        <v>5670</v>
      </c>
      <c r="X101" s="444">
        <v>50</v>
      </c>
      <c r="Y101" s="448"/>
      <c r="Z101" s="1301"/>
      <c r="AA101" s="462"/>
      <c r="AB101" s="1287"/>
      <c r="AC101" s="1290"/>
      <c r="AD101" s="1271">
        <v>0.01</v>
      </c>
      <c r="AE101" s="1273">
        <v>0.03</v>
      </c>
      <c r="AF101" s="1273">
        <v>0.04</v>
      </c>
      <c r="AG101" s="1275">
        <v>0.06</v>
      </c>
      <c r="AH101" s="1277">
        <v>0.89</v>
      </c>
      <c r="AJ101" s="198" t="s">
        <v>383</v>
      </c>
      <c r="AK101" s="160" t="s">
        <v>377</v>
      </c>
      <c r="AL101" s="161">
        <v>13640</v>
      </c>
      <c r="AM101" s="162">
        <v>60</v>
      </c>
      <c r="AN101" s="163">
        <v>6848</v>
      </c>
      <c r="AO101" s="199">
        <v>35</v>
      </c>
    </row>
    <row r="102" spans="1:41" ht="13.5" customHeight="1">
      <c r="A102" s="431" t="s">
        <v>318</v>
      </c>
      <c r="B102" s="449" t="s">
        <v>305</v>
      </c>
      <c r="C102" s="450" t="s">
        <v>338</v>
      </c>
      <c r="D102" s="451">
        <v>192280</v>
      </c>
      <c r="E102" s="452"/>
      <c r="F102" s="451">
        <v>185910</v>
      </c>
      <c r="G102" s="452"/>
      <c r="H102" s="439">
        <v>1810</v>
      </c>
      <c r="I102" s="453"/>
      <c r="J102" s="454" t="s">
        <v>731</v>
      </c>
      <c r="K102" s="439">
        <v>1750</v>
      </c>
      <c r="L102" s="453"/>
      <c r="M102" s="454" t="s">
        <v>287</v>
      </c>
      <c r="N102" s="446"/>
      <c r="O102" s="455"/>
      <c r="P102" s="441"/>
      <c r="Q102" s="441"/>
      <c r="R102" s="1280"/>
      <c r="S102" s="1283"/>
      <c r="T102" s="456" t="s">
        <v>294</v>
      </c>
      <c r="U102" s="457">
        <v>3000</v>
      </c>
      <c r="V102" s="458">
        <v>3400</v>
      </c>
      <c r="W102" s="459">
        <v>5670</v>
      </c>
      <c r="X102" s="460">
        <v>50</v>
      </c>
      <c r="Y102" s="448"/>
      <c r="Z102" s="1301"/>
      <c r="AA102" s="462"/>
      <c r="AB102" s="1288"/>
      <c r="AC102" s="1291"/>
      <c r="AD102" s="1272"/>
      <c r="AE102" s="1274"/>
      <c r="AF102" s="1274"/>
      <c r="AG102" s="1276"/>
      <c r="AH102" s="1277"/>
      <c r="AJ102" s="198" t="s">
        <v>384</v>
      </c>
      <c r="AK102" s="160" t="s">
        <v>378</v>
      </c>
      <c r="AL102" s="161">
        <v>11080</v>
      </c>
      <c r="AM102" s="162">
        <v>50</v>
      </c>
      <c r="AN102" s="163">
        <v>5136</v>
      </c>
      <c r="AO102" s="199">
        <v>31</v>
      </c>
    </row>
    <row r="103" spans="1:41" ht="13.5" customHeight="1">
      <c r="A103" s="431" t="s">
        <v>318</v>
      </c>
      <c r="B103" s="416" t="s">
        <v>306</v>
      </c>
      <c r="C103" s="417" t="s">
        <v>334</v>
      </c>
      <c r="D103" s="418">
        <v>44750</v>
      </c>
      <c r="E103" s="419">
        <v>52310</v>
      </c>
      <c r="F103" s="418">
        <v>39090</v>
      </c>
      <c r="G103" s="419">
        <v>46650</v>
      </c>
      <c r="H103" s="420">
        <v>420</v>
      </c>
      <c r="I103" s="421">
        <v>490</v>
      </c>
      <c r="J103" s="422" t="s">
        <v>731</v>
      </c>
      <c r="K103" s="420">
        <v>370</v>
      </c>
      <c r="L103" s="421">
        <v>440</v>
      </c>
      <c r="M103" s="422" t="s">
        <v>287</v>
      </c>
      <c r="N103" s="423">
        <v>7560</v>
      </c>
      <c r="O103" s="424">
        <v>70</v>
      </c>
      <c r="P103" s="441"/>
      <c r="Q103" s="441"/>
      <c r="R103" s="1278">
        <v>2900</v>
      </c>
      <c r="S103" s="1281">
        <v>3200</v>
      </c>
      <c r="T103" s="426" t="s">
        <v>288</v>
      </c>
      <c r="U103" s="427">
        <v>6300</v>
      </c>
      <c r="V103" s="428">
        <v>7100</v>
      </c>
      <c r="W103" s="425">
        <v>5040</v>
      </c>
      <c r="X103" s="429">
        <v>50</v>
      </c>
      <c r="Y103" s="1284">
        <v>4500</v>
      </c>
      <c r="Z103" s="1301"/>
      <c r="AA103" s="462"/>
      <c r="AB103" s="1286">
        <v>5840</v>
      </c>
      <c r="AC103" s="1289">
        <v>50</v>
      </c>
      <c r="AD103" s="1292" t="s">
        <v>290</v>
      </c>
      <c r="AE103" s="1294" t="s">
        <v>290</v>
      </c>
      <c r="AF103" s="1294" t="s">
        <v>290</v>
      </c>
      <c r="AG103" s="1297" t="s">
        <v>290</v>
      </c>
      <c r="AH103" s="1269" t="s">
        <v>296</v>
      </c>
      <c r="AJ103" s="198" t="s">
        <v>384</v>
      </c>
      <c r="AK103" s="160" t="s">
        <v>377</v>
      </c>
      <c r="AL103" s="161">
        <v>12800</v>
      </c>
      <c r="AM103" s="162">
        <v>50</v>
      </c>
      <c r="AN103" s="163">
        <v>6848</v>
      </c>
      <c r="AO103" s="199">
        <v>31</v>
      </c>
    </row>
    <row r="104" spans="1:41" ht="13.5" customHeight="1">
      <c r="A104" s="431" t="s">
        <v>318</v>
      </c>
      <c r="B104" s="432" t="s">
        <v>306</v>
      </c>
      <c r="C104" s="433" t="s">
        <v>336</v>
      </c>
      <c r="D104" s="434">
        <v>52310</v>
      </c>
      <c r="E104" s="435">
        <v>113270</v>
      </c>
      <c r="F104" s="434">
        <v>46650</v>
      </c>
      <c r="G104" s="435">
        <v>107610</v>
      </c>
      <c r="H104" s="436">
        <v>490</v>
      </c>
      <c r="I104" s="437">
        <v>1020</v>
      </c>
      <c r="J104" s="438" t="s">
        <v>731</v>
      </c>
      <c r="K104" s="436">
        <v>440</v>
      </c>
      <c r="L104" s="437">
        <v>960</v>
      </c>
      <c r="M104" s="438" t="s">
        <v>287</v>
      </c>
      <c r="N104" s="439">
        <v>7560</v>
      </c>
      <c r="O104" s="440">
        <v>70</v>
      </c>
      <c r="P104" s="462"/>
      <c r="Q104" s="462"/>
      <c r="R104" s="1279"/>
      <c r="S104" s="1282"/>
      <c r="T104" s="393" t="s">
        <v>292</v>
      </c>
      <c r="U104" s="442">
        <v>3500</v>
      </c>
      <c r="V104" s="443">
        <v>3900</v>
      </c>
      <c r="W104" s="441">
        <v>5040</v>
      </c>
      <c r="X104" s="444">
        <v>50</v>
      </c>
      <c r="Y104" s="1285"/>
      <c r="Z104" s="1301"/>
      <c r="AA104" s="462"/>
      <c r="AB104" s="1287"/>
      <c r="AC104" s="1290"/>
      <c r="AD104" s="1293"/>
      <c r="AE104" s="1295"/>
      <c r="AF104" s="1295"/>
      <c r="AG104" s="1298"/>
      <c r="AH104" s="1270"/>
      <c r="AJ104" s="198" t="s">
        <v>385</v>
      </c>
      <c r="AK104" s="160" t="s">
        <v>378</v>
      </c>
      <c r="AL104" s="161">
        <v>10420</v>
      </c>
      <c r="AM104" s="162">
        <v>50</v>
      </c>
      <c r="AN104" s="163">
        <v>5136</v>
      </c>
      <c r="AO104" s="199">
        <v>27</v>
      </c>
    </row>
    <row r="105" spans="1:41" ht="13.5" customHeight="1">
      <c r="A105" s="431" t="s">
        <v>318</v>
      </c>
      <c r="B105" s="432" t="s">
        <v>306</v>
      </c>
      <c r="C105" s="433" t="s">
        <v>337</v>
      </c>
      <c r="D105" s="434">
        <v>113270</v>
      </c>
      <c r="E105" s="435">
        <v>188890</v>
      </c>
      <c r="F105" s="434">
        <v>107610</v>
      </c>
      <c r="G105" s="435">
        <v>183230</v>
      </c>
      <c r="H105" s="436">
        <v>1020</v>
      </c>
      <c r="I105" s="437">
        <v>1780</v>
      </c>
      <c r="J105" s="438" t="s">
        <v>731</v>
      </c>
      <c r="K105" s="436">
        <v>960</v>
      </c>
      <c r="L105" s="437">
        <v>1720</v>
      </c>
      <c r="M105" s="438" t="s">
        <v>287</v>
      </c>
      <c r="N105" s="446"/>
      <c r="O105" s="447"/>
      <c r="P105" s="441"/>
      <c r="Q105" s="441"/>
      <c r="R105" s="1279"/>
      <c r="S105" s="1282"/>
      <c r="T105" s="393" t="s">
        <v>293</v>
      </c>
      <c r="U105" s="442">
        <v>3000</v>
      </c>
      <c r="V105" s="443">
        <v>3400</v>
      </c>
      <c r="W105" s="441">
        <v>5040</v>
      </c>
      <c r="X105" s="444">
        <v>50</v>
      </c>
      <c r="Y105" s="448"/>
      <c r="Z105" s="1301"/>
      <c r="AA105" s="464"/>
      <c r="AB105" s="1287"/>
      <c r="AC105" s="1290"/>
      <c r="AD105" s="1271">
        <v>0.01</v>
      </c>
      <c r="AE105" s="1273">
        <v>0.03</v>
      </c>
      <c r="AF105" s="1273">
        <v>0.04</v>
      </c>
      <c r="AG105" s="1275">
        <v>0.06</v>
      </c>
      <c r="AH105" s="1277">
        <v>0.9</v>
      </c>
      <c r="AJ105" s="200" t="s">
        <v>385</v>
      </c>
      <c r="AK105" s="160" t="s">
        <v>377</v>
      </c>
      <c r="AL105" s="161">
        <v>12140</v>
      </c>
      <c r="AM105" s="162">
        <v>50</v>
      </c>
      <c r="AN105" s="163">
        <v>6848</v>
      </c>
      <c r="AO105" s="199">
        <v>27</v>
      </c>
    </row>
    <row r="106" spans="1:41" ht="13.5" customHeight="1">
      <c r="A106" s="431" t="s">
        <v>318</v>
      </c>
      <c r="B106" s="449" t="s">
        <v>306</v>
      </c>
      <c r="C106" s="450" t="s">
        <v>338</v>
      </c>
      <c r="D106" s="451">
        <v>188890</v>
      </c>
      <c r="E106" s="452"/>
      <c r="F106" s="451">
        <v>183230</v>
      </c>
      <c r="G106" s="452"/>
      <c r="H106" s="439">
        <v>1780</v>
      </c>
      <c r="I106" s="453"/>
      <c r="J106" s="454" t="s">
        <v>731</v>
      </c>
      <c r="K106" s="439">
        <v>1720</v>
      </c>
      <c r="L106" s="453"/>
      <c r="M106" s="454" t="s">
        <v>287</v>
      </c>
      <c r="N106" s="446"/>
      <c r="O106" s="455"/>
      <c r="P106" s="441"/>
      <c r="Q106" s="441"/>
      <c r="R106" s="1280"/>
      <c r="S106" s="1283"/>
      <c r="T106" s="456" t="s">
        <v>294</v>
      </c>
      <c r="U106" s="457">
        <v>2700</v>
      </c>
      <c r="V106" s="458">
        <v>3000</v>
      </c>
      <c r="W106" s="459">
        <v>5040</v>
      </c>
      <c r="X106" s="460">
        <v>50</v>
      </c>
      <c r="Y106" s="448"/>
      <c r="Z106" s="1301"/>
      <c r="AA106" s="464"/>
      <c r="AB106" s="1288"/>
      <c r="AC106" s="1291"/>
      <c r="AD106" s="1272"/>
      <c r="AE106" s="1274"/>
      <c r="AF106" s="1274"/>
      <c r="AG106" s="1276"/>
      <c r="AH106" s="1277"/>
      <c r="AJ106" s="642"/>
      <c r="AK106" s="643"/>
      <c r="AL106" s="644"/>
      <c r="AM106" s="645"/>
      <c r="AN106" s="646"/>
      <c r="AO106" s="647"/>
    </row>
    <row r="107" spans="1:41" ht="13.5" customHeight="1">
      <c r="A107" s="431" t="s">
        <v>318</v>
      </c>
      <c r="B107" s="416" t="s">
        <v>307</v>
      </c>
      <c r="C107" s="417" t="s">
        <v>334</v>
      </c>
      <c r="D107" s="418">
        <v>38680</v>
      </c>
      <c r="E107" s="419">
        <v>46240</v>
      </c>
      <c r="F107" s="418">
        <v>33590</v>
      </c>
      <c r="G107" s="419">
        <v>41150</v>
      </c>
      <c r="H107" s="420">
        <v>360</v>
      </c>
      <c r="I107" s="421">
        <v>430</v>
      </c>
      <c r="J107" s="422" t="s">
        <v>731</v>
      </c>
      <c r="K107" s="420">
        <v>310</v>
      </c>
      <c r="L107" s="421">
        <v>380</v>
      </c>
      <c r="M107" s="422" t="s">
        <v>287</v>
      </c>
      <c r="N107" s="423">
        <v>7560</v>
      </c>
      <c r="O107" s="424">
        <v>70</v>
      </c>
      <c r="P107" s="462"/>
      <c r="Q107" s="462"/>
      <c r="R107" s="1278">
        <v>2600</v>
      </c>
      <c r="S107" s="1281">
        <v>2800</v>
      </c>
      <c r="T107" s="426" t="s">
        <v>288</v>
      </c>
      <c r="U107" s="427">
        <v>5500</v>
      </c>
      <c r="V107" s="428">
        <v>6200</v>
      </c>
      <c r="W107" s="425">
        <v>4530</v>
      </c>
      <c r="X107" s="429">
        <v>40</v>
      </c>
      <c r="Y107" s="1284">
        <v>4500</v>
      </c>
      <c r="Z107" s="1301"/>
      <c r="AA107" s="1300" t="s">
        <v>319</v>
      </c>
      <c r="AB107" s="1286">
        <v>5250</v>
      </c>
      <c r="AC107" s="1289">
        <v>50</v>
      </c>
      <c r="AD107" s="1292" t="s">
        <v>290</v>
      </c>
      <c r="AE107" s="1294" t="s">
        <v>290</v>
      </c>
      <c r="AF107" s="1294" t="s">
        <v>290</v>
      </c>
      <c r="AG107" s="1297" t="s">
        <v>290</v>
      </c>
      <c r="AH107" s="1269" t="s">
        <v>296</v>
      </c>
      <c r="AJ107" s="642"/>
      <c r="AK107" s="643"/>
      <c r="AL107" s="644"/>
      <c r="AM107" s="645"/>
      <c r="AN107" s="646"/>
      <c r="AO107" s="647"/>
    </row>
    <row r="108" spans="1:41" ht="13.5" customHeight="1">
      <c r="A108" s="431" t="s">
        <v>318</v>
      </c>
      <c r="B108" s="432" t="s">
        <v>307</v>
      </c>
      <c r="C108" s="433" t="s">
        <v>336</v>
      </c>
      <c r="D108" s="434">
        <v>46240</v>
      </c>
      <c r="E108" s="435">
        <v>107200</v>
      </c>
      <c r="F108" s="434">
        <v>41150</v>
      </c>
      <c r="G108" s="435">
        <v>102110</v>
      </c>
      <c r="H108" s="436">
        <v>430</v>
      </c>
      <c r="I108" s="437">
        <v>960</v>
      </c>
      <c r="J108" s="438" t="s">
        <v>731</v>
      </c>
      <c r="K108" s="436">
        <v>380</v>
      </c>
      <c r="L108" s="437">
        <v>910</v>
      </c>
      <c r="M108" s="438" t="s">
        <v>287</v>
      </c>
      <c r="N108" s="439">
        <v>7560</v>
      </c>
      <c r="O108" s="440">
        <v>70</v>
      </c>
      <c r="P108" s="441"/>
      <c r="Q108" s="441"/>
      <c r="R108" s="1279"/>
      <c r="S108" s="1282"/>
      <c r="T108" s="393" t="s">
        <v>292</v>
      </c>
      <c r="U108" s="442">
        <v>3000</v>
      </c>
      <c r="V108" s="443">
        <v>3400</v>
      </c>
      <c r="W108" s="441">
        <v>4530</v>
      </c>
      <c r="X108" s="444">
        <v>40</v>
      </c>
      <c r="Y108" s="1285"/>
      <c r="Z108" s="1301"/>
      <c r="AA108" s="1300"/>
      <c r="AB108" s="1287"/>
      <c r="AC108" s="1290"/>
      <c r="AD108" s="1293"/>
      <c r="AE108" s="1295"/>
      <c r="AF108" s="1295"/>
      <c r="AG108" s="1298"/>
      <c r="AH108" s="1270"/>
      <c r="AJ108" s="642"/>
      <c r="AK108" s="643"/>
      <c r="AL108" s="644"/>
      <c r="AM108" s="645"/>
      <c r="AN108" s="646"/>
      <c r="AO108" s="647"/>
    </row>
    <row r="109" spans="1:41" ht="13.5" customHeight="1">
      <c r="A109" s="431" t="s">
        <v>318</v>
      </c>
      <c r="B109" s="432" t="s">
        <v>307</v>
      </c>
      <c r="C109" s="433" t="s">
        <v>337</v>
      </c>
      <c r="D109" s="434">
        <v>107200</v>
      </c>
      <c r="E109" s="435">
        <v>182820</v>
      </c>
      <c r="F109" s="434">
        <v>102110</v>
      </c>
      <c r="G109" s="435">
        <v>177730</v>
      </c>
      <c r="H109" s="436">
        <v>960</v>
      </c>
      <c r="I109" s="437">
        <v>1720</v>
      </c>
      <c r="J109" s="438" t="s">
        <v>731</v>
      </c>
      <c r="K109" s="436">
        <v>910</v>
      </c>
      <c r="L109" s="437">
        <v>1670</v>
      </c>
      <c r="M109" s="438" t="s">
        <v>287</v>
      </c>
      <c r="N109" s="446"/>
      <c r="O109" s="447"/>
      <c r="P109" s="441"/>
      <c r="Q109" s="441"/>
      <c r="R109" s="1279"/>
      <c r="S109" s="1282"/>
      <c r="T109" s="393" t="s">
        <v>293</v>
      </c>
      <c r="U109" s="442">
        <v>2600</v>
      </c>
      <c r="V109" s="443">
        <v>2900</v>
      </c>
      <c r="W109" s="441">
        <v>4530</v>
      </c>
      <c r="X109" s="444">
        <v>40</v>
      </c>
      <c r="Y109" s="448"/>
      <c r="Z109" s="1301"/>
      <c r="AA109" s="1299">
        <v>0.1</v>
      </c>
      <c r="AB109" s="1287"/>
      <c r="AC109" s="1290"/>
      <c r="AD109" s="1271">
        <v>0.02</v>
      </c>
      <c r="AE109" s="1273">
        <v>0.03</v>
      </c>
      <c r="AF109" s="1273">
        <v>0.05</v>
      </c>
      <c r="AG109" s="1275">
        <v>0.06</v>
      </c>
      <c r="AH109" s="1277">
        <v>0.96</v>
      </c>
      <c r="AJ109" s="642"/>
      <c r="AK109" s="643"/>
      <c r="AL109" s="644"/>
      <c r="AM109" s="645"/>
      <c r="AN109" s="646"/>
      <c r="AO109" s="647"/>
    </row>
    <row r="110" spans="1:41" ht="13.5" customHeight="1">
      <c r="A110" s="431" t="s">
        <v>318</v>
      </c>
      <c r="B110" s="449" t="s">
        <v>307</v>
      </c>
      <c r="C110" s="450" t="s">
        <v>338</v>
      </c>
      <c r="D110" s="451">
        <v>182820</v>
      </c>
      <c r="E110" s="452"/>
      <c r="F110" s="451">
        <v>177730</v>
      </c>
      <c r="G110" s="452"/>
      <c r="H110" s="439">
        <v>1720</v>
      </c>
      <c r="I110" s="453"/>
      <c r="J110" s="454" t="s">
        <v>731</v>
      </c>
      <c r="K110" s="439">
        <v>1670</v>
      </c>
      <c r="L110" s="453"/>
      <c r="M110" s="454" t="s">
        <v>287</v>
      </c>
      <c r="N110" s="446"/>
      <c r="O110" s="455"/>
      <c r="P110" s="462"/>
      <c r="Q110" s="462"/>
      <c r="R110" s="1280"/>
      <c r="S110" s="1283"/>
      <c r="T110" s="456" t="s">
        <v>294</v>
      </c>
      <c r="U110" s="457">
        <v>2400</v>
      </c>
      <c r="V110" s="458">
        <v>2600</v>
      </c>
      <c r="W110" s="459">
        <v>4530</v>
      </c>
      <c r="X110" s="460">
        <v>40</v>
      </c>
      <c r="Y110" s="448"/>
      <c r="Z110" s="1301"/>
      <c r="AA110" s="1299"/>
      <c r="AB110" s="1288"/>
      <c r="AC110" s="1291"/>
      <c r="AD110" s="1272"/>
      <c r="AE110" s="1274"/>
      <c r="AF110" s="1274"/>
      <c r="AG110" s="1276"/>
      <c r="AH110" s="1277"/>
      <c r="AJ110" s="642"/>
      <c r="AK110" s="643"/>
      <c r="AL110" s="644"/>
      <c r="AM110" s="645"/>
      <c r="AN110" s="646"/>
      <c r="AO110" s="647"/>
    </row>
    <row r="111" spans="1:41" ht="13.5" customHeight="1">
      <c r="A111" s="431" t="s">
        <v>318</v>
      </c>
      <c r="B111" s="416" t="s">
        <v>309</v>
      </c>
      <c r="C111" s="417" t="s">
        <v>334</v>
      </c>
      <c r="D111" s="418">
        <v>36810</v>
      </c>
      <c r="E111" s="419">
        <v>44370</v>
      </c>
      <c r="F111" s="418">
        <v>32180</v>
      </c>
      <c r="G111" s="419">
        <v>39740</v>
      </c>
      <c r="H111" s="420">
        <v>340</v>
      </c>
      <c r="I111" s="421">
        <v>410</v>
      </c>
      <c r="J111" s="422" t="s">
        <v>731</v>
      </c>
      <c r="K111" s="420">
        <v>300</v>
      </c>
      <c r="L111" s="421">
        <v>370</v>
      </c>
      <c r="M111" s="422" t="s">
        <v>287</v>
      </c>
      <c r="N111" s="423">
        <v>7560</v>
      </c>
      <c r="O111" s="424">
        <v>70</v>
      </c>
      <c r="P111" s="441"/>
      <c r="Q111" s="441"/>
      <c r="R111" s="1278">
        <v>2800</v>
      </c>
      <c r="S111" s="1281">
        <v>3100</v>
      </c>
      <c r="T111" s="426" t="s">
        <v>288</v>
      </c>
      <c r="U111" s="427">
        <v>6100</v>
      </c>
      <c r="V111" s="428">
        <v>6800</v>
      </c>
      <c r="W111" s="425">
        <v>4120</v>
      </c>
      <c r="X111" s="429">
        <v>40</v>
      </c>
      <c r="Y111" s="1284">
        <v>4500</v>
      </c>
      <c r="Z111" s="1301"/>
      <c r="AA111" s="464"/>
      <c r="AB111" s="1286">
        <v>4780</v>
      </c>
      <c r="AC111" s="1289">
        <v>40</v>
      </c>
      <c r="AD111" s="1292" t="s">
        <v>290</v>
      </c>
      <c r="AE111" s="1294" t="s">
        <v>290</v>
      </c>
      <c r="AF111" s="1294" t="s">
        <v>290</v>
      </c>
      <c r="AG111" s="1297" t="s">
        <v>290</v>
      </c>
      <c r="AH111" s="1269" t="s">
        <v>296</v>
      </c>
      <c r="AJ111" s="642"/>
      <c r="AK111" s="643"/>
      <c r="AL111" s="644"/>
      <c r="AM111" s="645"/>
      <c r="AN111" s="646"/>
      <c r="AO111" s="647"/>
    </row>
    <row r="112" spans="1:41" ht="13.5" customHeight="1">
      <c r="A112" s="431" t="s">
        <v>318</v>
      </c>
      <c r="B112" s="432" t="s">
        <v>309</v>
      </c>
      <c r="C112" s="433" t="s">
        <v>336</v>
      </c>
      <c r="D112" s="434">
        <v>44370</v>
      </c>
      <c r="E112" s="435">
        <v>105330</v>
      </c>
      <c r="F112" s="434">
        <v>39740</v>
      </c>
      <c r="G112" s="435">
        <v>100700</v>
      </c>
      <c r="H112" s="436">
        <v>410</v>
      </c>
      <c r="I112" s="437">
        <v>940</v>
      </c>
      <c r="J112" s="438" t="s">
        <v>731</v>
      </c>
      <c r="K112" s="436">
        <v>370</v>
      </c>
      <c r="L112" s="437">
        <v>890</v>
      </c>
      <c r="M112" s="438" t="s">
        <v>287</v>
      </c>
      <c r="N112" s="439">
        <v>7560</v>
      </c>
      <c r="O112" s="440">
        <v>70</v>
      </c>
      <c r="P112" s="441"/>
      <c r="Q112" s="441"/>
      <c r="R112" s="1279"/>
      <c r="S112" s="1282"/>
      <c r="T112" s="393" t="s">
        <v>292</v>
      </c>
      <c r="U112" s="442">
        <v>3300</v>
      </c>
      <c r="V112" s="443">
        <v>3700</v>
      </c>
      <c r="W112" s="441">
        <v>4120</v>
      </c>
      <c r="X112" s="444">
        <v>40</v>
      </c>
      <c r="Y112" s="1285"/>
      <c r="Z112" s="1301"/>
      <c r="AA112" s="464"/>
      <c r="AB112" s="1287"/>
      <c r="AC112" s="1290"/>
      <c r="AD112" s="1293"/>
      <c r="AE112" s="1295"/>
      <c r="AF112" s="1295"/>
      <c r="AG112" s="1298"/>
      <c r="AH112" s="1270"/>
      <c r="AJ112" s="642"/>
      <c r="AK112" s="643"/>
      <c r="AL112" s="644"/>
      <c r="AM112" s="645"/>
      <c r="AN112" s="646"/>
      <c r="AO112" s="647"/>
    </row>
    <row r="113" spans="1:50" ht="13.5" customHeight="1">
      <c r="A113" s="431" t="s">
        <v>318</v>
      </c>
      <c r="B113" s="432" t="s">
        <v>309</v>
      </c>
      <c r="C113" s="433" t="s">
        <v>337</v>
      </c>
      <c r="D113" s="434">
        <v>105330</v>
      </c>
      <c r="E113" s="435">
        <v>180950</v>
      </c>
      <c r="F113" s="434">
        <v>100700</v>
      </c>
      <c r="G113" s="435">
        <v>176320</v>
      </c>
      <c r="H113" s="436">
        <v>940</v>
      </c>
      <c r="I113" s="437">
        <v>1700</v>
      </c>
      <c r="J113" s="438" t="s">
        <v>731</v>
      </c>
      <c r="K113" s="436">
        <v>890</v>
      </c>
      <c r="L113" s="437">
        <v>1650</v>
      </c>
      <c r="M113" s="438" t="s">
        <v>287</v>
      </c>
      <c r="N113" s="446"/>
      <c r="O113" s="447"/>
      <c r="P113" s="462"/>
      <c r="Q113" s="462"/>
      <c r="R113" s="1279"/>
      <c r="S113" s="1282"/>
      <c r="T113" s="393" t="s">
        <v>293</v>
      </c>
      <c r="U113" s="442">
        <v>2900</v>
      </c>
      <c r="V113" s="443">
        <v>3200</v>
      </c>
      <c r="W113" s="441">
        <v>4120</v>
      </c>
      <c r="X113" s="444">
        <v>40</v>
      </c>
      <c r="Y113" s="448"/>
      <c r="Z113" s="1301"/>
      <c r="AA113" s="464"/>
      <c r="AB113" s="1287"/>
      <c r="AC113" s="1290"/>
      <c r="AD113" s="1271">
        <v>0.02</v>
      </c>
      <c r="AE113" s="1273">
        <v>0.03</v>
      </c>
      <c r="AF113" s="1273">
        <v>0.05</v>
      </c>
      <c r="AG113" s="1275">
        <v>0.06</v>
      </c>
      <c r="AH113" s="1277">
        <v>0.95</v>
      </c>
      <c r="AJ113" s="642"/>
      <c r="AK113" s="643"/>
      <c r="AL113" s="644"/>
      <c r="AM113" s="645"/>
      <c r="AN113" s="646"/>
      <c r="AO113" s="647"/>
    </row>
    <row r="114" spans="1:50" ht="13.5" customHeight="1">
      <c r="A114" s="431" t="s">
        <v>318</v>
      </c>
      <c r="B114" s="449" t="s">
        <v>309</v>
      </c>
      <c r="C114" s="450" t="s">
        <v>338</v>
      </c>
      <c r="D114" s="451">
        <v>180950</v>
      </c>
      <c r="E114" s="452"/>
      <c r="F114" s="451">
        <v>176320</v>
      </c>
      <c r="G114" s="452"/>
      <c r="H114" s="439">
        <v>1700</v>
      </c>
      <c r="I114" s="453"/>
      <c r="J114" s="454" t="s">
        <v>731</v>
      </c>
      <c r="K114" s="439">
        <v>1650</v>
      </c>
      <c r="L114" s="453"/>
      <c r="M114" s="454" t="s">
        <v>287</v>
      </c>
      <c r="N114" s="446"/>
      <c r="O114" s="455"/>
      <c r="P114" s="441"/>
      <c r="Q114" s="441"/>
      <c r="R114" s="1280"/>
      <c r="S114" s="1283"/>
      <c r="T114" s="456" t="s">
        <v>294</v>
      </c>
      <c r="U114" s="457">
        <v>2600</v>
      </c>
      <c r="V114" s="458">
        <v>2900</v>
      </c>
      <c r="W114" s="459">
        <v>4120</v>
      </c>
      <c r="X114" s="460">
        <v>40</v>
      </c>
      <c r="Y114" s="448"/>
      <c r="Z114" s="1301"/>
      <c r="AA114" s="464"/>
      <c r="AB114" s="1288"/>
      <c r="AC114" s="1291"/>
      <c r="AD114" s="1272"/>
      <c r="AE114" s="1274"/>
      <c r="AF114" s="1274"/>
      <c r="AG114" s="1276"/>
      <c r="AH114" s="1277"/>
      <c r="AJ114" s="642"/>
      <c r="AK114" s="643"/>
      <c r="AL114" s="644"/>
      <c r="AM114" s="645"/>
      <c r="AN114" s="646"/>
      <c r="AO114" s="647"/>
    </row>
    <row r="115" spans="1:50" ht="13.5" customHeight="1">
      <c r="A115" s="431" t="s">
        <v>318</v>
      </c>
      <c r="B115" s="416" t="s">
        <v>310</v>
      </c>
      <c r="C115" s="417" t="s">
        <v>334</v>
      </c>
      <c r="D115" s="418">
        <v>35210</v>
      </c>
      <c r="E115" s="419">
        <v>42770</v>
      </c>
      <c r="F115" s="418">
        <v>30970</v>
      </c>
      <c r="G115" s="419">
        <v>38530</v>
      </c>
      <c r="H115" s="420">
        <v>330</v>
      </c>
      <c r="I115" s="421">
        <v>400</v>
      </c>
      <c r="J115" s="422" t="s">
        <v>731</v>
      </c>
      <c r="K115" s="420">
        <v>290</v>
      </c>
      <c r="L115" s="421">
        <v>360</v>
      </c>
      <c r="M115" s="422" t="s">
        <v>287</v>
      </c>
      <c r="N115" s="423">
        <v>7560</v>
      </c>
      <c r="O115" s="424">
        <v>70</v>
      </c>
      <c r="P115" s="441"/>
      <c r="Q115" s="441"/>
      <c r="R115" s="1278">
        <v>2600</v>
      </c>
      <c r="S115" s="1281">
        <v>2800</v>
      </c>
      <c r="T115" s="426" t="s">
        <v>288</v>
      </c>
      <c r="U115" s="427">
        <v>5500</v>
      </c>
      <c r="V115" s="428">
        <v>6200</v>
      </c>
      <c r="W115" s="425">
        <v>3780</v>
      </c>
      <c r="X115" s="429">
        <v>30</v>
      </c>
      <c r="Y115" s="1284">
        <v>4500</v>
      </c>
      <c r="Z115" s="1301"/>
      <c r="AA115" s="464"/>
      <c r="AB115" s="1286">
        <v>4380</v>
      </c>
      <c r="AC115" s="1289">
        <v>40</v>
      </c>
      <c r="AD115" s="1292" t="s">
        <v>290</v>
      </c>
      <c r="AE115" s="1294" t="s">
        <v>290</v>
      </c>
      <c r="AF115" s="1294" t="s">
        <v>290</v>
      </c>
      <c r="AG115" s="1297" t="s">
        <v>290</v>
      </c>
      <c r="AH115" s="1269" t="s">
        <v>296</v>
      </c>
      <c r="AJ115" s="642"/>
      <c r="AK115" s="643"/>
      <c r="AL115" s="644"/>
      <c r="AM115" s="645"/>
      <c r="AN115" s="646"/>
      <c r="AO115" s="647"/>
    </row>
    <row r="116" spans="1:50" ht="13.5" customHeight="1">
      <c r="A116" s="431" t="s">
        <v>318</v>
      </c>
      <c r="B116" s="432" t="s">
        <v>310</v>
      </c>
      <c r="C116" s="433" t="s">
        <v>336</v>
      </c>
      <c r="D116" s="434">
        <v>42770</v>
      </c>
      <c r="E116" s="435">
        <v>103730</v>
      </c>
      <c r="F116" s="434">
        <v>38530</v>
      </c>
      <c r="G116" s="435">
        <v>99490</v>
      </c>
      <c r="H116" s="436">
        <v>400</v>
      </c>
      <c r="I116" s="437">
        <v>920</v>
      </c>
      <c r="J116" s="438" t="s">
        <v>731</v>
      </c>
      <c r="K116" s="436">
        <v>360</v>
      </c>
      <c r="L116" s="437">
        <v>880</v>
      </c>
      <c r="M116" s="438" t="s">
        <v>287</v>
      </c>
      <c r="N116" s="439">
        <v>7560</v>
      </c>
      <c r="O116" s="440">
        <v>70</v>
      </c>
      <c r="P116" s="462"/>
      <c r="Q116" s="462"/>
      <c r="R116" s="1279"/>
      <c r="S116" s="1282"/>
      <c r="T116" s="393" t="s">
        <v>292</v>
      </c>
      <c r="U116" s="442">
        <v>3000</v>
      </c>
      <c r="V116" s="443">
        <v>3400</v>
      </c>
      <c r="W116" s="441">
        <v>3780</v>
      </c>
      <c r="X116" s="444">
        <v>30</v>
      </c>
      <c r="Y116" s="1285"/>
      <c r="Z116" s="1301"/>
      <c r="AA116" s="464"/>
      <c r="AB116" s="1287"/>
      <c r="AC116" s="1290"/>
      <c r="AD116" s="1293"/>
      <c r="AE116" s="1295"/>
      <c r="AF116" s="1295"/>
      <c r="AG116" s="1298"/>
      <c r="AH116" s="1270"/>
      <c r="AJ116" s="642"/>
      <c r="AK116" s="643"/>
      <c r="AL116" s="644"/>
      <c r="AM116" s="645"/>
      <c r="AN116" s="646"/>
      <c r="AO116" s="647"/>
    </row>
    <row r="117" spans="1:50" ht="13.5" customHeight="1">
      <c r="A117" s="431" t="s">
        <v>318</v>
      </c>
      <c r="B117" s="432" t="s">
        <v>310</v>
      </c>
      <c r="C117" s="433" t="s">
        <v>337</v>
      </c>
      <c r="D117" s="434">
        <v>103730</v>
      </c>
      <c r="E117" s="435">
        <v>179350</v>
      </c>
      <c r="F117" s="434">
        <v>99490</v>
      </c>
      <c r="G117" s="435">
        <v>175110</v>
      </c>
      <c r="H117" s="436">
        <v>920</v>
      </c>
      <c r="I117" s="437">
        <v>1680</v>
      </c>
      <c r="J117" s="438" t="s">
        <v>731</v>
      </c>
      <c r="K117" s="436">
        <v>880</v>
      </c>
      <c r="L117" s="437">
        <v>1640</v>
      </c>
      <c r="M117" s="438" t="s">
        <v>287</v>
      </c>
      <c r="N117" s="446"/>
      <c r="O117" s="447"/>
      <c r="P117" s="441"/>
      <c r="Q117" s="441"/>
      <c r="R117" s="1279"/>
      <c r="S117" s="1282"/>
      <c r="T117" s="393" t="s">
        <v>293</v>
      </c>
      <c r="U117" s="442">
        <v>2600</v>
      </c>
      <c r="V117" s="443">
        <v>2900</v>
      </c>
      <c r="W117" s="441">
        <v>3780</v>
      </c>
      <c r="X117" s="444">
        <v>30</v>
      </c>
      <c r="Y117" s="448"/>
      <c r="Z117" s="1301"/>
      <c r="AA117" s="464"/>
      <c r="AB117" s="1287"/>
      <c r="AC117" s="1290"/>
      <c r="AD117" s="1271">
        <v>0.02</v>
      </c>
      <c r="AE117" s="1273">
        <v>0.03</v>
      </c>
      <c r="AF117" s="1273">
        <v>0.05</v>
      </c>
      <c r="AG117" s="1275">
        <v>0.06</v>
      </c>
      <c r="AH117" s="1277">
        <v>0.95</v>
      </c>
      <c r="AJ117" s="642"/>
      <c r="AK117" s="643"/>
      <c r="AL117" s="644"/>
      <c r="AM117" s="645"/>
      <c r="AN117" s="646"/>
      <c r="AO117" s="647"/>
    </row>
    <row r="118" spans="1:50" ht="13.5" customHeight="1">
      <c r="A118" s="431" t="s">
        <v>318</v>
      </c>
      <c r="B118" s="449" t="s">
        <v>310</v>
      </c>
      <c r="C118" s="450" t="s">
        <v>338</v>
      </c>
      <c r="D118" s="451">
        <v>179350</v>
      </c>
      <c r="E118" s="452"/>
      <c r="F118" s="451">
        <v>175110</v>
      </c>
      <c r="G118" s="452"/>
      <c r="H118" s="439">
        <v>1680</v>
      </c>
      <c r="I118" s="453"/>
      <c r="J118" s="454" t="s">
        <v>731</v>
      </c>
      <c r="K118" s="439">
        <v>1640</v>
      </c>
      <c r="L118" s="453"/>
      <c r="M118" s="454" t="s">
        <v>287</v>
      </c>
      <c r="N118" s="446"/>
      <c r="O118" s="455"/>
      <c r="P118" s="441"/>
      <c r="Q118" s="441"/>
      <c r="R118" s="1280"/>
      <c r="S118" s="1283"/>
      <c r="T118" s="456" t="s">
        <v>294</v>
      </c>
      <c r="U118" s="457">
        <v>2400</v>
      </c>
      <c r="V118" s="458">
        <v>2600</v>
      </c>
      <c r="W118" s="459">
        <v>3780</v>
      </c>
      <c r="X118" s="460">
        <v>30</v>
      </c>
      <c r="Y118" s="448"/>
      <c r="Z118" s="1301"/>
      <c r="AA118" s="464"/>
      <c r="AB118" s="1288"/>
      <c r="AC118" s="1291"/>
      <c r="AD118" s="1272"/>
      <c r="AE118" s="1274"/>
      <c r="AF118" s="1274"/>
      <c r="AG118" s="1276"/>
      <c r="AH118" s="1277"/>
      <c r="AJ118" s="642"/>
      <c r="AK118" s="643"/>
      <c r="AL118" s="644"/>
      <c r="AM118" s="645"/>
      <c r="AN118" s="646"/>
      <c r="AO118" s="647"/>
    </row>
    <row r="119" spans="1:50" ht="13.5" customHeight="1">
      <c r="A119" s="431" t="s">
        <v>318</v>
      </c>
      <c r="B119" s="416" t="s">
        <v>311</v>
      </c>
      <c r="C119" s="417" t="s">
        <v>334</v>
      </c>
      <c r="D119" s="418">
        <v>33860</v>
      </c>
      <c r="E119" s="419">
        <v>41420</v>
      </c>
      <c r="F119" s="418">
        <v>29940</v>
      </c>
      <c r="G119" s="419">
        <v>37500</v>
      </c>
      <c r="H119" s="420">
        <v>320</v>
      </c>
      <c r="I119" s="421">
        <v>390</v>
      </c>
      <c r="J119" s="422" t="s">
        <v>731</v>
      </c>
      <c r="K119" s="420">
        <v>280</v>
      </c>
      <c r="L119" s="421">
        <v>350</v>
      </c>
      <c r="M119" s="422" t="s">
        <v>287</v>
      </c>
      <c r="N119" s="423">
        <v>7560</v>
      </c>
      <c r="O119" s="424">
        <v>70</v>
      </c>
      <c r="P119" s="462"/>
      <c r="Q119" s="462"/>
      <c r="R119" s="1278">
        <v>2400</v>
      </c>
      <c r="S119" s="1281">
        <v>2600</v>
      </c>
      <c r="T119" s="426" t="s">
        <v>288</v>
      </c>
      <c r="U119" s="427">
        <v>5100</v>
      </c>
      <c r="V119" s="428">
        <v>5700</v>
      </c>
      <c r="W119" s="425">
        <v>3490</v>
      </c>
      <c r="X119" s="429">
        <v>30</v>
      </c>
      <c r="Y119" s="1284">
        <v>4500</v>
      </c>
      <c r="Z119" s="1301"/>
      <c r="AA119" s="464"/>
      <c r="AB119" s="1286">
        <v>4040</v>
      </c>
      <c r="AC119" s="1289">
        <v>40</v>
      </c>
      <c r="AD119" s="1292" t="s">
        <v>290</v>
      </c>
      <c r="AE119" s="1294" t="s">
        <v>290</v>
      </c>
      <c r="AF119" s="1294" t="s">
        <v>290</v>
      </c>
      <c r="AG119" s="1297" t="s">
        <v>290</v>
      </c>
      <c r="AH119" s="1269" t="s">
        <v>296</v>
      </c>
      <c r="AJ119" s="642"/>
      <c r="AK119" s="643"/>
      <c r="AL119" s="644"/>
      <c r="AM119" s="645"/>
      <c r="AN119" s="646"/>
      <c r="AO119" s="647"/>
    </row>
    <row r="120" spans="1:50" ht="13.5" customHeight="1">
      <c r="A120" s="431" t="s">
        <v>318</v>
      </c>
      <c r="B120" s="432" t="s">
        <v>311</v>
      </c>
      <c r="C120" s="433" t="s">
        <v>336</v>
      </c>
      <c r="D120" s="434">
        <v>41420</v>
      </c>
      <c r="E120" s="435">
        <v>102380</v>
      </c>
      <c r="F120" s="434">
        <v>37500</v>
      </c>
      <c r="G120" s="435">
        <v>98460</v>
      </c>
      <c r="H120" s="436">
        <v>390</v>
      </c>
      <c r="I120" s="437">
        <v>910</v>
      </c>
      <c r="J120" s="438" t="s">
        <v>731</v>
      </c>
      <c r="K120" s="436">
        <v>350</v>
      </c>
      <c r="L120" s="437">
        <v>870</v>
      </c>
      <c r="M120" s="438" t="s">
        <v>287</v>
      </c>
      <c r="N120" s="439">
        <v>7560</v>
      </c>
      <c r="O120" s="440">
        <v>70</v>
      </c>
      <c r="P120" s="441"/>
      <c r="Q120" s="441"/>
      <c r="R120" s="1279"/>
      <c r="S120" s="1282"/>
      <c r="T120" s="393" t="s">
        <v>292</v>
      </c>
      <c r="U120" s="442">
        <v>2800</v>
      </c>
      <c r="V120" s="443">
        <v>3100</v>
      </c>
      <c r="W120" s="441">
        <v>3490</v>
      </c>
      <c r="X120" s="444">
        <v>30</v>
      </c>
      <c r="Y120" s="1285"/>
      <c r="Z120" s="1301"/>
      <c r="AA120" s="464"/>
      <c r="AB120" s="1287"/>
      <c r="AC120" s="1290"/>
      <c r="AD120" s="1293"/>
      <c r="AE120" s="1295"/>
      <c r="AF120" s="1295"/>
      <c r="AG120" s="1298"/>
      <c r="AH120" s="1270"/>
      <c r="AJ120" s="642"/>
      <c r="AK120" s="643"/>
      <c r="AL120" s="644"/>
      <c r="AM120" s="645"/>
      <c r="AN120" s="646"/>
      <c r="AO120" s="647"/>
    </row>
    <row r="121" spans="1:50" ht="13.5" customHeight="1">
      <c r="A121" s="431" t="s">
        <v>318</v>
      </c>
      <c r="B121" s="432" t="s">
        <v>311</v>
      </c>
      <c r="C121" s="433" t="s">
        <v>337</v>
      </c>
      <c r="D121" s="434">
        <v>102380</v>
      </c>
      <c r="E121" s="435">
        <v>178000</v>
      </c>
      <c r="F121" s="434">
        <v>98460</v>
      </c>
      <c r="G121" s="435">
        <v>174080</v>
      </c>
      <c r="H121" s="436">
        <v>910</v>
      </c>
      <c r="I121" s="437">
        <v>1670</v>
      </c>
      <c r="J121" s="438" t="s">
        <v>731</v>
      </c>
      <c r="K121" s="436">
        <v>870</v>
      </c>
      <c r="L121" s="437">
        <v>1630</v>
      </c>
      <c r="M121" s="438" t="s">
        <v>287</v>
      </c>
      <c r="N121" s="446"/>
      <c r="O121" s="447"/>
      <c r="P121" s="441"/>
      <c r="Q121" s="441"/>
      <c r="R121" s="1279"/>
      <c r="S121" s="1282"/>
      <c r="T121" s="393" t="s">
        <v>293</v>
      </c>
      <c r="U121" s="442">
        <v>2400</v>
      </c>
      <c r="V121" s="443">
        <v>2700</v>
      </c>
      <c r="W121" s="441">
        <v>3490</v>
      </c>
      <c r="X121" s="444">
        <v>30</v>
      </c>
      <c r="Y121" s="448"/>
      <c r="Z121" s="1301"/>
      <c r="AA121" s="464"/>
      <c r="AB121" s="1287"/>
      <c r="AC121" s="1290"/>
      <c r="AD121" s="1271">
        <v>0.02</v>
      </c>
      <c r="AE121" s="1273">
        <v>0.03</v>
      </c>
      <c r="AF121" s="1273">
        <v>0.05</v>
      </c>
      <c r="AG121" s="1275">
        <v>0.06</v>
      </c>
      <c r="AH121" s="1277">
        <v>0.97</v>
      </c>
      <c r="AJ121" s="642"/>
      <c r="AK121" s="643"/>
      <c r="AL121" s="644"/>
      <c r="AM121" s="645"/>
      <c r="AN121" s="646"/>
      <c r="AO121" s="647"/>
    </row>
    <row r="122" spans="1:50" ht="13.5" customHeight="1">
      <c r="A122" s="431" t="s">
        <v>318</v>
      </c>
      <c r="B122" s="449" t="s">
        <v>311</v>
      </c>
      <c r="C122" s="450" t="s">
        <v>338</v>
      </c>
      <c r="D122" s="451">
        <v>178000</v>
      </c>
      <c r="E122" s="452"/>
      <c r="F122" s="451">
        <v>174080</v>
      </c>
      <c r="G122" s="452"/>
      <c r="H122" s="439">
        <v>1670</v>
      </c>
      <c r="I122" s="453"/>
      <c r="J122" s="454" t="s">
        <v>731</v>
      </c>
      <c r="K122" s="439">
        <v>1630</v>
      </c>
      <c r="L122" s="453"/>
      <c r="M122" s="454" t="s">
        <v>287</v>
      </c>
      <c r="N122" s="446"/>
      <c r="O122" s="455"/>
      <c r="P122" s="462"/>
      <c r="Q122" s="462"/>
      <c r="R122" s="1280"/>
      <c r="S122" s="1283"/>
      <c r="T122" s="456" t="s">
        <v>294</v>
      </c>
      <c r="U122" s="457">
        <v>2200</v>
      </c>
      <c r="V122" s="458">
        <v>2400</v>
      </c>
      <c r="W122" s="459">
        <v>3490</v>
      </c>
      <c r="X122" s="460">
        <v>30</v>
      </c>
      <c r="Y122" s="448"/>
      <c r="Z122" s="1301"/>
      <c r="AA122" s="464"/>
      <c r="AB122" s="1288"/>
      <c r="AC122" s="1291"/>
      <c r="AD122" s="1272"/>
      <c r="AE122" s="1274"/>
      <c r="AF122" s="1274"/>
      <c r="AG122" s="1276"/>
      <c r="AH122" s="1277"/>
      <c r="AJ122" s="642"/>
      <c r="AK122" s="643"/>
      <c r="AL122" s="644"/>
      <c r="AM122" s="645"/>
      <c r="AN122" s="646"/>
      <c r="AO122" s="647"/>
    </row>
    <row r="123" spans="1:50" ht="13.5" customHeight="1" thickBot="1">
      <c r="A123" s="431" t="s">
        <v>318</v>
      </c>
      <c r="B123" s="416" t="s">
        <v>312</v>
      </c>
      <c r="C123" s="417" t="s">
        <v>334</v>
      </c>
      <c r="D123" s="418">
        <v>32730</v>
      </c>
      <c r="E123" s="419">
        <v>40290</v>
      </c>
      <c r="F123" s="418">
        <v>29090</v>
      </c>
      <c r="G123" s="419">
        <v>36650</v>
      </c>
      <c r="H123" s="420">
        <v>300</v>
      </c>
      <c r="I123" s="421">
        <v>370</v>
      </c>
      <c r="J123" s="422" t="s">
        <v>731</v>
      </c>
      <c r="K123" s="420">
        <v>270</v>
      </c>
      <c r="L123" s="421">
        <v>340</v>
      </c>
      <c r="M123" s="422" t="s">
        <v>287</v>
      </c>
      <c r="N123" s="423">
        <v>7560</v>
      </c>
      <c r="O123" s="424">
        <v>70</v>
      </c>
      <c r="P123" s="441"/>
      <c r="Q123" s="441"/>
      <c r="R123" s="1278">
        <v>2600</v>
      </c>
      <c r="S123" s="1281">
        <v>2800</v>
      </c>
      <c r="T123" s="426" t="s">
        <v>288</v>
      </c>
      <c r="U123" s="427">
        <v>5500</v>
      </c>
      <c r="V123" s="428">
        <v>6200</v>
      </c>
      <c r="W123" s="425">
        <v>3240</v>
      </c>
      <c r="X123" s="429">
        <v>30</v>
      </c>
      <c r="Y123" s="1284">
        <v>4500</v>
      </c>
      <c r="Z123" s="1301"/>
      <c r="AA123" s="464"/>
      <c r="AB123" s="1286">
        <v>3750</v>
      </c>
      <c r="AC123" s="1289">
        <v>30</v>
      </c>
      <c r="AD123" s="1292" t="s">
        <v>290</v>
      </c>
      <c r="AE123" s="1294" t="s">
        <v>290</v>
      </c>
      <c r="AF123" s="1294" t="s">
        <v>290</v>
      </c>
      <c r="AG123" s="1297" t="s">
        <v>290</v>
      </c>
      <c r="AH123" s="1269" t="s">
        <v>296</v>
      </c>
      <c r="AJ123" s="648"/>
      <c r="AK123" s="649"/>
      <c r="AL123" s="650"/>
      <c r="AM123" s="651"/>
      <c r="AN123" s="652"/>
      <c r="AO123" s="653"/>
    </row>
    <row r="124" spans="1:50" ht="13.5" customHeight="1">
      <c r="A124" s="431" t="s">
        <v>318</v>
      </c>
      <c r="B124" s="432" t="s">
        <v>312</v>
      </c>
      <c r="C124" s="433" t="s">
        <v>336</v>
      </c>
      <c r="D124" s="434">
        <v>40290</v>
      </c>
      <c r="E124" s="435">
        <v>101250</v>
      </c>
      <c r="F124" s="434">
        <v>36650</v>
      </c>
      <c r="G124" s="435">
        <v>97610</v>
      </c>
      <c r="H124" s="436">
        <v>370</v>
      </c>
      <c r="I124" s="437">
        <v>900</v>
      </c>
      <c r="J124" s="438" t="s">
        <v>731</v>
      </c>
      <c r="K124" s="436">
        <v>340</v>
      </c>
      <c r="L124" s="437">
        <v>860</v>
      </c>
      <c r="M124" s="438" t="s">
        <v>287</v>
      </c>
      <c r="N124" s="439">
        <v>7560</v>
      </c>
      <c r="O124" s="440">
        <v>70</v>
      </c>
      <c r="P124" s="441"/>
      <c r="Q124" s="441"/>
      <c r="R124" s="1279"/>
      <c r="S124" s="1282"/>
      <c r="T124" s="393" t="s">
        <v>292</v>
      </c>
      <c r="U124" s="442">
        <v>3000</v>
      </c>
      <c r="V124" s="443">
        <v>3400</v>
      </c>
      <c r="W124" s="441">
        <v>3240</v>
      </c>
      <c r="X124" s="444">
        <v>30</v>
      </c>
      <c r="Y124" s="1285"/>
      <c r="Z124" s="1301"/>
      <c r="AA124" s="464"/>
      <c r="AB124" s="1287"/>
      <c r="AC124" s="1290"/>
      <c r="AD124" s="1293"/>
      <c r="AE124" s="1295"/>
      <c r="AF124" s="1295"/>
      <c r="AG124" s="1298"/>
      <c r="AH124" s="1270"/>
      <c r="AJ124" s="164"/>
      <c r="AK124" s="165"/>
      <c r="AL124" s="166"/>
      <c r="AM124" s="167"/>
      <c r="AN124" s="153"/>
      <c r="AO124" s="153"/>
    </row>
    <row r="125" spans="1:50" ht="13.5" customHeight="1">
      <c r="A125" s="431" t="s">
        <v>318</v>
      </c>
      <c r="B125" s="432" t="s">
        <v>312</v>
      </c>
      <c r="C125" s="433" t="s">
        <v>337</v>
      </c>
      <c r="D125" s="434">
        <v>101250</v>
      </c>
      <c r="E125" s="435">
        <v>176870</v>
      </c>
      <c r="F125" s="434">
        <v>97610</v>
      </c>
      <c r="G125" s="435">
        <v>173230</v>
      </c>
      <c r="H125" s="436">
        <v>900</v>
      </c>
      <c r="I125" s="437">
        <v>1660</v>
      </c>
      <c r="J125" s="438" t="s">
        <v>731</v>
      </c>
      <c r="K125" s="436">
        <v>860</v>
      </c>
      <c r="L125" s="437">
        <v>1620</v>
      </c>
      <c r="M125" s="438" t="s">
        <v>287</v>
      </c>
      <c r="N125" s="446"/>
      <c r="O125" s="447"/>
      <c r="P125" s="462"/>
      <c r="Q125" s="462"/>
      <c r="R125" s="1279"/>
      <c r="S125" s="1282"/>
      <c r="T125" s="393" t="s">
        <v>293</v>
      </c>
      <c r="U125" s="442">
        <v>2600</v>
      </c>
      <c r="V125" s="443">
        <v>2900</v>
      </c>
      <c r="W125" s="441">
        <v>3240</v>
      </c>
      <c r="X125" s="444">
        <v>30</v>
      </c>
      <c r="Y125" s="448"/>
      <c r="Z125" s="1301"/>
      <c r="AA125" s="464"/>
      <c r="AB125" s="1287"/>
      <c r="AC125" s="1290"/>
      <c r="AD125" s="1271">
        <v>0.02</v>
      </c>
      <c r="AE125" s="1273">
        <v>0.03</v>
      </c>
      <c r="AF125" s="1273">
        <v>0.05</v>
      </c>
      <c r="AG125" s="1275">
        <v>0.06</v>
      </c>
      <c r="AH125" s="1277">
        <v>0.98</v>
      </c>
      <c r="AJ125" s="151"/>
      <c r="AK125" s="151"/>
      <c r="AL125" s="152"/>
      <c r="AM125" s="152"/>
      <c r="AN125" s="151"/>
      <c r="AO125" s="153"/>
    </row>
    <row r="126" spans="1:50" ht="13.5" customHeight="1" thickBot="1">
      <c r="A126" s="431" t="s">
        <v>318</v>
      </c>
      <c r="B126" s="449" t="s">
        <v>312</v>
      </c>
      <c r="C126" s="450" t="s">
        <v>338</v>
      </c>
      <c r="D126" s="451">
        <v>176870</v>
      </c>
      <c r="E126" s="452"/>
      <c r="F126" s="451">
        <v>173230</v>
      </c>
      <c r="G126" s="452"/>
      <c r="H126" s="439">
        <v>1660</v>
      </c>
      <c r="I126" s="453"/>
      <c r="J126" s="454" t="s">
        <v>731</v>
      </c>
      <c r="K126" s="439">
        <v>1620</v>
      </c>
      <c r="L126" s="453"/>
      <c r="M126" s="454" t="s">
        <v>287</v>
      </c>
      <c r="N126" s="446"/>
      <c r="O126" s="455"/>
      <c r="P126" s="441"/>
      <c r="Q126" s="441"/>
      <c r="R126" s="1280"/>
      <c r="S126" s="1283"/>
      <c r="T126" s="456" t="s">
        <v>294</v>
      </c>
      <c r="U126" s="457">
        <v>2400</v>
      </c>
      <c r="V126" s="458">
        <v>2600</v>
      </c>
      <c r="W126" s="459">
        <v>3240</v>
      </c>
      <c r="X126" s="460">
        <v>30</v>
      </c>
      <c r="Y126" s="448"/>
      <c r="Z126" s="1301"/>
      <c r="AA126" s="464"/>
      <c r="AB126" s="1288"/>
      <c r="AC126" s="1291"/>
      <c r="AD126" s="1272"/>
      <c r="AE126" s="1274"/>
      <c r="AF126" s="1274"/>
      <c r="AG126" s="1276"/>
      <c r="AH126" s="1277"/>
      <c r="AJ126" s="150" t="s">
        <v>386</v>
      </c>
      <c r="AK126" s="151"/>
      <c r="AL126" s="152"/>
      <c r="AM126" s="152"/>
      <c r="AN126" s="151"/>
      <c r="AO126" s="153"/>
      <c r="AS126" s="150" t="s">
        <v>386</v>
      </c>
    </row>
    <row r="127" spans="1:50" ht="13.5" customHeight="1" thickBot="1">
      <c r="A127" s="431" t="s">
        <v>318</v>
      </c>
      <c r="B127" s="416" t="s">
        <v>313</v>
      </c>
      <c r="C127" s="417" t="s">
        <v>334</v>
      </c>
      <c r="D127" s="418">
        <v>31730</v>
      </c>
      <c r="E127" s="419">
        <v>39290</v>
      </c>
      <c r="F127" s="418">
        <v>28340</v>
      </c>
      <c r="G127" s="419">
        <v>35900</v>
      </c>
      <c r="H127" s="420">
        <v>290</v>
      </c>
      <c r="I127" s="421">
        <v>360</v>
      </c>
      <c r="J127" s="422" t="s">
        <v>731</v>
      </c>
      <c r="K127" s="420">
        <v>260</v>
      </c>
      <c r="L127" s="421">
        <v>330</v>
      </c>
      <c r="M127" s="422" t="s">
        <v>287</v>
      </c>
      <c r="N127" s="423">
        <v>7560</v>
      </c>
      <c r="O127" s="424">
        <v>70</v>
      </c>
      <c r="P127" s="441"/>
      <c r="Q127" s="441"/>
      <c r="R127" s="1278">
        <v>2400</v>
      </c>
      <c r="S127" s="1281">
        <v>2600</v>
      </c>
      <c r="T127" s="426" t="s">
        <v>288</v>
      </c>
      <c r="U127" s="427">
        <v>5400</v>
      </c>
      <c r="V127" s="428">
        <v>6000</v>
      </c>
      <c r="W127" s="425">
        <v>3020</v>
      </c>
      <c r="X127" s="429">
        <v>30</v>
      </c>
      <c r="Y127" s="1284">
        <v>4500</v>
      </c>
      <c r="Z127" s="1301"/>
      <c r="AA127" s="464"/>
      <c r="AB127" s="1286">
        <v>3500</v>
      </c>
      <c r="AC127" s="1289">
        <v>30</v>
      </c>
      <c r="AD127" s="1292" t="s">
        <v>290</v>
      </c>
      <c r="AE127" s="1294" t="s">
        <v>290</v>
      </c>
      <c r="AF127" s="1294" t="s">
        <v>290</v>
      </c>
      <c r="AG127" s="1297" t="s">
        <v>290</v>
      </c>
      <c r="AH127" s="1269" t="s">
        <v>296</v>
      </c>
      <c r="AJ127" s="191" t="s">
        <v>387</v>
      </c>
      <c r="AK127" s="168" t="s">
        <v>388</v>
      </c>
      <c r="AL127" s="169" t="s">
        <v>374</v>
      </c>
      <c r="AM127" s="170" t="s">
        <v>375</v>
      </c>
      <c r="AN127" s="171" t="s">
        <v>376</v>
      </c>
      <c r="AO127" s="171" t="s">
        <v>353</v>
      </c>
      <c r="AS127" s="240" t="s">
        <v>339</v>
      </c>
      <c r="AT127" s="240" t="s">
        <v>388</v>
      </c>
      <c r="AU127" s="241" t="s">
        <v>416</v>
      </c>
      <c r="AV127" s="242" t="s">
        <v>417</v>
      </c>
      <c r="AW127" s="239" t="s">
        <v>376</v>
      </c>
      <c r="AX127" s="239" t="s">
        <v>353</v>
      </c>
    </row>
    <row r="128" spans="1:50" ht="13.5" customHeight="1">
      <c r="A128" s="431" t="s">
        <v>318</v>
      </c>
      <c r="B128" s="432" t="s">
        <v>313</v>
      </c>
      <c r="C128" s="433" t="s">
        <v>336</v>
      </c>
      <c r="D128" s="434">
        <v>39290</v>
      </c>
      <c r="E128" s="435">
        <v>100250</v>
      </c>
      <c r="F128" s="434">
        <v>35900</v>
      </c>
      <c r="G128" s="435">
        <v>96860</v>
      </c>
      <c r="H128" s="436">
        <v>360</v>
      </c>
      <c r="I128" s="437">
        <v>890</v>
      </c>
      <c r="J128" s="438" t="s">
        <v>731</v>
      </c>
      <c r="K128" s="436">
        <v>330</v>
      </c>
      <c r="L128" s="437">
        <v>850</v>
      </c>
      <c r="M128" s="438" t="s">
        <v>287</v>
      </c>
      <c r="N128" s="439">
        <v>7560</v>
      </c>
      <c r="O128" s="440">
        <v>70</v>
      </c>
      <c r="P128" s="462"/>
      <c r="Q128" s="462"/>
      <c r="R128" s="1279"/>
      <c r="S128" s="1282"/>
      <c r="T128" s="393" t="s">
        <v>292</v>
      </c>
      <c r="U128" s="442">
        <v>2900</v>
      </c>
      <c r="V128" s="443">
        <v>3300</v>
      </c>
      <c r="W128" s="441">
        <v>3020</v>
      </c>
      <c r="X128" s="444">
        <v>30</v>
      </c>
      <c r="Y128" s="1285"/>
      <c r="Z128" s="1301"/>
      <c r="AA128" s="464"/>
      <c r="AB128" s="1287"/>
      <c r="AC128" s="1290"/>
      <c r="AD128" s="1293"/>
      <c r="AE128" s="1295"/>
      <c r="AF128" s="1295"/>
      <c r="AG128" s="1298"/>
      <c r="AH128" s="1270"/>
      <c r="AJ128" s="172" t="s">
        <v>389</v>
      </c>
      <c r="AK128" s="173" t="s">
        <v>400</v>
      </c>
      <c r="AL128" s="174">
        <v>266900</v>
      </c>
      <c r="AM128" s="175">
        <v>2660</v>
      </c>
      <c r="AN128" s="176">
        <v>60000</v>
      </c>
      <c r="AO128" s="176">
        <v>3040</v>
      </c>
      <c r="AS128" s="243">
        <f>基本情報!C3</f>
        <v>0</v>
      </c>
      <c r="AT128" s="244">
        <f>加算と減算!D6</f>
        <v>0</v>
      </c>
      <c r="AU128" s="249" t="e">
        <f>DGET(AJ127:AM239,AU127,AS127:AT128)</f>
        <v>#VALUE!</v>
      </c>
      <c r="AV128" s="250" t="e">
        <f>DGET(AJ127:AM239,AV127,AS127:AT128)</f>
        <v>#VALUE!</v>
      </c>
      <c r="AW128" s="251" t="e">
        <f>VLOOKUP(AT128,AK128:AO141,4,FALSE)</f>
        <v>#N/A</v>
      </c>
      <c r="AX128" s="251" t="e">
        <f>VLOOKUP(AT128,AK128:AO141,5,FALSE)</f>
        <v>#N/A</v>
      </c>
    </row>
    <row r="129" spans="1:87" ht="13.5" customHeight="1">
      <c r="A129" s="431" t="s">
        <v>318</v>
      </c>
      <c r="B129" s="432" t="s">
        <v>313</v>
      </c>
      <c r="C129" s="433" t="s">
        <v>337</v>
      </c>
      <c r="D129" s="434">
        <v>100250</v>
      </c>
      <c r="E129" s="435">
        <v>175870</v>
      </c>
      <c r="F129" s="434">
        <v>96860</v>
      </c>
      <c r="G129" s="435">
        <v>172480</v>
      </c>
      <c r="H129" s="436">
        <v>890</v>
      </c>
      <c r="I129" s="437">
        <v>1650</v>
      </c>
      <c r="J129" s="438" t="s">
        <v>731</v>
      </c>
      <c r="K129" s="436">
        <v>850</v>
      </c>
      <c r="L129" s="437">
        <v>1610</v>
      </c>
      <c r="M129" s="438" t="s">
        <v>287</v>
      </c>
      <c r="N129" s="446"/>
      <c r="O129" s="447"/>
      <c r="P129" s="441"/>
      <c r="Q129" s="441"/>
      <c r="R129" s="1279"/>
      <c r="S129" s="1282"/>
      <c r="T129" s="393" t="s">
        <v>293</v>
      </c>
      <c r="U129" s="442">
        <v>2500</v>
      </c>
      <c r="V129" s="443">
        <v>2800</v>
      </c>
      <c r="W129" s="441">
        <v>3020</v>
      </c>
      <c r="X129" s="444">
        <v>30</v>
      </c>
      <c r="Y129" s="448"/>
      <c r="Z129" s="1301"/>
      <c r="AA129" s="464"/>
      <c r="AB129" s="1287"/>
      <c r="AC129" s="1290"/>
      <c r="AD129" s="1271">
        <v>0.02</v>
      </c>
      <c r="AE129" s="1273">
        <v>0.03</v>
      </c>
      <c r="AF129" s="1273">
        <v>0.05</v>
      </c>
      <c r="AG129" s="1275">
        <v>0.06</v>
      </c>
      <c r="AH129" s="1277">
        <v>0.98</v>
      </c>
      <c r="AJ129" s="177" t="s">
        <v>389</v>
      </c>
      <c r="AK129" s="142" t="s">
        <v>401</v>
      </c>
      <c r="AL129" s="178">
        <v>285800</v>
      </c>
      <c r="AM129" s="179">
        <v>2850</v>
      </c>
      <c r="AN129" s="176">
        <v>62431</v>
      </c>
      <c r="AO129" s="176">
        <v>3286</v>
      </c>
    </row>
    <row r="130" spans="1:87" ht="13.5" customHeight="1">
      <c r="A130" s="431" t="s">
        <v>318</v>
      </c>
      <c r="B130" s="449" t="s">
        <v>313</v>
      </c>
      <c r="C130" s="450" t="s">
        <v>338</v>
      </c>
      <c r="D130" s="451">
        <v>175870</v>
      </c>
      <c r="E130" s="452"/>
      <c r="F130" s="451">
        <v>172480</v>
      </c>
      <c r="G130" s="452"/>
      <c r="H130" s="439">
        <v>1650</v>
      </c>
      <c r="I130" s="453"/>
      <c r="J130" s="454" t="s">
        <v>731</v>
      </c>
      <c r="K130" s="439">
        <v>1610</v>
      </c>
      <c r="L130" s="453"/>
      <c r="M130" s="454" t="s">
        <v>287</v>
      </c>
      <c r="N130" s="446"/>
      <c r="O130" s="455"/>
      <c r="P130" s="441"/>
      <c r="Q130" s="441"/>
      <c r="R130" s="1280"/>
      <c r="S130" s="1283"/>
      <c r="T130" s="456" t="s">
        <v>294</v>
      </c>
      <c r="U130" s="457">
        <v>2300</v>
      </c>
      <c r="V130" s="458">
        <v>2500</v>
      </c>
      <c r="W130" s="459">
        <v>3020</v>
      </c>
      <c r="X130" s="460">
        <v>30</v>
      </c>
      <c r="Y130" s="448"/>
      <c r="Z130" s="1301"/>
      <c r="AA130" s="464"/>
      <c r="AB130" s="1288"/>
      <c r="AC130" s="1291"/>
      <c r="AD130" s="1272"/>
      <c r="AE130" s="1274"/>
      <c r="AF130" s="1274"/>
      <c r="AG130" s="1276"/>
      <c r="AH130" s="1277"/>
      <c r="AJ130" s="177" t="s">
        <v>389</v>
      </c>
      <c r="AK130" s="142" t="s">
        <v>402</v>
      </c>
      <c r="AL130" s="178">
        <v>323700</v>
      </c>
      <c r="AM130" s="179">
        <v>3230</v>
      </c>
      <c r="AN130" s="176">
        <v>67292</v>
      </c>
      <c r="AO130" s="176">
        <v>3778</v>
      </c>
    </row>
    <row r="131" spans="1:87" ht="13.5" customHeight="1">
      <c r="A131" s="431" t="s">
        <v>318</v>
      </c>
      <c r="B131" s="416" t="s">
        <v>314</v>
      </c>
      <c r="C131" s="417" t="s">
        <v>334</v>
      </c>
      <c r="D131" s="418">
        <v>31720</v>
      </c>
      <c r="E131" s="419">
        <v>39280</v>
      </c>
      <c r="F131" s="418">
        <v>28540</v>
      </c>
      <c r="G131" s="419">
        <v>36100</v>
      </c>
      <c r="H131" s="420">
        <v>290</v>
      </c>
      <c r="I131" s="421">
        <v>360</v>
      </c>
      <c r="J131" s="422" t="s">
        <v>731</v>
      </c>
      <c r="K131" s="420">
        <v>260</v>
      </c>
      <c r="L131" s="421">
        <v>330</v>
      </c>
      <c r="M131" s="422" t="s">
        <v>287</v>
      </c>
      <c r="N131" s="423">
        <v>7560</v>
      </c>
      <c r="O131" s="424">
        <v>70</v>
      </c>
      <c r="P131" s="462"/>
      <c r="Q131" s="462"/>
      <c r="R131" s="1278">
        <v>2200</v>
      </c>
      <c r="S131" s="1281">
        <v>2500</v>
      </c>
      <c r="T131" s="426" t="s">
        <v>288</v>
      </c>
      <c r="U131" s="427">
        <v>4800</v>
      </c>
      <c r="V131" s="428">
        <v>5400</v>
      </c>
      <c r="W131" s="425">
        <v>2830</v>
      </c>
      <c r="X131" s="429">
        <v>20</v>
      </c>
      <c r="Y131" s="1284">
        <v>4500</v>
      </c>
      <c r="Z131" s="1301"/>
      <c r="AA131" s="464"/>
      <c r="AB131" s="1286">
        <v>3280</v>
      </c>
      <c r="AC131" s="1289">
        <v>30</v>
      </c>
      <c r="AD131" s="1292" t="s">
        <v>290</v>
      </c>
      <c r="AE131" s="1294" t="s">
        <v>290</v>
      </c>
      <c r="AF131" s="1294" t="s">
        <v>290</v>
      </c>
      <c r="AG131" s="1297" t="s">
        <v>290</v>
      </c>
      <c r="AH131" s="1269" t="s">
        <v>296</v>
      </c>
      <c r="AJ131" s="177" t="s">
        <v>389</v>
      </c>
      <c r="AK131" s="142" t="s">
        <v>403</v>
      </c>
      <c r="AL131" s="178">
        <v>361600</v>
      </c>
      <c r="AM131" s="179">
        <v>3610</v>
      </c>
      <c r="AN131" s="176">
        <v>72153</v>
      </c>
      <c r="AO131" s="176">
        <v>4271</v>
      </c>
    </row>
    <row r="132" spans="1:87" ht="13.5" customHeight="1">
      <c r="A132" s="431" t="s">
        <v>318</v>
      </c>
      <c r="B132" s="432" t="s">
        <v>314</v>
      </c>
      <c r="C132" s="433" t="s">
        <v>336</v>
      </c>
      <c r="D132" s="434">
        <v>39280</v>
      </c>
      <c r="E132" s="435">
        <v>100240</v>
      </c>
      <c r="F132" s="434">
        <v>36100</v>
      </c>
      <c r="G132" s="435">
        <v>97060</v>
      </c>
      <c r="H132" s="436">
        <v>360</v>
      </c>
      <c r="I132" s="437">
        <v>890</v>
      </c>
      <c r="J132" s="438" t="s">
        <v>731</v>
      </c>
      <c r="K132" s="436">
        <v>330</v>
      </c>
      <c r="L132" s="437">
        <v>860</v>
      </c>
      <c r="M132" s="438" t="s">
        <v>287</v>
      </c>
      <c r="N132" s="439">
        <v>7560</v>
      </c>
      <c r="O132" s="440">
        <v>70</v>
      </c>
      <c r="P132" s="462"/>
      <c r="Q132" s="462"/>
      <c r="R132" s="1279"/>
      <c r="S132" s="1282"/>
      <c r="T132" s="393" t="s">
        <v>292</v>
      </c>
      <c r="U132" s="442">
        <v>2600</v>
      </c>
      <c r="V132" s="443">
        <v>2900</v>
      </c>
      <c r="W132" s="441">
        <v>2830</v>
      </c>
      <c r="X132" s="444">
        <v>20</v>
      </c>
      <c r="Y132" s="1285"/>
      <c r="Z132" s="1301"/>
      <c r="AA132" s="464"/>
      <c r="AB132" s="1287"/>
      <c r="AC132" s="1290"/>
      <c r="AD132" s="1293"/>
      <c r="AE132" s="1295"/>
      <c r="AF132" s="1295"/>
      <c r="AG132" s="1298"/>
      <c r="AH132" s="1270"/>
      <c r="AJ132" s="177" t="s">
        <v>389</v>
      </c>
      <c r="AK132" s="142" t="s">
        <v>404</v>
      </c>
      <c r="AL132" s="178">
        <v>399600</v>
      </c>
      <c r="AM132" s="179">
        <v>3990</v>
      </c>
      <c r="AN132" s="176">
        <v>77014</v>
      </c>
      <c r="AO132" s="176">
        <v>4763</v>
      </c>
    </row>
    <row r="133" spans="1:87" ht="13.5" customHeight="1">
      <c r="A133" s="431" t="s">
        <v>318</v>
      </c>
      <c r="B133" s="432" t="s">
        <v>314</v>
      </c>
      <c r="C133" s="433" t="s">
        <v>337</v>
      </c>
      <c r="D133" s="434">
        <v>100240</v>
      </c>
      <c r="E133" s="435">
        <v>175860</v>
      </c>
      <c r="F133" s="434">
        <v>97060</v>
      </c>
      <c r="G133" s="435">
        <v>172680</v>
      </c>
      <c r="H133" s="436">
        <v>890</v>
      </c>
      <c r="I133" s="437">
        <v>1650</v>
      </c>
      <c r="J133" s="438" t="s">
        <v>731</v>
      </c>
      <c r="K133" s="436">
        <v>860</v>
      </c>
      <c r="L133" s="437">
        <v>1620</v>
      </c>
      <c r="M133" s="438" t="s">
        <v>287</v>
      </c>
      <c r="N133" s="446"/>
      <c r="O133" s="447"/>
      <c r="P133" s="462"/>
      <c r="Q133" s="462"/>
      <c r="R133" s="1279"/>
      <c r="S133" s="1282"/>
      <c r="T133" s="393" t="s">
        <v>293</v>
      </c>
      <c r="U133" s="442">
        <v>2300</v>
      </c>
      <c r="V133" s="443">
        <v>2500</v>
      </c>
      <c r="W133" s="441">
        <v>2830</v>
      </c>
      <c r="X133" s="444">
        <v>20</v>
      </c>
      <c r="Y133" s="448"/>
      <c r="Z133" s="1301"/>
      <c r="AA133" s="464"/>
      <c r="AB133" s="1287"/>
      <c r="AC133" s="1290"/>
      <c r="AD133" s="1271">
        <v>0.02</v>
      </c>
      <c r="AE133" s="1273">
        <v>0.03</v>
      </c>
      <c r="AF133" s="1273">
        <v>0.05</v>
      </c>
      <c r="AG133" s="1275">
        <v>0.06</v>
      </c>
      <c r="AH133" s="1277">
        <v>0.98</v>
      </c>
      <c r="AJ133" s="177" t="s">
        <v>389</v>
      </c>
      <c r="AK133" s="142" t="s">
        <v>405</v>
      </c>
      <c r="AL133" s="178">
        <v>437500</v>
      </c>
      <c r="AM133" s="179">
        <v>4370</v>
      </c>
      <c r="AN133" s="176">
        <v>81875</v>
      </c>
      <c r="AO133" s="176">
        <v>5256</v>
      </c>
    </row>
    <row r="134" spans="1:87" ht="13.5" customHeight="1">
      <c r="A134" s="431" t="s">
        <v>318</v>
      </c>
      <c r="B134" s="449" t="s">
        <v>314</v>
      </c>
      <c r="C134" s="450" t="s">
        <v>338</v>
      </c>
      <c r="D134" s="451">
        <v>175860</v>
      </c>
      <c r="E134" s="452"/>
      <c r="F134" s="451">
        <v>172680</v>
      </c>
      <c r="G134" s="452"/>
      <c r="H134" s="439">
        <v>1650</v>
      </c>
      <c r="I134" s="453"/>
      <c r="J134" s="454" t="s">
        <v>731</v>
      </c>
      <c r="K134" s="439">
        <v>1620</v>
      </c>
      <c r="L134" s="453"/>
      <c r="M134" s="454" t="s">
        <v>287</v>
      </c>
      <c r="N134" s="446"/>
      <c r="O134" s="455"/>
      <c r="P134" s="462"/>
      <c r="Q134" s="462"/>
      <c r="R134" s="1280"/>
      <c r="S134" s="1283"/>
      <c r="T134" s="456" t="s">
        <v>294</v>
      </c>
      <c r="U134" s="457">
        <v>2000</v>
      </c>
      <c r="V134" s="458">
        <v>2300</v>
      </c>
      <c r="W134" s="459">
        <v>2830</v>
      </c>
      <c r="X134" s="460">
        <v>20</v>
      </c>
      <c r="Y134" s="448"/>
      <c r="Z134" s="1301"/>
      <c r="AA134" s="464"/>
      <c r="AB134" s="1288"/>
      <c r="AC134" s="1291"/>
      <c r="AD134" s="1272"/>
      <c r="AE134" s="1274"/>
      <c r="AF134" s="1274"/>
      <c r="AG134" s="1276"/>
      <c r="AH134" s="1277"/>
      <c r="AJ134" s="177" t="s">
        <v>389</v>
      </c>
      <c r="AK134" s="142" t="s">
        <v>406</v>
      </c>
      <c r="AL134" s="178">
        <v>475400</v>
      </c>
      <c r="AM134" s="179">
        <v>4750</v>
      </c>
      <c r="AN134" s="176">
        <v>86736</v>
      </c>
      <c r="AO134" s="176">
        <v>5749</v>
      </c>
    </row>
    <row r="135" spans="1:87" ht="13.5" customHeight="1">
      <c r="A135" s="431" t="s">
        <v>318</v>
      </c>
      <c r="B135" s="416" t="s">
        <v>315</v>
      </c>
      <c r="C135" s="417" t="s">
        <v>334</v>
      </c>
      <c r="D135" s="418">
        <v>30920</v>
      </c>
      <c r="E135" s="419">
        <v>38480</v>
      </c>
      <c r="F135" s="418">
        <v>27920</v>
      </c>
      <c r="G135" s="419">
        <v>35480</v>
      </c>
      <c r="H135" s="420">
        <v>290</v>
      </c>
      <c r="I135" s="421">
        <v>360</v>
      </c>
      <c r="J135" s="422" t="s">
        <v>731</v>
      </c>
      <c r="K135" s="420">
        <v>260</v>
      </c>
      <c r="L135" s="421">
        <v>330</v>
      </c>
      <c r="M135" s="422" t="s">
        <v>287</v>
      </c>
      <c r="N135" s="423">
        <v>7560</v>
      </c>
      <c r="O135" s="424">
        <v>70</v>
      </c>
      <c r="P135" s="462"/>
      <c r="Q135" s="462"/>
      <c r="R135" s="1278">
        <v>2400</v>
      </c>
      <c r="S135" s="1281">
        <v>2600</v>
      </c>
      <c r="T135" s="426" t="s">
        <v>288</v>
      </c>
      <c r="U135" s="427">
        <v>5400</v>
      </c>
      <c r="V135" s="428">
        <v>6000</v>
      </c>
      <c r="W135" s="425">
        <v>2660</v>
      </c>
      <c r="X135" s="429">
        <v>20</v>
      </c>
      <c r="Y135" s="1284">
        <v>4500</v>
      </c>
      <c r="Z135" s="1301"/>
      <c r="AA135" s="464"/>
      <c r="AB135" s="1286">
        <v>3090</v>
      </c>
      <c r="AC135" s="1289">
        <v>30</v>
      </c>
      <c r="AD135" s="1292" t="s">
        <v>290</v>
      </c>
      <c r="AE135" s="1294" t="s">
        <v>290</v>
      </c>
      <c r="AF135" s="1294" t="s">
        <v>290</v>
      </c>
      <c r="AG135" s="1297" t="s">
        <v>290</v>
      </c>
      <c r="AH135" s="1269" t="s">
        <v>296</v>
      </c>
      <c r="AJ135" s="177" t="s">
        <v>389</v>
      </c>
      <c r="AK135" s="142" t="s">
        <v>407</v>
      </c>
      <c r="AL135" s="178">
        <v>513300</v>
      </c>
      <c r="AM135" s="179">
        <v>5130</v>
      </c>
      <c r="AN135" s="176">
        <v>91597</v>
      </c>
      <c r="AO135" s="176">
        <v>6241</v>
      </c>
    </row>
    <row r="136" spans="1:87" ht="13.5" customHeight="1">
      <c r="A136" s="431" t="s">
        <v>318</v>
      </c>
      <c r="B136" s="432" t="s">
        <v>315</v>
      </c>
      <c r="C136" s="433" t="s">
        <v>336</v>
      </c>
      <c r="D136" s="434">
        <v>38480</v>
      </c>
      <c r="E136" s="435">
        <v>99440</v>
      </c>
      <c r="F136" s="434">
        <v>35480</v>
      </c>
      <c r="G136" s="435">
        <v>96440</v>
      </c>
      <c r="H136" s="436">
        <v>360</v>
      </c>
      <c r="I136" s="437">
        <v>880</v>
      </c>
      <c r="J136" s="438" t="s">
        <v>731</v>
      </c>
      <c r="K136" s="436">
        <v>330</v>
      </c>
      <c r="L136" s="437">
        <v>850</v>
      </c>
      <c r="M136" s="438" t="s">
        <v>287</v>
      </c>
      <c r="N136" s="439">
        <v>7560</v>
      </c>
      <c r="O136" s="440">
        <v>70</v>
      </c>
      <c r="P136" s="462"/>
      <c r="Q136" s="462"/>
      <c r="R136" s="1279"/>
      <c r="S136" s="1282"/>
      <c r="T136" s="393" t="s">
        <v>292</v>
      </c>
      <c r="U136" s="442">
        <v>2900</v>
      </c>
      <c r="V136" s="443">
        <v>3300</v>
      </c>
      <c r="W136" s="441">
        <v>2660</v>
      </c>
      <c r="X136" s="444">
        <v>20</v>
      </c>
      <c r="Y136" s="1285"/>
      <c r="Z136" s="1301"/>
      <c r="AA136" s="464"/>
      <c r="AB136" s="1287"/>
      <c r="AC136" s="1290"/>
      <c r="AD136" s="1293"/>
      <c r="AE136" s="1295"/>
      <c r="AF136" s="1295"/>
      <c r="AG136" s="1298"/>
      <c r="AH136" s="1270"/>
      <c r="AJ136" s="177" t="s">
        <v>389</v>
      </c>
      <c r="AK136" s="142" t="s">
        <v>408</v>
      </c>
      <c r="AL136" s="178">
        <v>551200</v>
      </c>
      <c r="AM136" s="179">
        <v>5510</v>
      </c>
      <c r="AN136" s="176">
        <v>96458</v>
      </c>
      <c r="AO136" s="176">
        <v>6734</v>
      </c>
    </row>
    <row r="137" spans="1:87" ht="13.5" customHeight="1">
      <c r="A137" s="431" t="s">
        <v>318</v>
      </c>
      <c r="B137" s="432" t="s">
        <v>315</v>
      </c>
      <c r="C137" s="433" t="s">
        <v>337</v>
      </c>
      <c r="D137" s="434">
        <v>99440</v>
      </c>
      <c r="E137" s="435">
        <v>175060</v>
      </c>
      <c r="F137" s="434">
        <v>96440</v>
      </c>
      <c r="G137" s="435">
        <v>172060</v>
      </c>
      <c r="H137" s="436">
        <v>880</v>
      </c>
      <c r="I137" s="437">
        <v>1640</v>
      </c>
      <c r="J137" s="438" t="s">
        <v>731</v>
      </c>
      <c r="K137" s="436">
        <v>850</v>
      </c>
      <c r="L137" s="437">
        <v>1610</v>
      </c>
      <c r="M137" s="438" t="s">
        <v>287</v>
      </c>
      <c r="N137" s="446"/>
      <c r="O137" s="447"/>
      <c r="P137" s="441"/>
      <c r="Q137" s="441"/>
      <c r="R137" s="1279"/>
      <c r="S137" s="1282"/>
      <c r="T137" s="393" t="s">
        <v>293</v>
      </c>
      <c r="U137" s="442">
        <v>2500</v>
      </c>
      <c r="V137" s="443">
        <v>2800</v>
      </c>
      <c r="W137" s="441">
        <v>2660</v>
      </c>
      <c r="X137" s="444">
        <v>20</v>
      </c>
      <c r="Y137" s="448"/>
      <c r="Z137" s="1301"/>
      <c r="AA137" s="464"/>
      <c r="AB137" s="1287"/>
      <c r="AC137" s="1290"/>
      <c r="AD137" s="1271">
        <v>0.02</v>
      </c>
      <c r="AE137" s="1273">
        <v>0.03</v>
      </c>
      <c r="AF137" s="1273">
        <v>0.05</v>
      </c>
      <c r="AG137" s="1275">
        <v>0.06</v>
      </c>
      <c r="AH137" s="1277">
        <v>0.99</v>
      </c>
      <c r="AJ137" s="177" t="s">
        <v>389</v>
      </c>
      <c r="AK137" s="142" t="s">
        <v>409</v>
      </c>
      <c r="AL137" s="178">
        <v>589100</v>
      </c>
      <c r="AM137" s="179">
        <v>5890</v>
      </c>
      <c r="AN137" s="176">
        <v>101319</v>
      </c>
      <c r="AO137" s="176">
        <v>7226</v>
      </c>
    </row>
    <row r="138" spans="1:87" ht="13.5" customHeight="1">
      <c r="A138" s="431" t="s">
        <v>318</v>
      </c>
      <c r="B138" s="449" t="s">
        <v>315</v>
      </c>
      <c r="C138" s="450" t="s">
        <v>338</v>
      </c>
      <c r="D138" s="451">
        <v>175060</v>
      </c>
      <c r="E138" s="452"/>
      <c r="F138" s="451">
        <v>172060</v>
      </c>
      <c r="G138" s="452"/>
      <c r="H138" s="439">
        <v>1640</v>
      </c>
      <c r="I138" s="453"/>
      <c r="J138" s="454" t="s">
        <v>731</v>
      </c>
      <c r="K138" s="439">
        <v>1610</v>
      </c>
      <c r="L138" s="453"/>
      <c r="M138" s="454" t="s">
        <v>287</v>
      </c>
      <c r="N138" s="446"/>
      <c r="O138" s="455"/>
      <c r="P138" s="441"/>
      <c r="Q138" s="441"/>
      <c r="R138" s="1280"/>
      <c r="S138" s="1283"/>
      <c r="T138" s="456" t="s">
        <v>294</v>
      </c>
      <c r="U138" s="457">
        <v>2300</v>
      </c>
      <c r="V138" s="458">
        <v>2500</v>
      </c>
      <c r="W138" s="459">
        <v>2660</v>
      </c>
      <c r="X138" s="460">
        <v>20</v>
      </c>
      <c r="Y138" s="448"/>
      <c r="Z138" s="1301"/>
      <c r="AA138" s="464"/>
      <c r="AB138" s="1288"/>
      <c r="AC138" s="1291"/>
      <c r="AD138" s="1272"/>
      <c r="AE138" s="1274"/>
      <c r="AF138" s="1274"/>
      <c r="AG138" s="1276"/>
      <c r="AH138" s="1277"/>
      <c r="AJ138" s="177" t="s">
        <v>389</v>
      </c>
      <c r="AK138" s="142" t="s">
        <v>410</v>
      </c>
      <c r="AL138" s="178">
        <v>627100</v>
      </c>
      <c r="AM138" s="179">
        <v>6270</v>
      </c>
      <c r="AN138" s="176">
        <v>106181</v>
      </c>
      <c r="AO138" s="176">
        <v>7719</v>
      </c>
    </row>
    <row r="139" spans="1:87" ht="13.5" customHeight="1">
      <c r="A139" s="431" t="s">
        <v>318</v>
      </c>
      <c r="B139" s="416" t="s">
        <v>316</v>
      </c>
      <c r="C139" s="417" t="s">
        <v>334</v>
      </c>
      <c r="D139" s="418">
        <v>30180</v>
      </c>
      <c r="E139" s="419">
        <v>37740</v>
      </c>
      <c r="F139" s="418">
        <v>27360</v>
      </c>
      <c r="G139" s="419">
        <v>34920</v>
      </c>
      <c r="H139" s="420">
        <v>280</v>
      </c>
      <c r="I139" s="421">
        <v>350</v>
      </c>
      <c r="J139" s="422" t="s">
        <v>731</v>
      </c>
      <c r="K139" s="420">
        <v>250</v>
      </c>
      <c r="L139" s="421">
        <v>320</v>
      </c>
      <c r="M139" s="422" t="s">
        <v>287</v>
      </c>
      <c r="N139" s="423">
        <v>7560</v>
      </c>
      <c r="O139" s="424">
        <v>70</v>
      </c>
      <c r="P139" s="441"/>
      <c r="Q139" s="441"/>
      <c r="R139" s="1278">
        <v>2300</v>
      </c>
      <c r="S139" s="1281">
        <v>2500</v>
      </c>
      <c r="T139" s="426" t="s">
        <v>288</v>
      </c>
      <c r="U139" s="427">
        <v>4800</v>
      </c>
      <c r="V139" s="428">
        <v>5400</v>
      </c>
      <c r="W139" s="425">
        <v>2520</v>
      </c>
      <c r="X139" s="429">
        <v>20</v>
      </c>
      <c r="Y139" s="1284">
        <v>4500</v>
      </c>
      <c r="Z139" s="1301"/>
      <c r="AA139" s="464"/>
      <c r="AB139" s="1286">
        <v>2920</v>
      </c>
      <c r="AC139" s="1289">
        <v>20</v>
      </c>
      <c r="AD139" s="1292" t="s">
        <v>290</v>
      </c>
      <c r="AE139" s="1294" t="s">
        <v>290</v>
      </c>
      <c r="AF139" s="1294" t="s">
        <v>290</v>
      </c>
      <c r="AG139" s="1297" t="s">
        <v>290</v>
      </c>
      <c r="AH139" s="1269" t="s">
        <v>296</v>
      </c>
      <c r="AJ139" s="177" t="s">
        <v>389</v>
      </c>
      <c r="AK139" s="142" t="s">
        <v>411</v>
      </c>
      <c r="AL139" s="178">
        <v>665000</v>
      </c>
      <c r="AM139" s="179">
        <v>6650</v>
      </c>
      <c r="AN139" s="176">
        <v>111042</v>
      </c>
      <c r="AO139" s="176">
        <v>8211</v>
      </c>
    </row>
    <row r="140" spans="1:87" ht="13.5" customHeight="1">
      <c r="A140" s="431" t="s">
        <v>318</v>
      </c>
      <c r="B140" s="432" t="s">
        <v>317</v>
      </c>
      <c r="C140" s="433" t="s">
        <v>336</v>
      </c>
      <c r="D140" s="434">
        <v>37740</v>
      </c>
      <c r="E140" s="435">
        <v>98700</v>
      </c>
      <c r="F140" s="434">
        <v>34920</v>
      </c>
      <c r="G140" s="435">
        <v>95880</v>
      </c>
      <c r="H140" s="436">
        <v>350</v>
      </c>
      <c r="I140" s="437">
        <v>870</v>
      </c>
      <c r="J140" s="438" t="s">
        <v>731</v>
      </c>
      <c r="K140" s="436">
        <v>320</v>
      </c>
      <c r="L140" s="437">
        <v>840</v>
      </c>
      <c r="M140" s="438" t="s">
        <v>287</v>
      </c>
      <c r="N140" s="439">
        <v>7560</v>
      </c>
      <c r="O140" s="440">
        <v>70</v>
      </c>
      <c r="P140" s="441"/>
      <c r="Q140" s="441"/>
      <c r="R140" s="1279"/>
      <c r="S140" s="1282"/>
      <c r="T140" s="393" t="s">
        <v>292</v>
      </c>
      <c r="U140" s="442">
        <v>2600</v>
      </c>
      <c r="V140" s="443">
        <v>2900</v>
      </c>
      <c r="W140" s="441">
        <v>2520</v>
      </c>
      <c r="X140" s="444">
        <v>20</v>
      </c>
      <c r="Y140" s="1285"/>
      <c r="Z140" s="1301"/>
      <c r="AA140" s="464"/>
      <c r="AB140" s="1287"/>
      <c r="AC140" s="1290"/>
      <c r="AD140" s="1293"/>
      <c r="AE140" s="1295"/>
      <c r="AF140" s="1295"/>
      <c r="AG140" s="1298"/>
      <c r="AH140" s="1270"/>
      <c r="AJ140" s="177" t="s">
        <v>389</v>
      </c>
      <c r="AK140" s="142" t="s">
        <v>412</v>
      </c>
      <c r="AL140" s="178">
        <v>702900</v>
      </c>
      <c r="AM140" s="179">
        <v>7020</v>
      </c>
      <c r="AN140" s="176">
        <v>115903</v>
      </c>
      <c r="AO140" s="176">
        <v>8704</v>
      </c>
    </row>
    <row r="141" spans="1:87" ht="13.5" customHeight="1" thickBot="1">
      <c r="A141" s="431" t="s">
        <v>318</v>
      </c>
      <c r="B141" s="432" t="s">
        <v>316</v>
      </c>
      <c r="C141" s="433" t="s">
        <v>337</v>
      </c>
      <c r="D141" s="434">
        <v>98700</v>
      </c>
      <c r="E141" s="435">
        <v>174320</v>
      </c>
      <c r="F141" s="434">
        <v>95880</v>
      </c>
      <c r="G141" s="435">
        <v>171500</v>
      </c>
      <c r="H141" s="436">
        <v>870</v>
      </c>
      <c r="I141" s="437">
        <v>1630</v>
      </c>
      <c r="J141" s="438" t="s">
        <v>731</v>
      </c>
      <c r="K141" s="436">
        <v>840</v>
      </c>
      <c r="L141" s="437">
        <v>1600</v>
      </c>
      <c r="M141" s="438" t="s">
        <v>287</v>
      </c>
      <c r="N141" s="446"/>
      <c r="O141" s="447"/>
      <c r="P141" s="441"/>
      <c r="Q141" s="441"/>
      <c r="R141" s="1279"/>
      <c r="S141" s="1282"/>
      <c r="T141" s="393" t="s">
        <v>293</v>
      </c>
      <c r="U141" s="442">
        <v>2300</v>
      </c>
      <c r="V141" s="443">
        <v>2500</v>
      </c>
      <c r="W141" s="441">
        <v>2520</v>
      </c>
      <c r="X141" s="444">
        <v>20</v>
      </c>
      <c r="Y141" s="448"/>
      <c r="Z141" s="1301"/>
      <c r="AA141" s="464"/>
      <c r="AB141" s="1287"/>
      <c r="AC141" s="1290"/>
      <c r="AD141" s="1271">
        <v>0.02</v>
      </c>
      <c r="AE141" s="1273">
        <v>0.03</v>
      </c>
      <c r="AF141" s="1273">
        <v>0.05</v>
      </c>
      <c r="AG141" s="1275">
        <v>0.06</v>
      </c>
      <c r="AH141" s="1277">
        <v>0.99</v>
      </c>
      <c r="AJ141" s="180" t="s">
        <v>389</v>
      </c>
      <c r="AK141" s="181" t="s">
        <v>413</v>
      </c>
      <c r="AL141" s="182">
        <v>740800</v>
      </c>
      <c r="AM141" s="183">
        <v>7400</v>
      </c>
      <c r="AN141" s="176">
        <v>120764</v>
      </c>
      <c r="AO141" s="176">
        <v>9196</v>
      </c>
    </row>
    <row r="142" spans="1:87" ht="13.5" customHeight="1">
      <c r="A142" s="463" t="s">
        <v>318</v>
      </c>
      <c r="B142" s="449" t="s">
        <v>316</v>
      </c>
      <c r="C142" s="450" t="s">
        <v>338</v>
      </c>
      <c r="D142" s="451">
        <v>174320</v>
      </c>
      <c r="E142" s="452"/>
      <c r="F142" s="451">
        <v>171500</v>
      </c>
      <c r="G142" s="452"/>
      <c r="H142" s="439">
        <v>1630</v>
      </c>
      <c r="I142" s="453"/>
      <c r="J142" s="454" t="s">
        <v>731</v>
      </c>
      <c r="K142" s="439">
        <v>1600</v>
      </c>
      <c r="L142" s="453"/>
      <c r="M142" s="454" t="s">
        <v>287</v>
      </c>
      <c r="N142" s="446"/>
      <c r="O142" s="465"/>
      <c r="P142" s="459"/>
      <c r="Q142" s="459"/>
      <c r="R142" s="1280"/>
      <c r="S142" s="1283"/>
      <c r="T142" s="456" t="s">
        <v>294</v>
      </c>
      <c r="U142" s="457">
        <v>2000</v>
      </c>
      <c r="V142" s="458">
        <v>2300</v>
      </c>
      <c r="W142" s="459">
        <v>2520</v>
      </c>
      <c r="X142" s="460">
        <v>20</v>
      </c>
      <c r="Y142" s="448"/>
      <c r="Z142" s="1301"/>
      <c r="AA142" s="403"/>
      <c r="AB142" s="1288"/>
      <c r="AC142" s="1291"/>
      <c r="AD142" s="1272"/>
      <c r="AE142" s="1274"/>
      <c r="AF142" s="1274"/>
      <c r="AG142" s="1276"/>
      <c r="AH142" s="1296"/>
      <c r="AJ142" s="184" t="s">
        <v>318</v>
      </c>
      <c r="AK142" s="173" t="s">
        <v>400</v>
      </c>
      <c r="AL142" s="174">
        <v>260200</v>
      </c>
      <c r="AM142" s="175">
        <v>2600</v>
      </c>
      <c r="AN142" s="156"/>
      <c r="AO142" s="151"/>
    </row>
    <row r="143" spans="1:87" s="89" customFormat="1" ht="13.5" customHeight="1">
      <c r="A143" s="416" t="s">
        <v>320</v>
      </c>
      <c r="B143" s="416" t="s">
        <v>286</v>
      </c>
      <c r="C143" s="417" t="s">
        <v>334</v>
      </c>
      <c r="D143" s="418">
        <v>120800</v>
      </c>
      <c r="E143" s="419">
        <v>128300</v>
      </c>
      <c r="F143" s="418">
        <v>95520</v>
      </c>
      <c r="G143" s="419">
        <v>103020</v>
      </c>
      <c r="H143" s="420">
        <v>1180</v>
      </c>
      <c r="I143" s="421">
        <v>1250</v>
      </c>
      <c r="J143" s="422" t="s">
        <v>731</v>
      </c>
      <c r="K143" s="420">
        <v>930</v>
      </c>
      <c r="L143" s="421">
        <v>1000</v>
      </c>
      <c r="M143" s="422" t="s">
        <v>287</v>
      </c>
      <c r="N143" s="423">
        <v>7500</v>
      </c>
      <c r="O143" s="424">
        <v>70</v>
      </c>
      <c r="P143" s="425"/>
      <c r="Q143" s="425"/>
      <c r="R143" s="1278">
        <v>7200</v>
      </c>
      <c r="S143" s="1281">
        <v>7900</v>
      </c>
      <c r="T143" s="426" t="s">
        <v>288</v>
      </c>
      <c r="U143" s="427">
        <v>15800</v>
      </c>
      <c r="V143" s="428">
        <v>17600</v>
      </c>
      <c r="W143" s="425">
        <v>22510</v>
      </c>
      <c r="X143" s="429">
        <v>220</v>
      </c>
      <c r="Y143" s="1284">
        <v>4500</v>
      </c>
      <c r="Z143" s="1301" t="s">
        <v>289</v>
      </c>
      <c r="AA143" s="430"/>
      <c r="AB143" s="1286">
        <v>26060</v>
      </c>
      <c r="AC143" s="1289">
        <v>260</v>
      </c>
      <c r="AD143" s="1292" t="s">
        <v>290</v>
      </c>
      <c r="AE143" s="1294" t="s">
        <v>290</v>
      </c>
      <c r="AF143" s="1294" t="s">
        <v>290</v>
      </c>
      <c r="AG143" s="1297" t="s">
        <v>290</v>
      </c>
      <c r="AH143" s="1269" t="s">
        <v>296</v>
      </c>
      <c r="AI143" s="88"/>
      <c r="AJ143" s="185" t="s">
        <v>318</v>
      </c>
      <c r="AK143" s="142" t="s">
        <v>401</v>
      </c>
      <c r="AL143" s="178">
        <v>278500</v>
      </c>
      <c r="AM143" s="179">
        <v>2780</v>
      </c>
      <c r="AN143" s="156"/>
      <c r="AO143" s="151"/>
      <c r="AP143" s="88"/>
      <c r="AQ143" s="88"/>
      <c r="AR143" s="88"/>
      <c r="AS143" s="88"/>
      <c r="AT143" s="88"/>
      <c r="AU143" s="88"/>
      <c r="AV143" s="88"/>
      <c r="AW143" s="88"/>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c r="BV143" s="94"/>
      <c r="BW143" s="94"/>
      <c r="BX143" s="94"/>
      <c r="BY143" s="94"/>
      <c r="BZ143" s="94"/>
      <c r="CA143" s="94"/>
      <c r="CB143" s="94"/>
      <c r="CC143" s="94"/>
      <c r="CD143" s="94"/>
      <c r="CE143" s="94"/>
      <c r="CF143" s="94"/>
      <c r="CG143" s="94"/>
      <c r="CH143" s="94"/>
      <c r="CI143" s="94"/>
    </row>
    <row r="144" spans="1:87" s="89" customFormat="1" ht="13.5" customHeight="1">
      <c r="A144" s="431" t="s">
        <v>320</v>
      </c>
      <c r="B144" s="432" t="s">
        <v>286</v>
      </c>
      <c r="C144" s="433" t="s">
        <v>336</v>
      </c>
      <c r="D144" s="434">
        <v>128300</v>
      </c>
      <c r="E144" s="435">
        <v>188850</v>
      </c>
      <c r="F144" s="434">
        <v>103020</v>
      </c>
      <c r="G144" s="435">
        <v>163570</v>
      </c>
      <c r="H144" s="436">
        <v>1250</v>
      </c>
      <c r="I144" s="437">
        <v>1780</v>
      </c>
      <c r="J144" s="438" t="s">
        <v>731</v>
      </c>
      <c r="K144" s="436">
        <v>1000</v>
      </c>
      <c r="L144" s="437">
        <v>1530</v>
      </c>
      <c r="M144" s="438" t="s">
        <v>287</v>
      </c>
      <c r="N144" s="439">
        <v>7500</v>
      </c>
      <c r="O144" s="440">
        <v>70</v>
      </c>
      <c r="P144" s="441"/>
      <c r="Q144" s="441"/>
      <c r="R144" s="1279"/>
      <c r="S144" s="1282"/>
      <c r="T144" s="393" t="s">
        <v>292</v>
      </c>
      <c r="U144" s="442">
        <v>8700</v>
      </c>
      <c r="V144" s="443">
        <v>9700</v>
      </c>
      <c r="W144" s="441">
        <v>22510</v>
      </c>
      <c r="X144" s="444">
        <v>220</v>
      </c>
      <c r="Y144" s="1285"/>
      <c r="Z144" s="1301"/>
      <c r="AA144" s="445"/>
      <c r="AB144" s="1287"/>
      <c r="AC144" s="1290"/>
      <c r="AD144" s="1293"/>
      <c r="AE144" s="1295"/>
      <c r="AF144" s="1295"/>
      <c r="AG144" s="1298"/>
      <c r="AH144" s="1270"/>
      <c r="AI144" s="88"/>
      <c r="AJ144" s="185" t="s">
        <v>318</v>
      </c>
      <c r="AK144" s="142" t="s">
        <v>402</v>
      </c>
      <c r="AL144" s="178">
        <v>315300</v>
      </c>
      <c r="AM144" s="179">
        <v>3150</v>
      </c>
      <c r="AN144" s="156"/>
      <c r="AO144" s="151"/>
      <c r="AP144" s="88"/>
      <c r="AQ144" s="88"/>
      <c r="AR144" s="88"/>
      <c r="AS144" s="88"/>
      <c r="AT144" s="88"/>
      <c r="AU144" s="88"/>
      <c r="AV144" s="88"/>
      <c r="AW144" s="88"/>
    </row>
    <row r="145" spans="1:87" s="89" customFormat="1" ht="13.5" customHeight="1">
      <c r="A145" s="431" t="s">
        <v>320</v>
      </c>
      <c r="B145" s="432" t="s">
        <v>286</v>
      </c>
      <c r="C145" s="433" t="s">
        <v>337</v>
      </c>
      <c r="D145" s="434">
        <v>188850</v>
      </c>
      <c r="E145" s="435">
        <v>263890</v>
      </c>
      <c r="F145" s="434">
        <v>163570</v>
      </c>
      <c r="G145" s="435">
        <v>238610</v>
      </c>
      <c r="H145" s="436">
        <v>1780</v>
      </c>
      <c r="I145" s="437">
        <v>2530</v>
      </c>
      <c r="J145" s="438" t="s">
        <v>731</v>
      </c>
      <c r="K145" s="436">
        <v>1530</v>
      </c>
      <c r="L145" s="437">
        <v>2280</v>
      </c>
      <c r="M145" s="438" t="s">
        <v>287</v>
      </c>
      <c r="N145" s="446"/>
      <c r="O145" s="447"/>
      <c r="P145" s="441"/>
      <c r="Q145" s="441"/>
      <c r="R145" s="1279"/>
      <c r="S145" s="1282"/>
      <c r="T145" s="393" t="s">
        <v>293</v>
      </c>
      <c r="U145" s="442">
        <v>7600</v>
      </c>
      <c r="V145" s="443">
        <v>8400</v>
      </c>
      <c r="W145" s="441">
        <v>22510</v>
      </c>
      <c r="X145" s="444">
        <v>220</v>
      </c>
      <c r="Y145" s="448"/>
      <c r="Z145" s="1301"/>
      <c r="AA145" s="445"/>
      <c r="AB145" s="1287"/>
      <c r="AC145" s="1290"/>
      <c r="AD145" s="1271">
        <v>0.01</v>
      </c>
      <c r="AE145" s="1273">
        <v>0.03</v>
      </c>
      <c r="AF145" s="1273">
        <v>0.04</v>
      </c>
      <c r="AG145" s="1275">
        <v>0.05</v>
      </c>
      <c r="AH145" s="1277">
        <v>0.79</v>
      </c>
      <c r="AI145" s="88"/>
      <c r="AJ145" s="185" t="s">
        <v>318</v>
      </c>
      <c r="AK145" s="142" t="s">
        <v>403</v>
      </c>
      <c r="AL145" s="178">
        <v>352000</v>
      </c>
      <c r="AM145" s="179">
        <v>3520</v>
      </c>
      <c r="AN145" s="156"/>
      <c r="AO145" s="151"/>
      <c r="AP145" s="88"/>
      <c r="AQ145" s="88"/>
      <c r="AR145" s="88"/>
      <c r="AS145" s="88"/>
      <c r="AT145" s="88"/>
      <c r="AU145" s="88"/>
      <c r="AV145" s="88"/>
      <c r="AW145" s="88"/>
    </row>
    <row r="146" spans="1:87" s="89" customFormat="1" ht="13.5" customHeight="1">
      <c r="A146" s="431" t="s">
        <v>320</v>
      </c>
      <c r="B146" s="449" t="s">
        <v>286</v>
      </c>
      <c r="C146" s="450" t="s">
        <v>338</v>
      </c>
      <c r="D146" s="451">
        <v>263890</v>
      </c>
      <c r="E146" s="452"/>
      <c r="F146" s="451">
        <v>238610</v>
      </c>
      <c r="G146" s="452"/>
      <c r="H146" s="439">
        <v>2530</v>
      </c>
      <c r="I146" s="453"/>
      <c r="J146" s="454" t="s">
        <v>731</v>
      </c>
      <c r="K146" s="439">
        <v>2280</v>
      </c>
      <c r="L146" s="453"/>
      <c r="M146" s="454" t="s">
        <v>287</v>
      </c>
      <c r="N146" s="446"/>
      <c r="O146" s="455"/>
      <c r="P146" s="441"/>
      <c r="Q146" s="441"/>
      <c r="R146" s="1280"/>
      <c r="S146" s="1283"/>
      <c r="T146" s="456" t="s">
        <v>294</v>
      </c>
      <c r="U146" s="457">
        <v>6800</v>
      </c>
      <c r="V146" s="458">
        <v>7500</v>
      </c>
      <c r="W146" s="459">
        <v>22510</v>
      </c>
      <c r="X146" s="460">
        <v>220</v>
      </c>
      <c r="Y146" s="448"/>
      <c r="Z146" s="1301"/>
      <c r="AA146" s="445"/>
      <c r="AB146" s="1288"/>
      <c r="AC146" s="1291"/>
      <c r="AD146" s="1272"/>
      <c r="AE146" s="1274"/>
      <c r="AF146" s="1274"/>
      <c r="AG146" s="1276"/>
      <c r="AH146" s="1277"/>
      <c r="AI146" s="88"/>
      <c r="AJ146" s="185" t="s">
        <v>318</v>
      </c>
      <c r="AK146" s="142" t="s">
        <v>404</v>
      </c>
      <c r="AL146" s="178">
        <v>388800</v>
      </c>
      <c r="AM146" s="179">
        <v>3880</v>
      </c>
      <c r="AN146" s="156"/>
      <c r="AO146" s="151"/>
      <c r="AP146" s="88"/>
      <c r="AQ146" s="88"/>
      <c r="AR146" s="88"/>
      <c r="AS146" s="88"/>
      <c r="AT146" s="88"/>
      <c r="AU146" s="88"/>
      <c r="AV146" s="88"/>
      <c r="AW146" s="88"/>
    </row>
    <row r="147" spans="1:87" s="89" customFormat="1" ht="13.5" customHeight="1">
      <c r="A147" s="431" t="s">
        <v>320</v>
      </c>
      <c r="B147" s="416" t="s">
        <v>295</v>
      </c>
      <c r="C147" s="417" t="s">
        <v>334</v>
      </c>
      <c r="D147" s="418">
        <v>87110</v>
      </c>
      <c r="E147" s="419">
        <v>94610</v>
      </c>
      <c r="F147" s="418">
        <v>70260</v>
      </c>
      <c r="G147" s="419">
        <v>77760</v>
      </c>
      <c r="H147" s="420">
        <v>850</v>
      </c>
      <c r="I147" s="421">
        <v>920</v>
      </c>
      <c r="J147" s="422" t="s">
        <v>731</v>
      </c>
      <c r="K147" s="420">
        <v>680</v>
      </c>
      <c r="L147" s="421">
        <v>750</v>
      </c>
      <c r="M147" s="422" t="s">
        <v>287</v>
      </c>
      <c r="N147" s="423">
        <v>7500</v>
      </c>
      <c r="O147" s="424">
        <v>70</v>
      </c>
      <c r="P147" s="441"/>
      <c r="Q147" s="441"/>
      <c r="R147" s="1278">
        <v>5000</v>
      </c>
      <c r="S147" s="1281">
        <v>5500</v>
      </c>
      <c r="T147" s="426" t="s">
        <v>288</v>
      </c>
      <c r="U147" s="427">
        <v>10900</v>
      </c>
      <c r="V147" s="428">
        <v>12200</v>
      </c>
      <c r="W147" s="425">
        <v>15000</v>
      </c>
      <c r="X147" s="429">
        <v>150</v>
      </c>
      <c r="Y147" s="1284">
        <v>4500</v>
      </c>
      <c r="Z147" s="1301"/>
      <c r="AA147" s="445"/>
      <c r="AB147" s="1286">
        <v>17370</v>
      </c>
      <c r="AC147" s="1289">
        <v>170</v>
      </c>
      <c r="AD147" s="1292" t="s">
        <v>290</v>
      </c>
      <c r="AE147" s="1294" t="s">
        <v>290</v>
      </c>
      <c r="AF147" s="1294" t="s">
        <v>290</v>
      </c>
      <c r="AG147" s="1297" t="s">
        <v>290</v>
      </c>
      <c r="AH147" s="1269" t="s">
        <v>296</v>
      </c>
      <c r="AI147" s="88"/>
      <c r="AJ147" s="185" t="s">
        <v>318</v>
      </c>
      <c r="AK147" s="142" t="s">
        <v>405</v>
      </c>
      <c r="AL147" s="178">
        <v>425500</v>
      </c>
      <c r="AM147" s="179">
        <v>4250</v>
      </c>
      <c r="AN147" s="156"/>
      <c r="AO147" s="151"/>
      <c r="AP147" s="88"/>
      <c r="AQ147" s="88"/>
      <c r="AR147" s="88"/>
      <c r="AS147" s="88"/>
      <c r="AT147" s="88"/>
      <c r="AU147" s="88"/>
      <c r="AV147" s="88"/>
      <c r="AW147" s="88"/>
    </row>
    <row r="148" spans="1:87" s="89" customFormat="1" ht="13.5" customHeight="1">
      <c r="A148" s="431" t="s">
        <v>320</v>
      </c>
      <c r="B148" s="432" t="s">
        <v>297</v>
      </c>
      <c r="C148" s="433" t="s">
        <v>336</v>
      </c>
      <c r="D148" s="434">
        <v>94610</v>
      </c>
      <c r="E148" s="435">
        <v>155160</v>
      </c>
      <c r="F148" s="434">
        <v>77760</v>
      </c>
      <c r="G148" s="435">
        <v>138310</v>
      </c>
      <c r="H148" s="436">
        <v>920</v>
      </c>
      <c r="I148" s="437">
        <v>1440</v>
      </c>
      <c r="J148" s="438" t="s">
        <v>731</v>
      </c>
      <c r="K148" s="436">
        <v>750</v>
      </c>
      <c r="L148" s="437">
        <v>1270</v>
      </c>
      <c r="M148" s="438" t="s">
        <v>287</v>
      </c>
      <c r="N148" s="439">
        <v>7500</v>
      </c>
      <c r="O148" s="440">
        <v>70</v>
      </c>
      <c r="P148" s="441"/>
      <c r="Q148" s="441"/>
      <c r="R148" s="1279"/>
      <c r="S148" s="1282"/>
      <c r="T148" s="393" t="s">
        <v>292</v>
      </c>
      <c r="U148" s="442">
        <v>6000</v>
      </c>
      <c r="V148" s="443">
        <v>6700</v>
      </c>
      <c r="W148" s="441">
        <v>15000</v>
      </c>
      <c r="X148" s="444">
        <v>150</v>
      </c>
      <c r="Y148" s="1285"/>
      <c r="Z148" s="1301"/>
      <c r="AA148" s="445"/>
      <c r="AB148" s="1287"/>
      <c r="AC148" s="1290"/>
      <c r="AD148" s="1293"/>
      <c r="AE148" s="1295"/>
      <c r="AF148" s="1295"/>
      <c r="AG148" s="1298"/>
      <c r="AH148" s="1270"/>
      <c r="AI148" s="88"/>
      <c r="AJ148" s="185" t="s">
        <v>318</v>
      </c>
      <c r="AK148" s="142" t="s">
        <v>406</v>
      </c>
      <c r="AL148" s="178">
        <v>462300</v>
      </c>
      <c r="AM148" s="179">
        <v>4620</v>
      </c>
      <c r="AN148" s="156"/>
      <c r="AO148" s="151"/>
      <c r="AP148" s="88"/>
      <c r="AQ148" s="88"/>
      <c r="AR148" s="88"/>
      <c r="AS148" s="88"/>
      <c r="AT148" s="88"/>
      <c r="AU148" s="88"/>
      <c r="AV148" s="88"/>
      <c r="AW148" s="88"/>
    </row>
    <row r="149" spans="1:87" s="89" customFormat="1" ht="13.5" customHeight="1">
      <c r="A149" s="431" t="s">
        <v>320</v>
      </c>
      <c r="B149" s="432" t="s">
        <v>297</v>
      </c>
      <c r="C149" s="433" t="s">
        <v>337</v>
      </c>
      <c r="D149" s="434">
        <v>155160</v>
      </c>
      <c r="E149" s="435">
        <v>230200</v>
      </c>
      <c r="F149" s="434">
        <v>138310</v>
      </c>
      <c r="G149" s="435">
        <v>213350</v>
      </c>
      <c r="H149" s="436">
        <v>1440</v>
      </c>
      <c r="I149" s="437">
        <v>2190</v>
      </c>
      <c r="J149" s="438" t="s">
        <v>731</v>
      </c>
      <c r="K149" s="436">
        <v>1270</v>
      </c>
      <c r="L149" s="437">
        <v>2020</v>
      </c>
      <c r="M149" s="438" t="s">
        <v>287</v>
      </c>
      <c r="N149" s="446"/>
      <c r="O149" s="447"/>
      <c r="P149" s="461"/>
      <c r="Q149" s="461"/>
      <c r="R149" s="1279"/>
      <c r="S149" s="1282"/>
      <c r="T149" s="393" t="s">
        <v>293</v>
      </c>
      <c r="U149" s="442">
        <v>5200</v>
      </c>
      <c r="V149" s="443">
        <v>5800</v>
      </c>
      <c r="W149" s="441">
        <v>15000</v>
      </c>
      <c r="X149" s="444">
        <v>150</v>
      </c>
      <c r="Y149" s="448"/>
      <c r="Z149" s="1301"/>
      <c r="AA149" s="445"/>
      <c r="AB149" s="1287"/>
      <c r="AC149" s="1290"/>
      <c r="AD149" s="1271">
        <v>0.01</v>
      </c>
      <c r="AE149" s="1273">
        <v>0.03</v>
      </c>
      <c r="AF149" s="1273">
        <v>0.04</v>
      </c>
      <c r="AG149" s="1275">
        <v>0.05</v>
      </c>
      <c r="AH149" s="1277">
        <v>0.88</v>
      </c>
      <c r="AI149" s="88"/>
      <c r="AJ149" s="185" t="s">
        <v>318</v>
      </c>
      <c r="AK149" s="142" t="s">
        <v>407</v>
      </c>
      <c r="AL149" s="178">
        <v>499000</v>
      </c>
      <c r="AM149" s="179">
        <v>4990</v>
      </c>
      <c r="AN149" s="156"/>
      <c r="AO149" s="151"/>
      <c r="AP149" s="88"/>
      <c r="AQ149" s="88"/>
      <c r="AR149" s="88"/>
      <c r="AS149" s="88"/>
      <c r="AT149" s="88"/>
      <c r="AU149" s="88"/>
      <c r="AV149" s="88"/>
      <c r="AW149" s="88"/>
    </row>
    <row r="150" spans="1:87" s="89" customFormat="1" ht="13.5" customHeight="1">
      <c r="A150" s="431" t="s">
        <v>320</v>
      </c>
      <c r="B150" s="449" t="s">
        <v>297</v>
      </c>
      <c r="C150" s="450" t="s">
        <v>338</v>
      </c>
      <c r="D150" s="451">
        <v>230200</v>
      </c>
      <c r="E150" s="452"/>
      <c r="F150" s="451">
        <v>213350</v>
      </c>
      <c r="G150" s="452"/>
      <c r="H150" s="439">
        <v>2190</v>
      </c>
      <c r="I150" s="453"/>
      <c r="J150" s="454" t="s">
        <v>731</v>
      </c>
      <c r="K150" s="439">
        <v>2020</v>
      </c>
      <c r="L150" s="453"/>
      <c r="M150" s="454" t="s">
        <v>287</v>
      </c>
      <c r="N150" s="446"/>
      <c r="O150" s="455"/>
      <c r="P150" s="461"/>
      <c r="Q150" s="461"/>
      <c r="R150" s="1280"/>
      <c r="S150" s="1283"/>
      <c r="T150" s="456" t="s">
        <v>294</v>
      </c>
      <c r="U150" s="457">
        <v>4700</v>
      </c>
      <c r="V150" s="458">
        <v>5200</v>
      </c>
      <c r="W150" s="459">
        <v>15000</v>
      </c>
      <c r="X150" s="460">
        <v>150</v>
      </c>
      <c r="Y150" s="448"/>
      <c r="Z150" s="1301"/>
      <c r="AA150" s="445"/>
      <c r="AB150" s="1288"/>
      <c r="AC150" s="1291"/>
      <c r="AD150" s="1272"/>
      <c r="AE150" s="1274"/>
      <c r="AF150" s="1274"/>
      <c r="AG150" s="1276"/>
      <c r="AH150" s="1277"/>
      <c r="AI150" s="88"/>
      <c r="AJ150" s="185" t="s">
        <v>318</v>
      </c>
      <c r="AK150" s="142" t="s">
        <v>408</v>
      </c>
      <c r="AL150" s="178">
        <v>535800</v>
      </c>
      <c r="AM150" s="179">
        <v>5350</v>
      </c>
      <c r="AN150" s="156"/>
      <c r="AO150" s="151"/>
      <c r="AP150" s="88"/>
      <c r="AQ150" s="88"/>
      <c r="AR150" s="88"/>
      <c r="AS150" s="88"/>
      <c r="AT150" s="88"/>
      <c r="AU150" s="88"/>
      <c r="AV150" s="88"/>
      <c r="AW150" s="88"/>
    </row>
    <row r="151" spans="1:87" ht="13.5" customHeight="1">
      <c r="A151" s="431" t="s">
        <v>320</v>
      </c>
      <c r="B151" s="416" t="s">
        <v>298</v>
      </c>
      <c r="C151" s="417" t="s">
        <v>334</v>
      </c>
      <c r="D151" s="418">
        <v>70520</v>
      </c>
      <c r="E151" s="419">
        <v>78020</v>
      </c>
      <c r="F151" s="418">
        <v>57880</v>
      </c>
      <c r="G151" s="419">
        <v>65380</v>
      </c>
      <c r="H151" s="420">
        <v>680</v>
      </c>
      <c r="I151" s="421">
        <v>750</v>
      </c>
      <c r="J151" s="422" t="s">
        <v>731</v>
      </c>
      <c r="K151" s="420">
        <v>560</v>
      </c>
      <c r="L151" s="421">
        <v>630</v>
      </c>
      <c r="M151" s="422" t="s">
        <v>287</v>
      </c>
      <c r="N151" s="423">
        <v>7500</v>
      </c>
      <c r="O151" s="424">
        <v>70</v>
      </c>
      <c r="P151" s="461"/>
      <c r="Q151" s="461"/>
      <c r="R151" s="1278">
        <v>4400</v>
      </c>
      <c r="S151" s="1281">
        <v>4800</v>
      </c>
      <c r="T151" s="426" t="s">
        <v>288</v>
      </c>
      <c r="U151" s="427">
        <v>9800</v>
      </c>
      <c r="V151" s="428">
        <v>10900</v>
      </c>
      <c r="W151" s="425">
        <v>11250</v>
      </c>
      <c r="X151" s="429">
        <v>110</v>
      </c>
      <c r="Y151" s="1284">
        <v>4500</v>
      </c>
      <c r="Z151" s="1301"/>
      <c r="AA151" s="445"/>
      <c r="AB151" s="1286">
        <v>13030</v>
      </c>
      <c r="AC151" s="1289">
        <v>130</v>
      </c>
      <c r="AD151" s="1292" t="s">
        <v>290</v>
      </c>
      <c r="AE151" s="1294" t="s">
        <v>290</v>
      </c>
      <c r="AF151" s="1294" t="s">
        <v>290</v>
      </c>
      <c r="AG151" s="1297" t="s">
        <v>290</v>
      </c>
      <c r="AH151" s="1269" t="s">
        <v>296</v>
      </c>
      <c r="AJ151" s="185" t="s">
        <v>318</v>
      </c>
      <c r="AK151" s="142" t="s">
        <v>409</v>
      </c>
      <c r="AL151" s="178">
        <v>572500</v>
      </c>
      <c r="AM151" s="179">
        <v>5720</v>
      </c>
      <c r="AN151" s="156"/>
      <c r="AO151" s="151"/>
      <c r="AY151" s="89"/>
      <c r="AZ151" s="89"/>
      <c r="BA151" s="89"/>
      <c r="BB151" s="89"/>
      <c r="BC151" s="89"/>
      <c r="BD151" s="89"/>
      <c r="BE151" s="89"/>
      <c r="BF151" s="89"/>
      <c r="BG151" s="89"/>
      <c r="BH151" s="89"/>
      <c r="BI151" s="89"/>
      <c r="BJ151" s="89"/>
      <c r="BK151" s="89"/>
      <c r="BL151" s="89"/>
      <c r="BM151" s="89"/>
      <c r="BN151" s="89"/>
      <c r="BO151" s="89"/>
      <c r="BP151" s="89"/>
      <c r="BQ151" s="89"/>
      <c r="BR151" s="89"/>
      <c r="BS151" s="89"/>
      <c r="BT151" s="89"/>
      <c r="BU151" s="89"/>
      <c r="BV151" s="89"/>
      <c r="BW151" s="89"/>
      <c r="BX151" s="89"/>
      <c r="BY151" s="89"/>
      <c r="BZ151" s="89"/>
      <c r="CA151" s="89"/>
      <c r="CB151" s="89"/>
      <c r="CC151" s="89"/>
      <c r="CD151" s="89"/>
      <c r="CE151" s="89"/>
      <c r="CF151" s="89"/>
      <c r="CG151" s="89"/>
      <c r="CH151" s="89"/>
      <c r="CI151" s="89"/>
    </row>
    <row r="152" spans="1:87" ht="13.5" customHeight="1">
      <c r="A152" s="431" t="s">
        <v>320</v>
      </c>
      <c r="B152" s="432" t="s">
        <v>299</v>
      </c>
      <c r="C152" s="433" t="s">
        <v>336</v>
      </c>
      <c r="D152" s="434">
        <v>78020</v>
      </c>
      <c r="E152" s="435">
        <v>138570</v>
      </c>
      <c r="F152" s="434">
        <v>65380</v>
      </c>
      <c r="G152" s="435">
        <v>125930</v>
      </c>
      <c r="H152" s="436">
        <v>750</v>
      </c>
      <c r="I152" s="437">
        <v>1280</v>
      </c>
      <c r="J152" s="438" t="s">
        <v>731</v>
      </c>
      <c r="K152" s="436">
        <v>630</v>
      </c>
      <c r="L152" s="437">
        <v>1150</v>
      </c>
      <c r="M152" s="438" t="s">
        <v>287</v>
      </c>
      <c r="N152" s="439">
        <v>7500</v>
      </c>
      <c r="O152" s="440">
        <v>70</v>
      </c>
      <c r="P152" s="461"/>
      <c r="Q152" s="461"/>
      <c r="R152" s="1279"/>
      <c r="S152" s="1282"/>
      <c r="T152" s="393" t="s">
        <v>292</v>
      </c>
      <c r="U152" s="442">
        <v>5400</v>
      </c>
      <c r="V152" s="443">
        <v>6000</v>
      </c>
      <c r="W152" s="441">
        <v>11250</v>
      </c>
      <c r="X152" s="444">
        <v>110</v>
      </c>
      <c r="Y152" s="1285"/>
      <c r="Z152" s="1301"/>
      <c r="AA152" s="445"/>
      <c r="AB152" s="1287"/>
      <c r="AC152" s="1290"/>
      <c r="AD152" s="1293"/>
      <c r="AE152" s="1295"/>
      <c r="AF152" s="1295"/>
      <c r="AG152" s="1298"/>
      <c r="AH152" s="1270"/>
      <c r="AJ152" s="185" t="s">
        <v>318</v>
      </c>
      <c r="AK152" s="142" t="s">
        <v>410</v>
      </c>
      <c r="AL152" s="178">
        <v>609300</v>
      </c>
      <c r="AM152" s="179">
        <v>6090</v>
      </c>
      <c r="AN152" s="156"/>
      <c r="AO152" s="151"/>
    </row>
    <row r="153" spans="1:87" ht="13.5" customHeight="1">
      <c r="A153" s="431" t="s">
        <v>320</v>
      </c>
      <c r="B153" s="432" t="s">
        <v>299</v>
      </c>
      <c r="C153" s="433" t="s">
        <v>337</v>
      </c>
      <c r="D153" s="434">
        <v>138570</v>
      </c>
      <c r="E153" s="435">
        <v>213610</v>
      </c>
      <c r="F153" s="434">
        <v>125930</v>
      </c>
      <c r="G153" s="435">
        <v>200970</v>
      </c>
      <c r="H153" s="436">
        <v>1280</v>
      </c>
      <c r="I153" s="437">
        <v>2030</v>
      </c>
      <c r="J153" s="438" t="s">
        <v>731</v>
      </c>
      <c r="K153" s="436">
        <v>1150</v>
      </c>
      <c r="L153" s="437">
        <v>1900</v>
      </c>
      <c r="M153" s="438" t="s">
        <v>287</v>
      </c>
      <c r="N153" s="446"/>
      <c r="O153" s="447"/>
      <c r="P153" s="461"/>
      <c r="Q153" s="461"/>
      <c r="R153" s="1279"/>
      <c r="S153" s="1282"/>
      <c r="T153" s="393" t="s">
        <v>293</v>
      </c>
      <c r="U153" s="442">
        <v>4700</v>
      </c>
      <c r="V153" s="443">
        <v>5200</v>
      </c>
      <c r="W153" s="441">
        <v>11250</v>
      </c>
      <c r="X153" s="444">
        <v>110</v>
      </c>
      <c r="Y153" s="448"/>
      <c r="Z153" s="1301"/>
      <c r="AA153" s="445"/>
      <c r="AB153" s="1287"/>
      <c r="AC153" s="1290"/>
      <c r="AD153" s="1271">
        <v>0.01</v>
      </c>
      <c r="AE153" s="1273">
        <v>0.03</v>
      </c>
      <c r="AF153" s="1273">
        <v>0.04</v>
      </c>
      <c r="AG153" s="1275">
        <v>0.05</v>
      </c>
      <c r="AH153" s="1277">
        <v>0.96</v>
      </c>
      <c r="AJ153" s="185" t="s">
        <v>318</v>
      </c>
      <c r="AK153" s="142" t="s">
        <v>411</v>
      </c>
      <c r="AL153" s="178">
        <v>646000</v>
      </c>
      <c r="AM153" s="179">
        <v>6460</v>
      </c>
      <c r="AN153" s="156"/>
      <c r="AO153" s="151"/>
    </row>
    <row r="154" spans="1:87" ht="13.5" customHeight="1">
      <c r="A154" s="431" t="s">
        <v>320</v>
      </c>
      <c r="B154" s="449" t="s">
        <v>299</v>
      </c>
      <c r="C154" s="450" t="s">
        <v>338</v>
      </c>
      <c r="D154" s="451">
        <v>213610</v>
      </c>
      <c r="E154" s="452"/>
      <c r="F154" s="451">
        <v>200970</v>
      </c>
      <c r="G154" s="452"/>
      <c r="H154" s="439">
        <v>2030</v>
      </c>
      <c r="I154" s="453"/>
      <c r="J154" s="454" t="s">
        <v>731</v>
      </c>
      <c r="K154" s="439">
        <v>1900</v>
      </c>
      <c r="L154" s="453"/>
      <c r="M154" s="454" t="s">
        <v>287</v>
      </c>
      <c r="N154" s="446"/>
      <c r="O154" s="455"/>
      <c r="P154" s="461"/>
      <c r="Q154" s="461"/>
      <c r="R154" s="1280"/>
      <c r="S154" s="1283"/>
      <c r="T154" s="456" t="s">
        <v>294</v>
      </c>
      <c r="U154" s="457">
        <v>4200</v>
      </c>
      <c r="V154" s="458">
        <v>4600</v>
      </c>
      <c r="W154" s="459">
        <v>11250</v>
      </c>
      <c r="X154" s="460">
        <v>110</v>
      </c>
      <c r="Y154" s="448"/>
      <c r="Z154" s="1301"/>
      <c r="AA154" s="445"/>
      <c r="AB154" s="1288"/>
      <c r="AC154" s="1291"/>
      <c r="AD154" s="1272"/>
      <c r="AE154" s="1274"/>
      <c r="AF154" s="1274"/>
      <c r="AG154" s="1276"/>
      <c r="AH154" s="1277"/>
      <c r="AJ154" s="185" t="s">
        <v>318</v>
      </c>
      <c r="AK154" s="142" t="s">
        <v>412</v>
      </c>
      <c r="AL154" s="178">
        <v>682800</v>
      </c>
      <c r="AM154" s="179">
        <v>6820</v>
      </c>
      <c r="AN154" s="156"/>
      <c r="AO154" s="151"/>
    </row>
    <row r="155" spans="1:87" ht="13.5" customHeight="1" thickBot="1">
      <c r="A155" s="431" t="s">
        <v>320</v>
      </c>
      <c r="B155" s="416" t="s">
        <v>300</v>
      </c>
      <c r="C155" s="417" t="s">
        <v>334</v>
      </c>
      <c r="D155" s="418">
        <v>65980</v>
      </c>
      <c r="E155" s="419">
        <v>73480</v>
      </c>
      <c r="F155" s="418">
        <v>55860</v>
      </c>
      <c r="G155" s="419">
        <v>63360</v>
      </c>
      <c r="H155" s="420">
        <v>640</v>
      </c>
      <c r="I155" s="421">
        <v>710</v>
      </c>
      <c r="J155" s="422" t="s">
        <v>731</v>
      </c>
      <c r="K155" s="420">
        <v>540</v>
      </c>
      <c r="L155" s="421">
        <v>610</v>
      </c>
      <c r="M155" s="422" t="s">
        <v>287</v>
      </c>
      <c r="N155" s="423">
        <v>7500</v>
      </c>
      <c r="O155" s="424">
        <v>70</v>
      </c>
      <c r="P155" s="1300"/>
      <c r="Q155" s="1300"/>
      <c r="R155" s="1278">
        <v>4000</v>
      </c>
      <c r="S155" s="1281">
        <v>4400</v>
      </c>
      <c r="T155" s="426" t="s">
        <v>288</v>
      </c>
      <c r="U155" s="427">
        <v>8800</v>
      </c>
      <c r="V155" s="428">
        <v>9800</v>
      </c>
      <c r="W155" s="425">
        <v>9000</v>
      </c>
      <c r="X155" s="429">
        <v>90</v>
      </c>
      <c r="Y155" s="1284">
        <v>4500</v>
      </c>
      <c r="Z155" s="1301"/>
      <c r="AA155" s="445"/>
      <c r="AB155" s="1286">
        <v>10420</v>
      </c>
      <c r="AC155" s="1289">
        <v>100</v>
      </c>
      <c r="AD155" s="1292" t="s">
        <v>290</v>
      </c>
      <c r="AE155" s="1294" t="s">
        <v>290</v>
      </c>
      <c r="AF155" s="1294" t="s">
        <v>290</v>
      </c>
      <c r="AG155" s="1297" t="s">
        <v>290</v>
      </c>
      <c r="AH155" s="1269" t="s">
        <v>296</v>
      </c>
      <c r="AJ155" s="186" t="s">
        <v>318</v>
      </c>
      <c r="AK155" s="181" t="s">
        <v>413</v>
      </c>
      <c r="AL155" s="182">
        <v>719500</v>
      </c>
      <c r="AM155" s="183">
        <v>7190</v>
      </c>
      <c r="AN155" s="156"/>
      <c r="AO155" s="151"/>
    </row>
    <row r="156" spans="1:87" ht="13.5" customHeight="1">
      <c r="A156" s="431" t="s">
        <v>320</v>
      </c>
      <c r="B156" s="432" t="s">
        <v>301</v>
      </c>
      <c r="C156" s="433" t="s">
        <v>336</v>
      </c>
      <c r="D156" s="434">
        <v>73480</v>
      </c>
      <c r="E156" s="435">
        <v>134030</v>
      </c>
      <c r="F156" s="434">
        <v>63360</v>
      </c>
      <c r="G156" s="435">
        <v>123910</v>
      </c>
      <c r="H156" s="436">
        <v>710</v>
      </c>
      <c r="I156" s="437">
        <v>1230</v>
      </c>
      <c r="J156" s="438" t="s">
        <v>731</v>
      </c>
      <c r="K156" s="436">
        <v>610</v>
      </c>
      <c r="L156" s="437">
        <v>1130</v>
      </c>
      <c r="M156" s="438" t="s">
        <v>287</v>
      </c>
      <c r="N156" s="439">
        <v>7500</v>
      </c>
      <c r="O156" s="440">
        <v>70</v>
      </c>
      <c r="P156" s="1300"/>
      <c r="Q156" s="1300"/>
      <c r="R156" s="1279"/>
      <c r="S156" s="1282"/>
      <c r="T156" s="393" t="s">
        <v>292</v>
      </c>
      <c r="U156" s="442">
        <v>4800</v>
      </c>
      <c r="V156" s="443">
        <v>5400</v>
      </c>
      <c r="W156" s="441">
        <v>9000</v>
      </c>
      <c r="X156" s="444">
        <v>90</v>
      </c>
      <c r="Y156" s="1285"/>
      <c r="Z156" s="1301"/>
      <c r="AA156" s="445"/>
      <c r="AB156" s="1287"/>
      <c r="AC156" s="1290"/>
      <c r="AD156" s="1293"/>
      <c r="AE156" s="1295"/>
      <c r="AF156" s="1295"/>
      <c r="AG156" s="1298"/>
      <c r="AH156" s="1270"/>
      <c r="AJ156" s="172" t="s">
        <v>320</v>
      </c>
      <c r="AK156" s="173" t="s">
        <v>400</v>
      </c>
      <c r="AL156" s="174">
        <v>258500</v>
      </c>
      <c r="AM156" s="175">
        <v>2580</v>
      </c>
      <c r="AN156" s="156"/>
      <c r="AO156" s="151"/>
    </row>
    <row r="157" spans="1:87" ht="13.5" customHeight="1">
      <c r="A157" s="431" t="s">
        <v>320</v>
      </c>
      <c r="B157" s="432" t="s">
        <v>301</v>
      </c>
      <c r="C157" s="433" t="s">
        <v>337</v>
      </c>
      <c r="D157" s="434">
        <v>134030</v>
      </c>
      <c r="E157" s="435">
        <v>209070</v>
      </c>
      <c r="F157" s="434">
        <v>123910</v>
      </c>
      <c r="G157" s="435">
        <v>198950</v>
      </c>
      <c r="H157" s="436">
        <v>1230</v>
      </c>
      <c r="I157" s="437">
        <v>1980</v>
      </c>
      <c r="J157" s="438" t="s">
        <v>731</v>
      </c>
      <c r="K157" s="436">
        <v>1130</v>
      </c>
      <c r="L157" s="437">
        <v>1880</v>
      </c>
      <c r="M157" s="438" t="s">
        <v>287</v>
      </c>
      <c r="N157" s="446"/>
      <c r="O157" s="447"/>
      <c r="P157" s="1300"/>
      <c r="Q157" s="1300"/>
      <c r="R157" s="1279"/>
      <c r="S157" s="1282"/>
      <c r="T157" s="393" t="s">
        <v>293</v>
      </c>
      <c r="U157" s="442">
        <v>4200</v>
      </c>
      <c r="V157" s="443">
        <v>4700</v>
      </c>
      <c r="W157" s="441">
        <v>9000</v>
      </c>
      <c r="X157" s="444">
        <v>90</v>
      </c>
      <c r="Y157" s="448"/>
      <c r="Z157" s="1301"/>
      <c r="AA157" s="445"/>
      <c r="AB157" s="1287"/>
      <c r="AC157" s="1290"/>
      <c r="AD157" s="1271">
        <v>0.01</v>
      </c>
      <c r="AE157" s="1273">
        <v>0.03</v>
      </c>
      <c r="AF157" s="1273">
        <v>0.04</v>
      </c>
      <c r="AG157" s="1275">
        <v>0.06</v>
      </c>
      <c r="AH157" s="1277">
        <v>0.92</v>
      </c>
      <c r="AJ157" s="177" t="s">
        <v>320</v>
      </c>
      <c r="AK157" s="142" t="s">
        <v>401</v>
      </c>
      <c r="AL157" s="178">
        <v>276800</v>
      </c>
      <c r="AM157" s="179">
        <v>2760</v>
      </c>
      <c r="AN157" s="156"/>
      <c r="AO157" s="151"/>
    </row>
    <row r="158" spans="1:87" ht="13.5" customHeight="1">
      <c r="A158" s="431" t="s">
        <v>320</v>
      </c>
      <c r="B158" s="449" t="s">
        <v>301</v>
      </c>
      <c r="C158" s="450" t="s">
        <v>338</v>
      </c>
      <c r="D158" s="451">
        <v>209070</v>
      </c>
      <c r="E158" s="452"/>
      <c r="F158" s="451">
        <v>198950</v>
      </c>
      <c r="G158" s="452"/>
      <c r="H158" s="439">
        <v>1980</v>
      </c>
      <c r="I158" s="453"/>
      <c r="J158" s="454" t="s">
        <v>731</v>
      </c>
      <c r="K158" s="439">
        <v>1880</v>
      </c>
      <c r="L158" s="453"/>
      <c r="M158" s="454" t="s">
        <v>287</v>
      </c>
      <c r="N158" s="446"/>
      <c r="O158" s="455"/>
      <c r="P158" s="441"/>
      <c r="Q158" s="441"/>
      <c r="R158" s="1280"/>
      <c r="S158" s="1283"/>
      <c r="T158" s="456" t="s">
        <v>294</v>
      </c>
      <c r="U158" s="457">
        <v>3800</v>
      </c>
      <c r="V158" s="458">
        <v>4200</v>
      </c>
      <c r="W158" s="459">
        <v>9000</v>
      </c>
      <c r="X158" s="460">
        <v>90</v>
      </c>
      <c r="Y158" s="448"/>
      <c r="Z158" s="1301"/>
      <c r="AA158" s="445"/>
      <c r="AB158" s="1288"/>
      <c r="AC158" s="1291"/>
      <c r="AD158" s="1272"/>
      <c r="AE158" s="1274"/>
      <c r="AF158" s="1274"/>
      <c r="AG158" s="1276"/>
      <c r="AH158" s="1277"/>
      <c r="AJ158" s="177" t="s">
        <v>320</v>
      </c>
      <c r="AK158" s="142" t="s">
        <v>402</v>
      </c>
      <c r="AL158" s="178">
        <v>313600</v>
      </c>
      <c r="AM158" s="179">
        <v>3130</v>
      </c>
      <c r="AN158" s="156"/>
      <c r="AO158" s="151"/>
    </row>
    <row r="159" spans="1:87" ht="13.5" customHeight="1">
      <c r="A159" s="431" t="s">
        <v>320</v>
      </c>
      <c r="B159" s="416" t="s">
        <v>303</v>
      </c>
      <c r="C159" s="417" t="s">
        <v>334</v>
      </c>
      <c r="D159" s="418">
        <v>57810</v>
      </c>
      <c r="E159" s="419">
        <v>65310</v>
      </c>
      <c r="F159" s="418">
        <v>49380</v>
      </c>
      <c r="G159" s="419">
        <v>56880</v>
      </c>
      <c r="H159" s="420">
        <v>550</v>
      </c>
      <c r="I159" s="421">
        <v>620</v>
      </c>
      <c r="J159" s="422" t="s">
        <v>731</v>
      </c>
      <c r="K159" s="420">
        <v>470</v>
      </c>
      <c r="L159" s="421">
        <v>540</v>
      </c>
      <c r="M159" s="422" t="s">
        <v>287</v>
      </c>
      <c r="N159" s="423">
        <v>7500</v>
      </c>
      <c r="O159" s="424">
        <v>70</v>
      </c>
      <c r="P159" s="441"/>
      <c r="Q159" s="441"/>
      <c r="R159" s="1278">
        <v>3300</v>
      </c>
      <c r="S159" s="1281">
        <v>3600</v>
      </c>
      <c r="T159" s="426" t="s">
        <v>288</v>
      </c>
      <c r="U159" s="427">
        <v>7200</v>
      </c>
      <c r="V159" s="428">
        <v>8100</v>
      </c>
      <c r="W159" s="425">
        <v>7500</v>
      </c>
      <c r="X159" s="429">
        <v>70</v>
      </c>
      <c r="Y159" s="1284">
        <v>4500</v>
      </c>
      <c r="Z159" s="1301"/>
      <c r="AA159" s="445"/>
      <c r="AB159" s="1286">
        <v>8680</v>
      </c>
      <c r="AC159" s="1289">
        <v>80</v>
      </c>
      <c r="AD159" s="1292" t="s">
        <v>290</v>
      </c>
      <c r="AE159" s="1294" t="s">
        <v>290</v>
      </c>
      <c r="AF159" s="1294" t="s">
        <v>290</v>
      </c>
      <c r="AG159" s="1297" t="s">
        <v>290</v>
      </c>
      <c r="AH159" s="1269" t="s">
        <v>296</v>
      </c>
      <c r="AJ159" s="177" t="s">
        <v>320</v>
      </c>
      <c r="AK159" s="142" t="s">
        <v>403</v>
      </c>
      <c r="AL159" s="178">
        <v>350300</v>
      </c>
      <c r="AM159" s="179">
        <v>3500</v>
      </c>
      <c r="AN159" s="156"/>
      <c r="AO159" s="151"/>
    </row>
    <row r="160" spans="1:87" ht="13.5" customHeight="1">
      <c r="A160" s="431" t="s">
        <v>320</v>
      </c>
      <c r="B160" s="431" t="s">
        <v>303</v>
      </c>
      <c r="C160" s="433" t="s">
        <v>336</v>
      </c>
      <c r="D160" s="434">
        <v>65310</v>
      </c>
      <c r="E160" s="435">
        <v>125860</v>
      </c>
      <c r="F160" s="434">
        <v>56880</v>
      </c>
      <c r="G160" s="435">
        <v>117430</v>
      </c>
      <c r="H160" s="436">
        <v>620</v>
      </c>
      <c r="I160" s="437">
        <v>1150</v>
      </c>
      <c r="J160" s="438" t="s">
        <v>731</v>
      </c>
      <c r="K160" s="436">
        <v>540</v>
      </c>
      <c r="L160" s="437">
        <v>1060</v>
      </c>
      <c r="M160" s="438" t="s">
        <v>287</v>
      </c>
      <c r="N160" s="439">
        <v>7500</v>
      </c>
      <c r="O160" s="440">
        <v>70</v>
      </c>
      <c r="P160" s="462"/>
      <c r="Q160" s="462"/>
      <c r="R160" s="1279"/>
      <c r="S160" s="1282"/>
      <c r="T160" s="393" t="s">
        <v>292</v>
      </c>
      <c r="U160" s="442">
        <v>4000</v>
      </c>
      <c r="V160" s="443">
        <v>4400</v>
      </c>
      <c r="W160" s="441">
        <v>7500</v>
      </c>
      <c r="X160" s="444">
        <v>70</v>
      </c>
      <c r="Y160" s="1285"/>
      <c r="Z160" s="1301"/>
      <c r="AA160" s="445"/>
      <c r="AB160" s="1287"/>
      <c r="AC160" s="1290"/>
      <c r="AD160" s="1293"/>
      <c r="AE160" s="1295"/>
      <c r="AF160" s="1295"/>
      <c r="AG160" s="1298"/>
      <c r="AH160" s="1270"/>
      <c r="AJ160" s="177" t="s">
        <v>320</v>
      </c>
      <c r="AK160" s="142" t="s">
        <v>404</v>
      </c>
      <c r="AL160" s="178">
        <v>387100</v>
      </c>
      <c r="AM160" s="179">
        <v>3870</v>
      </c>
      <c r="AN160" s="156"/>
      <c r="AO160" s="151"/>
    </row>
    <row r="161" spans="1:41" ht="13.5" customHeight="1">
      <c r="A161" s="431" t="s">
        <v>320</v>
      </c>
      <c r="B161" s="431" t="s">
        <v>303</v>
      </c>
      <c r="C161" s="433" t="s">
        <v>337</v>
      </c>
      <c r="D161" s="434">
        <v>125860</v>
      </c>
      <c r="E161" s="435">
        <v>200900</v>
      </c>
      <c r="F161" s="434">
        <v>117430</v>
      </c>
      <c r="G161" s="435">
        <v>192470</v>
      </c>
      <c r="H161" s="436">
        <v>1150</v>
      </c>
      <c r="I161" s="437">
        <v>1900</v>
      </c>
      <c r="J161" s="438" t="s">
        <v>731</v>
      </c>
      <c r="K161" s="436">
        <v>1060</v>
      </c>
      <c r="L161" s="437">
        <v>1810</v>
      </c>
      <c r="M161" s="438" t="s">
        <v>287</v>
      </c>
      <c r="N161" s="446"/>
      <c r="O161" s="447"/>
      <c r="P161" s="441"/>
      <c r="Q161" s="441"/>
      <c r="R161" s="1279"/>
      <c r="S161" s="1282"/>
      <c r="T161" s="393" t="s">
        <v>293</v>
      </c>
      <c r="U161" s="442">
        <v>3500</v>
      </c>
      <c r="V161" s="443">
        <v>3800</v>
      </c>
      <c r="W161" s="441">
        <v>7500</v>
      </c>
      <c r="X161" s="444">
        <v>70</v>
      </c>
      <c r="Y161" s="448"/>
      <c r="Z161" s="1301"/>
      <c r="AA161" s="445"/>
      <c r="AB161" s="1287"/>
      <c r="AC161" s="1290"/>
      <c r="AD161" s="1271">
        <v>0.01</v>
      </c>
      <c r="AE161" s="1273">
        <v>0.03</v>
      </c>
      <c r="AF161" s="1273">
        <v>0.04</v>
      </c>
      <c r="AG161" s="1275">
        <v>0.06</v>
      </c>
      <c r="AH161" s="1277">
        <v>0.9</v>
      </c>
      <c r="AJ161" s="177" t="s">
        <v>320</v>
      </c>
      <c r="AK161" s="142" t="s">
        <v>405</v>
      </c>
      <c r="AL161" s="178">
        <v>423800</v>
      </c>
      <c r="AM161" s="179">
        <v>4230</v>
      </c>
      <c r="AN161" s="156"/>
      <c r="AO161" s="151"/>
    </row>
    <row r="162" spans="1:41" ht="13.5" customHeight="1">
      <c r="A162" s="431" t="s">
        <v>320</v>
      </c>
      <c r="B162" s="463" t="s">
        <v>303</v>
      </c>
      <c r="C162" s="450" t="s">
        <v>338</v>
      </c>
      <c r="D162" s="451">
        <v>200900</v>
      </c>
      <c r="E162" s="452"/>
      <c r="F162" s="451">
        <v>192470</v>
      </c>
      <c r="G162" s="452"/>
      <c r="H162" s="439">
        <v>1900</v>
      </c>
      <c r="I162" s="453"/>
      <c r="J162" s="454" t="s">
        <v>731</v>
      </c>
      <c r="K162" s="439">
        <v>1810</v>
      </c>
      <c r="L162" s="453"/>
      <c r="M162" s="454" t="s">
        <v>287</v>
      </c>
      <c r="N162" s="446"/>
      <c r="O162" s="455"/>
      <c r="P162" s="441"/>
      <c r="Q162" s="441"/>
      <c r="R162" s="1280"/>
      <c r="S162" s="1283"/>
      <c r="T162" s="456" t="s">
        <v>294</v>
      </c>
      <c r="U162" s="457">
        <v>3100</v>
      </c>
      <c r="V162" s="458">
        <v>3400</v>
      </c>
      <c r="W162" s="459">
        <v>7500</v>
      </c>
      <c r="X162" s="460">
        <v>70</v>
      </c>
      <c r="Y162" s="448"/>
      <c r="Z162" s="1301"/>
      <c r="AA162" s="445"/>
      <c r="AB162" s="1288"/>
      <c r="AC162" s="1291"/>
      <c r="AD162" s="1272"/>
      <c r="AE162" s="1274"/>
      <c r="AF162" s="1274"/>
      <c r="AG162" s="1276"/>
      <c r="AH162" s="1277"/>
      <c r="AJ162" s="177" t="s">
        <v>320</v>
      </c>
      <c r="AK162" s="142" t="s">
        <v>406</v>
      </c>
      <c r="AL162" s="178">
        <v>460600</v>
      </c>
      <c r="AM162" s="179">
        <v>4600</v>
      </c>
      <c r="AN162" s="156"/>
      <c r="AO162" s="151"/>
    </row>
    <row r="163" spans="1:41" ht="13.5" customHeight="1">
      <c r="A163" s="431" t="s">
        <v>320</v>
      </c>
      <c r="B163" s="416" t="s">
        <v>304</v>
      </c>
      <c r="C163" s="417" t="s">
        <v>334</v>
      </c>
      <c r="D163" s="418">
        <v>52060</v>
      </c>
      <c r="E163" s="419">
        <v>59560</v>
      </c>
      <c r="F163" s="418">
        <v>44830</v>
      </c>
      <c r="G163" s="419">
        <v>52330</v>
      </c>
      <c r="H163" s="420">
        <v>500</v>
      </c>
      <c r="I163" s="421">
        <v>570</v>
      </c>
      <c r="J163" s="422" t="s">
        <v>731</v>
      </c>
      <c r="K163" s="420">
        <v>430</v>
      </c>
      <c r="L163" s="421">
        <v>500</v>
      </c>
      <c r="M163" s="422" t="s">
        <v>287</v>
      </c>
      <c r="N163" s="423">
        <v>7500</v>
      </c>
      <c r="O163" s="424">
        <v>70</v>
      </c>
      <c r="P163" s="462"/>
      <c r="Q163" s="462"/>
      <c r="R163" s="1278">
        <v>2800</v>
      </c>
      <c r="S163" s="1281">
        <v>3100</v>
      </c>
      <c r="T163" s="426" t="s">
        <v>288</v>
      </c>
      <c r="U163" s="427">
        <v>6300</v>
      </c>
      <c r="V163" s="428">
        <v>7100</v>
      </c>
      <c r="W163" s="425">
        <v>6430</v>
      </c>
      <c r="X163" s="429">
        <v>60</v>
      </c>
      <c r="Y163" s="1284">
        <v>4500</v>
      </c>
      <c r="Z163" s="1301"/>
      <c r="AA163" s="445"/>
      <c r="AB163" s="1286">
        <v>7440</v>
      </c>
      <c r="AC163" s="1289">
        <v>70</v>
      </c>
      <c r="AD163" s="1292" t="s">
        <v>290</v>
      </c>
      <c r="AE163" s="1294" t="s">
        <v>290</v>
      </c>
      <c r="AF163" s="1294" t="s">
        <v>290</v>
      </c>
      <c r="AG163" s="1297" t="s">
        <v>290</v>
      </c>
      <c r="AH163" s="1269" t="s">
        <v>296</v>
      </c>
      <c r="AJ163" s="177" t="s">
        <v>320</v>
      </c>
      <c r="AK163" s="142" t="s">
        <v>407</v>
      </c>
      <c r="AL163" s="178">
        <v>497300</v>
      </c>
      <c r="AM163" s="179">
        <v>4970</v>
      </c>
      <c r="AN163" s="156"/>
      <c r="AO163" s="151"/>
    </row>
    <row r="164" spans="1:41" ht="13.5" customHeight="1">
      <c r="A164" s="431" t="s">
        <v>320</v>
      </c>
      <c r="B164" s="432" t="s">
        <v>304</v>
      </c>
      <c r="C164" s="433" t="s">
        <v>336</v>
      </c>
      <c r="D164" s="434">
        <v>59560</v>
      </c>
      <c r="E164" s="435">
        <v>120110</v>
      </c>
      <c r="F164" s="434">
        <v>52330</v>
      </c>
      <c r="G164" s="435">
        <v>112880</v>
      </c>
      <c r="H164" s="436">
        <v>570</v>
      </c>
      <c r="I164" s="437">
        <v>1090</v>
      </c>
      <c r="J164" s="438" t="s">
        <v>731</v>
      </c>
      <c r="K164" s="436">
        <v>500</v>
      </c>
      <c r="L164" s="437">
        <v>1020</v>
      </c>
      <c r="M164" s="438" t="s">
        <v>287</v>
      </c>
      <c r="N164" s="439">
        <v>7500</v>
      </c>
      <c r="O164" s="440">
        <v>70</v>
      </c>
      <c r="P164" s="441"/>
      <c r="Q164" s="441"/>
      <c r="R164" s="1279"/>
      <c r="S164" s="1282"/>
      <c r="T164" s="393" t="s">
        <v>292</v>
      </c>
      <c r="U164" s="442">
        <v>3500</v>
      </c>
      <c r="V164" s="443">
        <v>3900</v>
      </c>
      <c r="W164" s="441">
        <v>6430</v>
      </c>
      <c r="X164" s="444">
        <v>60</v>
      </c>
      <c r="Y164" s="1285"/>
      <c r="Z164" s="1301"/>
      <c r="AA164" s="445"/>
      <c r="AB164" s="1287"/>
      <c r="AC164" s="1290"/>
      <c r="AD164" s="1293"/>
      <c r="AE164" s="1295"/>
      <c r="AF164" s="1295"/>
      <c r="AG164" s="1298"/>
      <c r="AH164" s="1270"/>
      <c r="AJ164" s="177" t="s">
        <v>320</v>
      </c>
      <c r="AK164" s="142" t="s">
        <v>408</v>
      </c>
      <c r="AL164" s="178">
        <v>534100</v>
      </c>
      <c r="AM164" s="179">
        <v>5340</v>
      </c>
      <c r="AN164" s="156"/>
      <c r="AO164" s="151"/>
    </row>
    <row r="165" spans="1:41" ht="13.5" customHeight="1">
      <c r="A165" s="431" t="s">
        <v>320</v>
      </c>
      <c r="B165" s="432" t="s">
        <v>304</v>
      </c>
      <c r="C165" s="433" t="s">
        <v>337</v>
      </c>
      <c r="D165" s="434">
        <v>120110</v>
      </c>
      <c r="E165" s="435">
        <v>195150</v>
      </c>
      <c r="F165" s="434">
        <v>112880</v>
      </c>
      <c r="G165" s="435">
        <v>187920</v>
      </c>
      <c r="H165" s="436">
        <v>1090</v>
      </c>
      <c r="I165" s="437">
        <v>1840</v>
      </c>
      <c r="J165" s="438" t="s">
        <v>731</v>
      </c>
      <c r="K165" s="436">
        <v>1020</v>
      </c>
      <c r="L165" s="437">
        <v>1770</v>
      </c>
      <c r="M165" s="438" t="s">
        <v>287</v>
      </c>
      <c r="N165" s="446"/>
      <c r="O165" s="447"/>
      <c r="P165" s="441"/>
      <c r="Q165" s="441"/>
      <c r="R165" s="1279"/>
      <c r="S165" s="1282"/>
      <c r="T165" s="393" t="s">
        <v>293</v>
      </c>
      <c r="U165" s="442">
        <v>3000</v>
      </c>
      <c r="V165" s="443">
        <v>3400</v>
      </c>
      <c r="W165" s="441">
        <v>6430</v>
      </c>
      <c r="X165" s="444">
        <v>60</v>
      </c>
      <c r="Y165" s="448"/>
      <c r="Z165" s="1301"/>
      <c r="AA165" s="445"/>
      <c r="AB165" s="1287"/>
      <c r="AC165" s="1290"/>
      <c r="AD165" s="1271">
        <v>0.01</v>
      </c>
      <c r="AE165" s="1273">
        <v>0.03</v>
      </c>
      <c r="AF165" s="1273">
        <v>0.04</v>
      </c>
      <c r="AG165" s="1275">
        <v>0.06</v>
      </c>
      <c r="AH165" s="1277">
        <v>0.92</v>
      </c>
      <c r="AJ165" s="177" t="s">
        <v>320</v>
      </c>
      <c r="AK165" s="142" t="s">
        <v>409</v>
      </c>
      <c r="AL165" s="178">
        <v>570800</v>
      </c>
      <c r="AM165" s="179">
        <v>5700</v>
      </c>
      <c r="AN165" s="156"/>
      <c r="AO165" s="151"/>
    </row>
    <row r="166" spans="1:41" ht="13.5" customHeight="1">
      <c r="A166" s="431" t="s">
        <v>320</v>
      </c>
      <c r="B166" s="449" t="s">
        <v>304</v>
      </c>
      <c r="C166" s="450" t="s">
        <v>338</v>
      </c>
      <c r="D166" s="451">
        <v>195150</v>
      </c>
      <c r="E166" s="452"/>
      <c r="F166" s="451">
        <v>187920</v>
      </c>
      <c r="G166" s="452"/>
      <c r="H166" s="439">
        <v>1840</v>
      </c>
      <c r="I166" s="453"/>
      <c r="J166" s="454" t="s">
        <v>731</v>
      </c>
      <c r="K166" s="439">
        <v>1770</v>
      </c>
      <c r="L166" s="453"/>
      <c r="M166" s="454" t="s">
        <v>287</v>
      </c>
      <c r="N166" s="446"/>
      <c r="O166" s="455"/>
      <c r="P166" s="462"/>
      <c r="Q166" s="462"/>
      <c r="R166" s="1280"/>
      <c r="S166" s="1283"/>
      <c r="T166" s="456" t="s">
        <v>294</v>
      </c>
      <c r="U166" s="457">
        <v>2700</v>
      </c>
      <c r="V166" s="458">
        <v>3000</v>
      </c>
      <c r="W166" s="459">
        <v>6430</v>
      </c>
      <c r="X166" s="460">
        <v>60</v>
      </c>
      <c r="Y166" s="448"/>
      <c r="Z166" s="1301"/>
      <c r="AA166" s="445"/>
      <c r="AB166" s="1288"/>
      <c r="AC166" s="1291"/>
      <c r="AD166" s="1272"/>
      <c r="AE166" s="1274"/>
      <c r="AF166" s="1274"/>
      <c r="AG166" s="1276"/>
      <c r="AH166" s="1277"/>
      <c r="AJ166" s="177" t="s">
        <v>320</v>
      </c>
      <c r="AK166" s="142" t="s">
        <v>410</v>
      </c>
      <c r="AL166" s="178">
        <v>607600</v>
      </c>
      <c r="AM166" s="179">
        <v>6070</v>
      </c>
      <c r="AN166" s="156"/>
      <c r="AO166" s="151"/>
    </row>
    <row r="167" spans="1:41" ht="13.5" customHeight="1">
      <c r="A167" s="431" t="s">
        <v>320</v>
      </c>
      <c r="B167" s="416" t="s">
        <v>305</v>
      </c>
      <c r="C167" s="417" t="s">
        <v>334</v>
      </c>
      <c r="D167" s="418">
        <v>47790</v>
      </c>
      <c r="E167" s="419">
        <v>55290</v>
      </c>
      <c r="F167" s="418">
        <v>41470</v>
      </c>
      <c r="G167" s="419">
        <v>48970</v>
      </c>
      <c r="H167" s="420">
        <v>450</v>
      </c>
      <c r="I167" s="421">
        <v>520</v>
      </c>
      <c r="J167" s="422" t="s">
        <v>731</v>
      </c>
      <c r="K167" s="420">
        <v>390</v>
      </c>
      <c r="L167" s="421">
        <v>460</v>
      </c>
      <c r="M167" s="422" t="s">
        <v>287</v>
      </c>
      <c r="N167" s="423">
        <v>7500</v>
      </c>
      <c r="O167" s="424">
        <v>70</v>
      </c>
      <c r="P167" s="441"/>
      <c r="Q167" s="441"/>
      <c r="R167" s="1278">
        <v>3200</v>
      </c>
      <c r="S167" s="1281">
        <v>3600</v>
      </c>
      <c r="T167" s="426" t="s">
        <v>288</v>
      </c>
      <c r="U167" s="427">
        <v>7100</v>
      </c>
      <c r="V167" s="428">
        <v>7900</v>
      </c>
      <c r="W167" s="425">
        <v>5620</v>
      </c>
      <c r="X167" s="429">
        <v>50</v>
      </c>
      <c r="Y167" s="1284">
        <v>4500</v>
      </c>
      <c r="Z167" s="1301"/>
      <c r="AA167" s="445"/>
      <c r="AB167" s="1286">
        <v>6510</v>
      </c>
      <c r="AC167" s="1289">
        <v>60</v>
      </c>
      <c r="AD167" s="1292" t="s">
        <v>290</v>
      </c>
      <c r="AE167" s="1294" t="s">
        <v>290</v>
      </c>
      <c r="AF167" s="1294" t="s">
        <v>290</v>
      </c>
      <c r="AG167" s="1297" t="s">
        <v>290</v>
      </c>
      <c r="AH167" s="1269" t="s">
        <v>296</v>
      </c>
      <c r="AJ167" s="177" t="s">
        <v>320</v>
      </c>
      <c r="AK167" s="142" t="s">
        <v>411</v>
      </c>
      <c r="AL167" s="178">
        <v>644300</v>
      </c>
      <c r="AM167" s="179">
        <v>6440</v>
      </c>
      <c r="AN167" s="156"/>
      <c r="AO167" s="151"/>
    </row>
    <row r="168" spans="1:41" ht="13.5" customHeight="1">
      <c r="A168" s="431" t="s">
        <v>320</v>
      </c>
      <c r="B168" s="432" t="s">
        <v>305</v>
      </c>
      <c r="C168" s="433" t="s">
        <v>336</v>
      </c>
      <c r="D168" s="434">
        <v>55290</v>
      </c>
      <c r="E168" s="435">
        <v>115840</v>
      </c>
      <c r="F168" s="434">
        <v>48970</v>
      </c>
      <c r="G168" s="435">
        <v>109520</v>
      </c>
      <c r="H168" s="436">
        <v>520</v>
      </c>
      <c r="I168" s="437">
        <v>1050</v>
      </c>
      <c r="J168" s="438" t="s">
        <v>731</v>
      </c>
      <c r="K168" s="436">
        <v>460</v>
      </c>
      <c r="L168" s="437">
        <v>980</v>
      </c>
      <c r="M168" s="438" t="s">
        <v>287</v>
      </c>
      <c r="N168" s="439">
        <v>7500</v>
      </c>
      <c r="O168" s="440">
        <v>70</v>
      </c>
      <c r="P168" s="441"/>
      <c r="Q168" s="441"/>
      <c r="R168" s="1279"/>
      <c r="S168" s="1282"/>
      <c r="T168" s="393" t="s">
        <v>292</v>
      </c>
      <c r="U168" s="442">
        <v>3900</v>
      </c>
      <c r="V168" s="443">
        <v>4300</v>
      </c>
      <c r="W168" s="441">
        <v>5620</v>
      </c>
      <c r="X168" s="444">
        <v>50</v>
      </c>
      <c r="Y168" s="1285"/>
      <c r="Z168" s="1301"/>
      <c r="AA168" s="445"/>
      <c r="AB168" s="1287"/>
      <c r="AC168" s="1290"/>
      <c r="AD168" s="1293"/>
      <c r="AE168" s="1295"/>
      <c r="AF168" s="1295"/>
      <c r="AG168" s="1298"/>
      <c r="AH168" s="1270"/>
      <c r="AJ168" s="177" t="s">
        <v>320</v>
      </c>
      <c r="AK168" s="142" t="s">
        <v>412</v>
      </c>
      <c r="AL168" s="178">
        <v>681100</v>
      </c>
      <c r="AM168" s="179">
        <v>6810</v>
      </c>
      <c r="AN168" s="156"/>
      <c r="AO168" s="151"/>
    </row>
    <row r="169" spans="1:41" ht="13.5" customHeight="1" thickBot="1">
      <c r="A169" s="431" t="s">
        <v>320</v>
      </c>
      <c r="B169" s="432" t="s">
        <v>305</v>
      </c>
      <c r="C169" s="433" t="s">
        <v>337</v>
      </c>
      <c r="D169" s="434">
        <v>115840</v>
      </c>
      <c r="E169" s="435">
        <v>190880</v>
      </c>
      <c r="F169" s="434">
        <v>109520</v>
      </c>
      <c r="G169" s="435">
        <v>184560</v>
      </c>
      <c r="H169" s="436">
        <v>1050</v>
      </c>
      <c r="I169" s="437">
        <v>1800</v>
      </c>
      <c r="J169" s="438" t="s">
        <v>731</v>
      </c>
      <c r="K169" s="436">
        <v>980</v>
      </c>
      <c r="L169" s="437">
        <v>1730</v>
      </c>
      <c r="M169" s="438" t="s">
        <v>287</v>
      </c>
      <c r="N169" s="446"/>
      <c r="O169" s="447"/>
      <c r="P169" s="462"/>
      <c r="Q169" s="462"/>
      <c r="R169" s="1279"/>
      <c r="S169" s="1282"/>
      <c r="T169" s="393" t="s">
        <v>293</v>
      </c>
      <c r="U169" s="442">
        <v>3400</v>
      </c>
      <c r="V169" s="443">
        <v>3800</v>
      </c>
      <c r="W169" s="441">
        <v>5620</v>
      </c>
      <c r="X169" s="444">
        <v>50</v>
      </c>
      <c r="Y169" s="448"/>
      <c r="Z169" s="1301"/>
      <c r="AA169" s="462"/>
      <c r="AB169" s="1287"/>
      <c r="AC169" s="1290"/>
      <c r="AD169" s="1271">
        <v>0.01</v>
      </c>
      <c r="AE169" s="1273">
        <v>0.03</v>
      </c>
      <c r="AF169" s="1273">
        <v>0.04</v>
      </c>
      <c r="AG169" s="1275">
        <v>0.06</v>
      </c>
      <c r="AH169" s="1277">
        <v>0.89</v>
      </c>
      <c r="AJ169" s="180" t="s">
        <v>320</v>
      </c>
      <c r="AK169" s="181" t="s">
        <v>413</v>
      </c>
      <c r="AL169" s="182">
        <v>717800</v>
      </c>
      <c r="AM169" s="183">
        <v>7170</v>
      </c>
      <c r="AN169" s="156"/>
      <c r="AO169" s="151"/>
    </row>
    <row r="170" spans="1:41" ht="13.5" customHeight="1">
      <c r="A170" s="431" t="s">
        <v>320</v>
      </c>
      <c r="B170" s="449" t="s">
        <v>305</v>
      </c>
      <c r="C170" s="450" t="s">
        <v>338</v>
      </c>
      <c r="D170" s="451">
        <v>190880</v>
      </c>
      <c r="E170" s="452"/>
      <c r="F170" s="451">
        <v>184560</v>
      </c>
      <c r="G170" s="452"/>
      <c r="H170" s="439">
        <v>1800</v>
      </c>
      <c r="I170" s="453"/>
      <c r="J170" s="454" t="s">
        <v>731</v>
      </c>
      <c r="K170" s="439">
        <v>1730</v>
      </c>
      <c r="L170" s="453"/>
      <c r="M170" s="454" t="s">
        <v>287</v>
      </c>
      <c r="N170" s="446"/>
      <c r="O170" s="455"/>
      <c r="P170" s="441"/>
      <c r="Q170" s="441"/>
      <c r="R170" s="1280"/>
      <c r="S170" s="1283"/>
      <c r="T170" s="456" t="s">
        <v>294</v>
      </c>
      <c r="U170" s="457">
        <v>3000</v>
      </c>
      <c r="V170" s="458">
        <v>3400</v>
      </c>
      <c r="W170" s="459">
        <v>5620</v>
      </c>
      <c r="X170" s="460">
        <v>50</v>
      </c>
      <c r="Y170" s="448"/>
      <c r="Z170" s="1301"/>
      <c r="AA170" s="462"/>
      <c r="AB170" s="1288"/>
      <c r="AC170" s="1291"/>
      <c r="AD170" s="1272"/>
      <c r="AE170" s="1274"/>
      <c r="AF170" s="1274"/>
      <c r="AG170" s="1276"/>
      <c r="AH170" s="1277"/>
      <c r="AJ170" s="184" t="s">
        <v>390</v>
      </c>
      <c r="AK170" s="173" t="s">
        <v>400</v>
      </c>
      <c r="AL170" s="174">
        <v>253500</v>
      </c>
      <c r="AM170" s="175">
        <v>2530</v>
      </c>
      <c r="AN170" s="156"/>
      <c r="AO170" s="151"/>
    </row>
    <row r="171" spans="1:41" ht="13.5" customHeight="1">
      <c r="A171" s="431" t="s">
        <v>320</v>
      </c>
      <c r="B171" s="416" t="s">
        <v>306</v>
      </c>
      <c r="C171" s="417" t="s">
        <v>334</v>
      </c>
      <c r="D171" s="418">
        <v>44430</v>
      </c>
      <c r="E171" s="419">
        <v>51930</v>
      </c>
      <c r="F171" s="418">
        <v>38810</v>
      </c>
      <c r="G171" s="419">
        <v>46310</v>
      </c>
      <c r="H171" s="420">
        <v>420</v>
      </c>
      <c r="I171" s="421">
        <v>490</v>
      </c>
      <c r="J171" s="422" t="s">
        <v>731</v>
      </c>
      <c r="K171" s="420">
        <v>360</v>
      </c>
      <c r="L171" s="421">
        <v>430</v>
      </c>
      <c r="M171" s="422" t="s">
        <v>287</v>
      </c>
      <c r="N171" s="423">
        <v>7500</v>
      </c>
      <c r="O171" s="424">
        <v>70</v>
      </c>
      <c r="P171" s="441"/>
      <c r="Q171" s="441"/>
      <c r="R171" s="1278">
        <v>2900</v>
      </c>
      <c r="S171" s="1281">
        <v>3200</v>
      </c>
      <c r="T171" s="426" t="s">
        <v>288</v>
      </c>
      <c r="U171" s="427">
        <v>6300</v>
      </c>
      <c r="V171" s="428">
        <v>7100</v>
      </c>
      <c r="W171" s="425">
        <v>5000</v>
      </c>
      <c r="X171" s="429">
        <v>50</v>
      </c>
      <c r="Y171" s="1284">
        <v>4500</v>
      </c>
      <c r="Z171" s="1301"/>
      <c r="AA171" s="462"/>
      <c r="AB171" s="1286">
        <v>5790</v>
      </c>
      <c r="AC171" s="1289">
        <v>50</v>
      </c>
      <c r="AD171" s="1292" t="s">
        <v>290</v>
      </c>
      <c r="AE171" s="1294" t="s">
        <v>290</v>
      </c>
      <c r="AF171" s="1294" t="s">
        <v>290</v>
      </c>
      <c r="AG171" s="1297" t="s">
        <v>290</v>
      </c>
      <c r="AH171" s="1269" t="s">
        <v>296</v>
      </c>
      <c r="AJ171" s="185" t="s">
        <v>390</v>
      </c>
      <c r="AK171" s="142" t="s">
        <v>401</v>
      </c>
      <c r="AL171" s="178">
        <v>271500</v>
      </c>
      <c r="AM171" s="179">
        <v>2710</v>
      </c>
      <c r="AN171" s="156"/>
      <c r="AO171" s="151"/>
    </row>
    <row r="172" spans="1:41" ht="13.5" customHeight="1">
      <c r="A172" s="431" t="s">
        <v>320</v>
      </c>
      <c r="B172" s="432" t="s">
        <v>306</v>
      </c>
      <c r="C172" s="433" t="s">
        <v>336</v>
      </c>
      <c r="D172" s="434">
        <v>51930</v>
      </c>
      <c r="E172" s="435">
        <v>112480</v>
      </c>
      <c r="F172" s="434">
        <v>46310</v>
      </c>
      <c r="G172" s="435">
        <v>106860</v>
      </c>
      <c r="H172" s="436">
        <v>490</v>
      </c>
      <c r="I172" s="437">
        <v>1010</v>
      </c>
      <c r="J172" s="438" t="s">
        <v>731</v>
      </c>
      <c r="K172" s="436">
        <v>430</v>
      </c>
      <c r="L172" s="437">
        <v>960</v>
      </c>
      <c r="M172" s="438" t="s">
        <v>287</v>
      </c>
      <c r="N172" s="439">
        <v>7500</v>
      </c>
      <c r="O172" s="440">
        <v>70</v>
      </c>
      <c r="P172" s="462"/>
      <c r="Q172" s="462"/>
      <c r="R172" s="1279"/>
      <c r="S172" s="1282"/>
      <c r="T172" s="393" t="s">
        <v>292</v>
      </c>
      <c r="U172" s="442">
        <v>3500</v>
      </c>
      <c r="V172" s="443">
        <v>3900</v>
      </c>
      <c r="W172" s="441">
        <v>5000</v>
      </c>
      <c r="X172" s="444">
        <v>50</v>
      </c>
      <c r="Y172" s="1285"/>
      <c r="Z172" s="1301"/>
      <c r="AA172" s="462"/>
      <c r="AB172" s="1287"/>
      <c r="AC172" s="1290"/>
      <c r="AD172" s="1293"/>
      <c r="AE172" s="1295"/>
      <c r="AF172" s="1295"/>
      <c r="AG172" s="1298"/>
      <c r="AH172" s="1270"/>
      <c r="AJ172" s="185" t="s">
        <v>390</v>
      </c>
      <c r="AK172" s="142" t="s">
        <v>402</v>
      </c>
      <c r="AL172" s="178">
        <v>307700</v>
      </c>
      <c r="AM172" s="179">
        <v>3070</v>
      </c>
      <c r="AN172" s="156"/>
      <c r="AO172" s="151"/>
    </row>
    <row r="173" spans="1:41" ht="13.5" customHeight="1">
      <c r="A173" s="431" t="s">
        <v>320</v>
      </c>
      <c r="B173" s="432" t="s">
        <v>306</v>
      </c>
      <c r="C173" s="433" t="s">
        <v>337</v>
      </c>
      <c r="D173" s="434">
        <v>112480</v>
      </c>
      <c r="E173" s="435">
        <v>187520</v>
      </c>
      <c r="F173" s="434">
        <v>106860</v>
      </c>
      <c r="G173" s="435">
        <v>181900</v>
      </c>
      <c r="H173" s="436">
        <v>1010</v>
      </c>
      <c r="I173" s="437">
        <v>1760</v>
      </c>
      <c r="J173" s="438" t="s">
        <v>731</v>
      </c>
      <c r="K173" s="436">
        <v>960</v>
      </c>
      <c r="L173" s="437">
        <v>1710</v>
      </c>
      <c r="M173" s="438" t="s">
        <v>287</v>
      </c>
      <c r="N173" s="446"/>
      <c r="O173" s="447"/>
      <c r="P173" s="441"/>
      <c r="Q173" s="441"/>
      <c r="R173" s="1279"/>
      <c r="S173" s="1282"/>
      <c r="T173" s="393" t="s">
        <v>293</v>
      </c>
      <c r="U173" s="442">
        <v>3000</v>
      </c>
      <c r="V173" s="443">
        <v>3400</v>
      </c>
      <c r="W173" s="441">
        <v>5000</v>
      </c>
      <c r="X173" s="444">
        <v>50</v>
      </c>
      <c r="Y173" s="448"/>
      <c r="Z173" s="1301"/>
      <c r="AA173" s="464"/>
      <c r="AB173" s="1287"/>
      <c r="AC173" s="1290"/>
      <c r="AD173" s="1271">
        <v>0.02</v>
      </c>
      <c r="AE173" s="1273">
        <v>0.03</v>
      </c>
      <c r="AF173" s="1273">
        <v>0.05</v>
      </c>
      <c r="AG173" s="1275">
        <v>0.06</v>
      </c>
      <c r="AH173" s="1277">
        <v>0.91</v>
      </c>
      <c r="AJ173" s="185" t="s">
        <v>390</v>
      </c>
      <c r="AK173" s="142" t="s">
        <v>403</v>
      </c>
      <c r="AL173" s="178">
        <v>343900</v>
      </c>
      <c r="AM173" s="179">
        <v>3430</v>
      </c>
      <c r="AN173" s="156"/>
      <c r="AO173" s="151"/>
    </row>
    <row r="174" spans="1:41" ht="13.5" customHeight="1">
      <c r="A174" s="431" t="s">
        <v>320</v>
      </c>
      <c r="B174" s="449" t="s">
        <v>306</v>
      </c>
      <c r="C174" s="450" t="s">
        <v>338</v>
      </c>
      <c r="D174" s="451">
        <v>187520</v>
      </c>
      <c r="E174" s="452"/>
      <c r="F174" s="451">
        <v>181900</v>
      </c>
      <c r="G174" s="452"/>
      <c r="H174" s="439">
        <v>1760</v>
      </c>
      <c r="I174" s="453"/>
      <c r="J174" s="454" t="s">
        <v>731</v>
      </c>
      <c r="K174" s="439">
        <v>1710</v>
      </c>
      <c r="L174" s="453"/>
      <c r="M174" s="454" t="s">
        <v>287</v>
      </c>
      <c r="N174" s="446"/>
      <c r="O174" s="455"/>
      <c r="P174" s="441"/>
      <c r="Q174" s="441"/>
      <c r="R174" s="1280"/>
      <c r="S174" s="1283"/>
      <c r="T174" s="456" t="s">
        <v>294</v>
      </c>
      <c r="U174" s="457">
        <v>2700</v>
      </c>
      <c r="V174" s="458">
        <v>3000</v>
      </c>
      <c r="W174" s="459">
        <v>5000</v>
      </c>
      <c r="X174" s="460">
        <v>50</v>
      </c>
      <c r="Y174" s="448"/>
      <c r="Z174" s="1301"/>
      <c r="AA174" s="464"/>
      <c r="AB174" s="1288"/>
      <c r="AC174" s="1291"/>
      <c r="AD174" s="1272"/>
      <c r="AE174" s="1274"/>
      <c r="AF174" s="1274"/>
      <c r="AG174" s="1276"/>
      <c r="AH174" s="1277"/>
      <c r="AJ174" s="185" t="s">
        <v>390</v>
      </c>
      <c r="AK174" s="142" t="s">
        <v>404</v>
      </c>
      <c r="AL174" s="178">
        <v>380000</v>
      </c>
      <c r="AM174" s="179">
        <v>3800</v>
      </c>
      <c r="AN174" s="156"/>
      <c r="AO174" s="151"/>
    </row>
    <row r="175" spans="1:41" ht="13.5" customHeight="1">
      <c r="A175" s="431" t="s">
        <v>320</v>
      </c>
      <c r="B175" s="416" t="s">
        <v>307</v>
      </c>
      <c r="C175" s="417" t="s">
        <v>334</v>
      </c>
      <c r="D175" s="418">
        <v>38420</v>
      </c>
      <c r="E175" s="419">
        <v>45920</v>
      </c>
      <c r="F175" s="418">
        <v>33360</v>
      </c>
      <c r="G175" s="419">
        <v>40860</v>
      </c>
      <c r="H175" s="420">
        <v>360</v>
      </c>
      <c r="I175" s="421">
        <v>430</v>
      </c>
      <c r="J175" s="422" t="s">
        <v>731</v>
      </c>
      <c r="K175" s="420">
        <v>310</v>
      </c>
      <c r="L175" s="421">
        <v>380</v>
      </c>
      <c r="M175" s="422" t="s">
        <v>287</v>
      </c>
      <c r="N175" s="423">
        <v>7500</v>
      </c>
      <c r="O175" s="424">
        <v>70</v>
      </c>
      <c r="P175" s="462"/>
      <c r="Q175" s="462"/>
      <c r="R175" s="1278">
        <v>2600</v>
      </c>
      <c r="S175" s="1281">
        <v>2800</v>
      </c>
      <c r="T175" s="426" t="s">
        <v>288</v>
      </c>
      <c r="U175" s="427">
        <v>5500</v>
      </c>
      <c r="V175" s="428">
        <v>6200</v>
      </c>
      <c r="W175" s="425">
        <v>4500</v>
      </c>
      <c r="X175" s="429">
        <v>40</v>
      </c>
      <c r="Y175" s="1284">
        <v>4500</v>
      </c>
      <c r="Z175" s="1301"/>
      <c r="AA175" s="1300" t="s">
        <v>319</v>
      </c>
      <c r="AB175" s="1286">
        <v>5210</v>
      </c>
      <c r="AC175" s="1289">
        <v>50</v>
      </c>
      <c r="AD175" s="1292" t="s">
        <v>290</v>
      </c>
      <c r="AE175" s="1294" t="s">
        <v>290</v>
      </c>
      <c r="AF175" s="1294" t="s">
        <v>290</v>
      </c>
      <c r="AG175" s="1297" t="s">
        <v>290</v>
      </c>
      <c r="AH175" s="1269" t="s">
        <v>296</v>
      </c>
      <c r="AJ175" s="185" t="s">
        <v>390</v>
      </c>
      <c r="AK175" s="142" t="s">
        <v>405</v>
      </c>
      <c r="AL175" s="178">
        <v>416200</v>
      </c>
      <c r="AM175" s="179">
        <v>4160</v>
      </c>
      <c r="AN175" s="156"/>
      <c r="AO175" s="151"/>
    </row>
    <row r="176" spans="1:41" ht="13.5" customHeight="1">
      <c r="A176" s="431" t="s">
        <v>320</v>
      </c>
      <c r="B176" s="432" t="s">
        <v>307</v>
      </c>
      <c r="C176" s="433" t="s">
        <v>336</v>
      </c>
      <c r="D176" s="434">
        <v>45920</v>
      </c>
      <c r="E176" s="435">
        <v>106470</v>
      </c>
      <c r="F176" s="434">
        <v>40860</v>
      </c>
      <c r="G176" s="435">
        <v>101410</v>
      </c>
      <c r="H176" s="436">
        <v>430</v>
      </c>
      <c r="I176" s="437">
        <v>950</v>
      </c>
      <c r="J176" s="438" t="s">
        <v>731</v>
      </c>
      <c r="K176" s="436">
        <v>380</v>
      </c>
      <c r="L176" s="437">
        <v>900</v>
      </c>
      <c r="M176" s="438" t="s">
        <v>287</v>
      </c>
      <c r="N176" s="439">
        <v>7500</v>
      </c>
      <c r="O176" s="440">
        <v>70</v>
      </c>
      <c r="P176" s="441"/>
      <c r="Q176" s="441"/>
      <c r="R176" s="1279"/>
      <c r="S176" s="1282"/>
      <c r="T176" s="393" t="s">
        <v>292</v>
      </c>
      <c r="U176" s="442">
        <v>3000</v>
      </c>
      <c r="V176" s="443">
        <v>3400</v>
      </c>
      <c r="W176" s="441">
        <v>4500</v>
      </c>
      <c r="X176" s="444">
        <v>40</v>
      </c>
      <c r="Y176" s="1285"/>
      <c r="Z176" s="1301"/>
      <c r="AA176" s="1300"/>
      <c r="AB176" s="1287"/>
      <c r="AC176" s="1290"/>
      <c r="AD176" s="1293"/>
      <c r="AE176" s="1295"/>
      <c r="AF176" s="1295"/>
      <c r="AG176" s="1298"/>
      <c r="AH176" s="1270"/>
      <c r="AJ176" s="185" t="s">
        <v>390</v>
      </c>
      <c r="AK176" s="142" t="s">
        <v>406</v>
      </c>
      <c r="AL176" s="178">
        <v>452400</v>
      </c>
      <c r="AM176" s="179">
        <v>4520</v>
      </c>
      <c r="AN176" s="156"/>
      <c r="AO176" s="151"/>
    </row>
    <row r="177" spans="1:41" ht="13.5" customHeight="1">
      <c r="A177" s="431" t="s">
        <v>320</v>
      </c>
      <c r="B177" s="432" t="s">
        <v>307</v>
      </c>
      <c r="C177" s="433" t="s">
        <v>337</v>
      </c>
      <c r="D177" s="434">
        <v>106470</v>
      </c>
      <c r="E177" s="435">
        <v>181510</v>
      </c>
      <c r="F177" s="434">
        <v>101410</v>
      </c>
      <c r="G177" s="435">
        <v>176450</v>
      </c>
      <c r="H177" s="436">
        <v>950</v>
      </c>
      <c r="I177" s="437">
        <v>1700</v>
      </c>
      <c r="J177" s="438" t="s">
        <v>731</v>
      </c>
      <c r="K177" s="436">
        <v>900</v>
      </c>
      <c r="L177" s="437">
        <v>1650</v>
      </c>
      <c r="M177" s="438" t="s">
        <v>287</v>
      </c>
      <c r="N177" s="446"/>
      <c r="O177" s="447"/>
      <c r="P177" s="441"/>
      <c r="Q177" s="441"/>
      <c r="R177" s="1279"/>
      <c r="S177" s="1282"/>
      <c r="T177" s="393" t="s">
        <v>293</v>
      </c>
      <c r="U177" s="442">
        <v>2600</v>
      </c>
      <c r="V177" s="443">
        <v>2900</v>
      </c>
      <c r="W177" s="441">
        <v>4500</v>
      </c>
      <c r="X177" s="444">
        <v>40</v>
      </c>
      <c r="Y177" s="448"/>
      <c r="Z177" s="1301"/>
      <c r="AA177" s="1299">
        <v>0.1</v>
      </c>
      <c r="AB177" s="1287"/>
      <c r="AC177" s="1290"/>
      <c r="AD177" s="1271">
        <v>0.02</v>
      </c>
      <c r="AE177" s="1273">
        <v>0.03</v>
      </c>
      <c r="AF177" s="1273">
        <v>0.05</v>
      </c>
      <c r="AG177" s="1275">
        <v>0.06</v>
      </c>
      <c r="AH177" s="1277">
        <v>0.96</v>
      </c>
      <c r="AJ177" s="185" t="s">
        <v>390</v>
      </c>
      <c r="AK177" s="142" t="s">
        <v>407</v>
      </c>
      <c r="AL177" s="178">
        <v>488500</v>
      </c>
      <c r="AM177" s="179">
        <v>4880</v>
      </c>
      <c r="AN177" s="156"/>
      <c r="AO177" s="151"/>
    </row>
    <row r="178" spans="1:41" ht="13.5" customHeight="1">
      <c r="A178" s="431" t="s">
        <v>320</v>
      </c>
      <c r="B178" s="449" t="s">
        <v>307</v>
      </c>
      <c r="C178" s="450" t="s">
        <v>338</v>
      </c>
      <c r="D178" s="451">
        <v>181510</v>
      </c>
      <c r="E178" s="452"/>
      <c r="F178" s="451">
        <v>176450</v>
      </c>
      <c r="G178" s="452"/>
      <c r="H178" s="439">
        <v>1700</v>
      </c>
      <c r="I178" s="453"/>
      <c r="J178" s="454" t="s">
        <v>731</v>
      </c>
      <c r="K178" s="439">
        <v>1650</v>
      </c>
      <c r="L178" s="453"/>
      <c r="M178" s="454" t="s">
        <v>287</v>
      </c>
      <c r="N178" s="446"/>
      <c r="O178" s="455"/>
      <c r="P178" s="462"/>
      <c r="Q178" s="462"/>
      <c r="R178" s="1280"/>
      <c r="S178" s="1283"/>
      <c r="T178" s="456" t="s">
        <v>294</v>
      </c>
      <c r="U178" s="457">
        <v>2400</v>
      </c>
      <c r="V178" s="458">
        <v>2600</v>
      </c>
      <c r="W178" s="459">
        <v>4500</v>
      </c>
      <c r="X178" s="460">
        <v>40</v>
      </c>
      <c r="Y178" s="448"/>
      <c r="Z178" s="1301"/>
      <c r="AA178" s="1299"/>
      <c r="AB178" s="1288"/>
      <c r="AC178" s="1291"/>
      <c r="AD178" s="1272"/>
      <c r="AE178" s="1274"/>
      <c r="AF178" s="1274"/>
      <c r="AG178" s="1276"/>
      <c r="AH178" s="1277"/>
      <c r="AJ178" s="185" t="s">
        <v>390</v>
      </c>
      <c r="AK178" s="142" t="s">
        <v>408</v>
      </c>
      <c r="AL178" s="178">
        <v>524700</v>
      </c>
      <c r="AM178" s="179">
        <v>5240</v>
      </c>
      <c r="AN178" s="156"/>
      <c r="AO178" s="151"/>
    </row>
    <row r="179" spans="1:41" ht="13.5" customHeight="1">
      <c r="A179" s="431" t="s">
        <v>320</v>
      </c>
      <c r="B179" s="416" t="s">
        <v>309</v>
      </c>
      <c r="C179" s="417" t="s">
        <v>334</v>
      </c>
      <c r="D179" s="418">
        <v>36560</v>
      </c>
      <c r="E179" s="419">
        <v>44060</v>
      </c>
      <c r="F179" s="418">
        <v>31960</v>
      </c>
      <c r="G179" s="419">
        <v>39460</v>
      </c>
      <c r="H179" s="420">
        <v>340</v>
      </c>
      <c r="I179" s="421">
        <v>410</v>
      </c>
      <c r="J179" s="422" t="s">
        <v>731</v>
      </c>
      <c r="K179" s="420">
        <v>300</v>
      </c>
      <c r="L179" s="421">
        <v>370</v>
      </c>
      <c r="M179" s="422" t="s">
        <v>287</v>
      </c>
      <c r="N179" s="423">
        <v>7500</v>
      </c>
      <c r="O179" s="424">
        <v>70</v>
      </c>
      <c r="P179" s="441"/>
      <c r="Q179" s="441"/>
      <c r="R179" s="1278">
        <v>2800</v>
      </c>
      <c r="S179" s="1281">
        <v>3100</v>
      </c>
      <c r="T179" s="426" t="s">
        <v>288</v>
      </c>
      <c r="U179" s="427">
        <v>6100</v>
      </c>
      <c r="V179" s="428">
        <v>6800</v>
      </c>
      <c r="W179" s="425">
        <v>4090</v>
      </c>
      <c r="X179" s="429">
        <v>40</v>
      </c>
      <c r="Y179" s="1284">
        <v>4500</v>
      </c>
      <c r="Z179" s="1301"/>
      <c r="AA179" s="464"/>
      <c r="AB179" s="1286">
        <v>4730</v>
      </c>
      <c r="AC179" s="1289">
        <v>40</v>
      </c>
      <c r="AD179" s="1292" t="s">
        <v>290</v>
      </c>
      <c r="AE179" s="1294" t="s">
        <v>290</v>
      </c>
      <c r="AF179" s="1294" t="s">
        <v>290</v>
      </c>
      <c r="AG179" s="1297" t="s">
        <v>290</v>
      </c>
      <c r="AH179" s="1269" t="s">
        <v>296</v>
      </c>
      <c r="AJ179" s="185" t="s">
        <v>390</v>
      </c>
      <c r="AK179" s="142" t="s">
        <v>409</v>
      </c>
      <c r="AL179" s="178">
        <v>560900</v>
      </c>
      <c r="AM179" s="179">
        <v>5600</v>
      </c>
      <c r="AN179" s="156"/>
      <c r="AO179" s="151"/>
    </row>
    <row r="180" spans="1:41" ht="13.5" customHeight="1">
      <c r="A180" s="431" t="s">
        <v>320</v>
      </c>
      <c r="B180" s="432" t="s">
        <v>309</v>
      </c>
      <c r="C180" s="433" t="s">
        <v>336</v>
      </c>
      <c r="D180" s="434">
        <v>44060</v>
      </c>
      <c r="E180" s="435">
        <v>104610</v>
      </c>
      <c r="F180" s="434">
        <v>39460</v>
      </c>
      <c r="G180" s="435">
        <v>100010</v>
      </c>
      <c r="H180" s="436">
        <v>410</v>
      </c>
      <c r="I180" s="437">
        <v>940</v>
      </c>
      <c r="J180" s="438" t="s">
        <v>731</v>
      </c>
      <c r="K180" s="436">
        <v>370</v>
      </c>
      <c r="L180" s="437">
        <v>890</v>
      </c>
      <c r="M180" s="438" t="s">
        <v>287</v>
      </c>
      <c r="N180" s="439">
        <v>7500</v>
      </c>
      <c r="O180" s="440">
        <v>70</v>
      </c>
      <c r="P180" s="441"/>
      <c r="Q180" s="441"/>
      <c r="R180" s="1279"/>
      <c r="S180" s="1282"/>
      <c r="T180" s="393" t="s">
        <v>292</v>
      </c>
      <c r="U180" s="442">
        <v>3300</v>
      </c>
      <c r="V180" s="443">
        <v>3700</v>
      </c>
      <c r="W180" s="441">
        <v>4090</v>
      </c>
      <c r="X180" s="444">
        <v>40</v>
      </c>
      <c r="Y180" s="1285"/>
      <c r="Z180" s="1301"/>
      <c r="AA180" s="464"/>
      <c r="AB180" s="1287"/>
      <c r="AC180" s="1290"/>
      <c r="AD180" s="1293"/>
      <c r="AE180" s="1295"/>
      <c r="AF180" s="1295"/>
      <c r="AG180" s="1298"/>
      <c r="AH180" s="1270"/>
      <c r="AJ180" s="185" t="s">
        <v>390</v>
      </c>
      <c r="AK180" s="142" t="s">
        <v>410</v>
      </c>
      <c r="AL180" s="178">
        <v>597000</v>
      </c>
      <c r="AM180" s="179">
        <v>5970</v>
      </c>
      <c r="AN180" s="156"/>
      <c r="AO180" s="151"/>
    </row>
    <row r="181" spans="1:41" ht="13.5" customHeight="1">
      <c r="A181" s="431" t="s">
        <v>320</v>
      </c>
      <c r="B181" s="432" t="s">
        <v>309</v>
      </c>
      <c r="C181" s="433" t="s">
        <v>337</v>
      </c>
      <c r="D181" s="434">
        <v>104610</v>
      </c>
      <c r="E181" s="435">
        <v>179650</v>
      </c>
      <c r="F181" s="434">
        <v>100010</v>
      </c>
      <c r="G181" s="435">
        <v>175050</v>
      </c>
      <c r="H181" s="436">
        <v>940</v>
      </c>
      <c r="I181" s="437">
        <v>1690</v>
      </c>
      <c r="J181" s="438" t="s">
        <v>731</v>
      </c>
      <c r="K181" s="436">
        <v>890</v>
      </c>
      <c r="L181" s="437">
        <v>1640</v>
      </c>
      <c r="M181" s="438" t="s">
        <v>287</v>
      </c>
      <c r="N181" s="446"/>
      <c r="O181" s="447"/>
      <c r="P181" s="462"/>
      <c r="Q181" s="462"/>
      <c r="R181" s="1279"/>
      <c r="S181" s="1282"/>
      <c r="T181" s="393" t="s">
        <v>293</v>
      </c>
      <c r="U181" s="442">
        <v>2900</v>
      </c>
      <c r="V181" s="443">
        <v>3200</v>
      </c>
      <c r="W181" s="441">
        <v>4090</v>
      </c>
      <c r="X181" s="444">
        <v>40</v>
      </c>
      <c r="Y181" s="448"/>
      <c r="Z181" s="1301"/>
      <c r="AA181" s="464"/>
      <c r="AB181" s="1287"/>
      <c r="AC181" s="1290"/>
      <c r="AD181" s="1271">
        <v>0.02</v>
      </c>
      <c r="AE181" s="1273">
        <v>0.03</v>
      </c>
      <c r="AF181" s="1273">
        <v>0.05</v>
      </c>
      <c r="AG181" s="1275">
        <v>0.06</v>
      </c>
      <c r="AH181" s="1277">
        <v>0.94</v>
      </c>
      <c r="AJ181" s="185" t="s">
        <v>390</v>
      </c>
      <c r="AK181" s="142" t="s">
        <v>411</v>
      </c>
      <c r="AL181" s="178">
        <v>633200</v>
      </c>
      <c r="AM181" s="179">
        <v>6330</v>
      </c>
      <c r="AN181" s="156"/>
      <c r="AO181" s="151"/>
    </row>
    <row r="182" spans="1:41" ht="13.5" customHeight="1">
      <c r="A182" s="431" t="s">
        <v>320</v>
      </c>
      <c r="B182" s="449" t="s">
        <v>309</v>
      </c>
      <c r="C182" s="450" t="s">
        <v>338</v>
      </c>
      <c r="D182" s="451">
        <v>179650</v>
      </c>
      <c r="E182" s="452"/>
      <c r="F182" s="451">
        <v>175050</v>
      </c>
      <c r="G182" s="452"/>
      <c r="H182" s="439">
        <v>1690</v>
      </c>
      <c r="I182" s="453"/>
      <c r="J182" s="454" t="s">
        <v>731</v>
      </c>
      <c r="K182" s="439">
        <v>1640</v>
      </c>
      <c r="L182" s="453"/>
      <c r="M182" s="454" t="s">
        <v>287</v>
      </c>
      <c r="N182" s="446"/>
      <c r="O182" s="455"/>
      <c r="P182" s="441"/>
      <c r="Q182" s="441"/>
      <c r="R182" s="1280"/>
      <c r="S182" s="1283"/>
      <c r="T182" s="456" t="s">
        <v>294</v>
      </c>
      <c r="U182" s="457">
        <v>2600</v>
      </c>
      <c r="V182" s="458">
        <v>2900</v>
      </c>
      <c r="W182" s="459">
        <v>4090</v>
      </c>
      <c r="X182" s="460">
        <v>40</v>
      </c>
      <c r="Y182" s="448"/>
      <c r="Z182" s="1301"/>
      <c r="AA182" s="464"/>
      <c r="AB182" s="1288"/>
      <c r="AC182" s="1291"/>
      <c r="AD182" s="1272"/>
      <c r="AE182" s="1274"/>
      <c r="AF182" s="1274"/>
      <c r="AG182" s="1276"/>
      <c r="AH182" s="1277"/>
      <c r="AJ182" s="185" t="s">
        <v>390</v>
      </c>
      <c r="AK182" s="142" t="s">
        <v>412</v>
      </c>
      <c r="AL182" s="178">
        <v>669400</v>
      </c>
      <c r="AM182" s="179">
        <v>6690</v>
      </c>
      <c r="AN182" s="156"/>
      <c r="AO182" s="151"/>
    </row>
    <row r="183" spans="1:41" ht="13.5" customHeight="1" thickBot="1">
      <c r="A183" s="431" t="s">
        <v>320</v>
      </c>
      <c r="B183" s="416" t="s">
        <v>310</v>
      </c>
      <c r="C183" s="417" t="s">
        <v>334</v>
      </c>
      <c r="D183" s="418">
        <v>34970</v>
      </c>
      <c r="E183" s="419">
        <v>42470</v>
      </c>
      <c r="F183" s="418">
        <v>30760</v>
      </c>
      <c r="G183" s="419">
        <v>38260</v>
      </c>
      <c r="H183" s="420">
        <v>330</v>
      </c>
      <c r="I183" s="421">
        <v>400</v>
      </c>
      <c r="J183" s="422" t="s">
        <v>731</v>
      </c>
      <c r="K183" s="420">
        <v>280</v>
      </c>
      <c r="L183" s="421">
        <v>350</v>
      </c>
      <c r="M183" s="422" t="s">
        <v>287</v>
      </c>
      <c r="N183" s="423">
        <v>7500</v>
      </c>
      <c r="O183" s="424">
        <v>70</v>
      </c>
      <c r="P183" s="441"/>
      <c r="Q183" s="441"/>
      <c r="R183" s="1278">
        <v>2600</v>
      </c>
      <c r="S183" s="1281">
        <v>2800</v>
      </c>
      <c r="T183" s="426" t="s">
        <v>288</v>
      </c>
      <c r="U183" s="427">
        <v>5500</v>
      </c>
      <c r="V183" s="428">
        <v>6200</v>
      </c>
      <c r="W183" s="425">
        <v>3750</v>
      </c>
      <c r="X183" s="429">
        <v>30</v>
      </c>
      <c r="Y183" s="1284">
        <v>4500</v>
      </c>
      <c r="Z183" s="1301"/>
      <c r="AA183" s="464"/>
      <c r="AB183" s="1286">
        <v>4340</v>
      </c>
      <c r="AC183" s="1289">
        <v>40</v>
      </c>
      <c r="AD183" s="1292" t="s">
        <v>290</v>
      </c>
      <c r="AE183" s="1294" t="s">
        <v>290</v>
      </c>
      <c r="AF183" s="1294" t="s">
        <v>290</v>
      </c>
      <c r="AG183" s="1297" t="s">
        <v>290</v>
      </c>
      <c r="AH183" s="1269" t="s">
        <v>296</v>
      </c>
      <c r="AJ183" s="186" t="s">
        <v>390</v>
      </c>
      <c r="AK183" s="181" t="s">
        <v>413</v>
      </c>
      <c r="AL183" s="182">
        <v>705500</v>
      </c>
      <c r="AM183" s="183">
        <v>7050</v>
      </c>
      <c r="AN183" s="156"/>
      <c r="AO183" s="151"/>
    </row>
    <row r="184" spans="1:41" ht="13.5" customHeight="1">
      <c r="A184" s="431" t="s">
        <v>320</v>
      </c>
      <c r="B184" s="432" t="s">
        <v>310</v>
      </c>
      <c r="C184" s="433" t="s">
        <v>336</v>
      </c>
      <c r="D184" s="434">
        <v>42470</v>
      </c>
      <c r="E184" s="435">
        <v>103020</v>
      </c>
      <c r="F184" s="434">
        <v>38260</v>
      </c>
      <c r="G184" s="435">
        <v>98810</v>
      </c>
      <c r="H184" s="436">
        <v>400</v>
      </c>
      <c r="I184" s="437">
        <v>920</v>
      </c>
      <c r="J184" s="438" t="s">
        <v>731</v>
      </c>
      <c r="K184" s="436">
        <v>350</v>
      </c>
      <c r="L184" s="437">
        <v>880</v>
      </c>
      <c r="M184" s="438" t="s">
        <v>287</v>
      </c>
      <c r="N184" s="439">
        <v>7500</v>
      </c>
      <c r="O184" s="440">
        <v>70</v>
      </c>
      <c r="P184" s="462"/>
      <c r="Q184" s="462"/>
      <c r="R184" s="1279"/>
      <c r="S184" s="1282"/>
      <c r="T184" s="393" t="s">
        <v>292</v>
      </c>
      <c r="U184" s="442">
        <v>3000</v>
      </c>
      <c r="V184" s="443">
        <v>3400</v>
      </c>
      <c r="W184" s="441">
        <v>3750</v>
      </c>
      <c r="X184" s="444">
        <v>30</v>
      </c>
      <c r="Y184" s="1285"/>
      <c r="Z184" s="1301"/>
      <c r="AA184" s="464"/>
      <c r="AB184" s="1287"/>
      <c r="AC184" s="1290"/>
      <c r="AD184" s="1293"/>
      <c r="AE184" s="1295"/>
      <c r="AF184" s="1295"/>
      <c r="AG184" s="1298"/>
      <c r="AH184" s="1270"/>
      <c r="AJ184" s="184" t="s">
        <v>322</v>
      </c>
      <c r="AK184" s="173" t="s">
        <v>400</v>
      </c>
      <c r="AL184" s="174">
        <v>250000</v>
      </c>
      <c r="AM184" s="175">
        <v>2500</v>
      </c>
      <c r="AN184" s="156"/>
      <c r="AO184" s="151"/>
    </row>
    <row r="185" spans="1:41" ht="13.5" customHeight="1">
      <c r="A185" s="431" t="s">
        <v>320</v>
      </c>
      <c r="B185" s="432" t="s">
        <v>310</v>
      </c>
      <c r="C185" s="433" t="s">
        <v>337</v>
      </c>
      <c r="D185" s="434">
        <v>103020</v>
      </c>
      <c r="E185" s="435">
        <v>178060</v>
      </c>
      <c r="F185" s="434">
        <v>98810</v>
      </c>
      <c r="G185" s="435">
        <v>173850</v>
      </c>
      <c r="H185" s="436">
        <v>920</v>
      </c>
      <c r="I185" s="437">
        <v>1670</v>
      </c>
      <c r="J185" s="438" t="s">
        <v>731</v>
      </c>
      <c r="K185" s="436">
        <v>880</v>
      </c>
      <c r="L185" s="437">
        <v>1630</v>
      </c>
      <c r="M185" s="438" t="s">
        <v>287</v>
      </c>
      <c r="N185" s="446"/>
      <c r="O185" s="447"/>
      <c r="P185" s="441"/>
      <c r="Q185" s="441"/>
      <c r="R185" s="1279"/>
      <c r="S185" s="1282"/>
      <c r="T185" s="393" t="s">
        <v>293</v>
      </c>
      <c r="U185" s="442">
        <v>2600</v>
      </c>
      <c r="V185" s="443">
        <v>2900</v>
      </c>
      <c r="W185" s="441">
        <v>3750</v>
      </c>
      <c r="X185" s="444">
        <v>30</v>
      </c>
      <c r="Y185" s="448"/>
      <c r="Z185" s="1301"/>
      <c r="AA185" s="464"/>
      <c r="AB185" s="1287"/>
      <c r="AC185" s="1290"/>
      <c r="AD185" s="1271">
        <v>0.02</v>
      </c>
      <c r="AE185" s="1273">
        <v>0.03</v>
      </c>
      <c r="AF185" s="1273">
        <v>0.05</v>
      </c>
      <c r="AG185" s="1275">
        <v>0.06</v>
      </c>
      <c r="AH185" s="1277">
        <v>0.95</v>
      </c>
      <c r="AJ185" s="185" t="s">
        <v>322</v>
      </c>
      <c r="AK185" s="142" t="s">
        <v>401</v>
      </c>
      <c r="AL185" s="178">
        <v>267700</v>
      </c>
      <c r="AM185" s="179">
        <v>2670</v>
      </c>
      <c r="AN185" s="156"/>
      <c r="AO185" s="151"/>
    </row>
    <row r="186" spans="1:41" ht="13.5" customHeight="1">
      <c r="A186" s="431" t="s">
        <v>320</v>
      </c>
      <c r="B186" s="449" t="s">
        <v>310</v>
      </c>
      <c r="C186" s="450" t="s">
        <v>338</v>
      </c>
      <c r="D186" s="451">
        <v>178060</v>
      </c>
      <c r="E186" s="452"/>
      <c r="F186" s="451">
        <v>173850</v>
      </c>
      <c r="G186" s="452"/>
      <c r="H186" s="439">
        <v>1670</v>
      </c>
      <c r="I186" s="453"/>
      <c r="J186" s="454" t="s">
        <v>731</v>
      </c>
      <c r="K186" s="439">
        <v>1630</v>
      </c>
      <c r="L186" s="453"/>
      <c r="M186" s="454" t="s">
        <v>287</v>
      </c>
      <c r="N186" s="446"/>
      <c r="O186" s="455"/>
      <c r="P186" s="441"/>
      <c r="Q186" s="441"/>
      <c r="R186" s="1280"/>
      <c r="S186" s="1283"/>
      <c r="T186" s="456" t="s">
        <v>294</v>
      </c>
      <c r="U186" s="457">
        <v>2400</v>
      </c>
      <c r="V186" s="458">
        <v>2600</v>
      </c>
      <c r="W186" s="459">
        <v>3750</v>
      </c>
      <c r="X186" s="460">
        <v>30</v>
      </c>
      <c r="Y186" s="448"/>
      <c r="Z186" s="1301"/>
      <c r="AA186" s="464"/>
      <c r="AB186" s="1288"/>
      <c r="AC186" s="1291"/>
      <c r="AD186" s="1272"/>
      <c r="AE186" s="1274"/>
      <c r="AF186" s="1274"/>
      <c r="AG186" s="1276"/>
      <c r="AH186" s="1277"/>
      <c r="AJ186" s="185" t="s">
        <v>322</v>
      </c>
      <c r="AK186" s="142" t="s">
        <v>402</v>
      </c>
      <c r="AL186" s="178">
        <v>303300</v>
      </c>
      <c r="AM186" s="179">
        <v>3030</v>
      </c>
      <c r="AN186" s="156"/>
      <c r="AO186" s="151"/>
    </row>
    <row r="187" spans="1:41" ht="13.5" customHeight="1">
      <c r="A187" s="431" t="s">
        <v>320</v>
      </c>
      <c r="B187" s="416" t="s">
        <v>311</v>
      </c>
      <c r="C187" s="417" t="s">
        <v>334</v>
      </c>
      <c r="D187" s="418">
        <v>33630</v>
      </c>
      <c r="E187" s="419">
        <v>41130</v>
      </c>
      <c r="F187" s="418">
        <v>29740</v>
      </c>
      <c r="G187" s="419">
        <v>37240</v>
      </c>
      <c r="H187" s="420">
        <v>310</v>
      </c>
      <c r="I187" s="421">
        <v>380</v>
      </c>
      <c r="J187" s="422" t="s">
        <v>731</v>
      </c>
      <c r="K187" s="420">
        <v>270</v>
      </c>
      <c r="L187" s="421">
        <v>340</v>
      </c>
      <c r="M187" s="422" t="s">
        <v>287</v>
      </c>
      <c r="N187" s="423">
        <v>7500</v>
      </c>
      <c r="O187" s="424">
        <v>70</v>
      </c>
      <c r="P187" s="462"/>
      <c r="Q187" s="462"/>
      <c r="R187" s="1278">
        <v>2400</v>
      </c>
      <c r="S187" s="1281">
        <v>2600</v>
      </c>
      <c r="T187" s="426" t="s">
        <v>288</v>
      </c>
      <c r="U187" s="427">
        <v>5100</v>
      </c>
      <c r="V187" s="428">
        <v>5700</v>
      </c>
      <c r="W187" s="425">
        <v>3460</v>
      </c>
      <c r="X187" s="429">
        <v>30</v>
      </c>
      <c r="Y187" s="1284">
        <v>4500</v>
      </c>
      <c r="Z187" s="1301"/>
      <c r="AA187" s="464"/>
      <c r="AB187" s="1286">
        <v>4010</v>
      </c>
      <c r="AC187" s="1289">
        <v>40</v>
      </c>
      <c r="AD187" s="1292" t="s">
        <v>290</v>
      </c>
      <c r="AE187" s="1294" t="s">
        <v>290</v>
      </c>
      <c r="AF187" s="1294" t="s">
        <v>290</v>
      </c>
      <c r="AG187" s="1297" t="s">
        <v>290</v>
      </c>
      <c r="AH187" s="1269" t="s">
        <v>296</v>
      </c>
      <c r="AJ187" s="185" t="s">
        <v>322</v>
      </c>
      <c r="AK187" s="142" t="s">
        <v>403</v>
      </c>
      <c r="AL187" s="178">
        <v>338900</v>
      </c>
      <c r="AM187" s="179">
        <v>3380</v>
      </c>
      <c r="AN187" s="156"/>
      <c r="AO187" s="151"/>
    </row>
    <row r="188" spans="1:41" ht="13.5" customHeight="1">
      <c r="A188" s="431" t="s">
        <v>320</v>
      </c>
      <c r="B188" s="432" t="s">
        <v>311</v>
      </c>
      <c r="C188" s="433" t="s">
        <v>336</v>
      </c>
      <c r="D188" s="434">
        <v>41130</v>
      </c>
      <c r="E188" s="435">
        <v>101680</v>
      </c>
      <c r="F188" s="434">
        <v>37240</v>
      </c>
      <c r="G188" s="435">
        <v>97790</v>
      </c>
      <c r="H188" s="436">
        <v>380</v>
      </c>
      <c r="I188" s="437">
        <v>910</v>
      </c>
      <c r="J188" s="438" t="s">
        <v>731</v>
      </c>
      <c r="K188" s="436">
        <v>340</v>
      </c>
      <c r="L188" s="437">
        <v>870</v>
      </c>
      <c r="M188" s="438" t="s">
        <v>287</v>
      </c>
      <c r="N188" s="439">
        <v>7500</v>
      </c>
      <c r="O188" s="440">
        <v>70</v>
      </c>
      <c r="P188" s="441"/>
      <c r="Q188" s="441"/>
      <c r="R188" s="1279"/>
      <c r="S188" s="1282"/>
      <c r="T188" s="393" t="s">
        <v>292</v>
      </c>
      <c r="U188" s="442">
        <v>2800</v>
      </c>
      <c r="V188" s="443">
        <v>3100</v>
      </c>
      <c r="W188" s="441">
        <v>3460</v>
      </c>
      <c r="X188" s="444">
        <v>30</v>
      </c>
      <c r="Y188" s="1285"/>
      <c r="Z188" s="1301"/>
      <c r="AA188" s="464"/>
      <c r="AB188" s="1287"/>
      <c r="AC188" s="1290"/>
      <c r="AD188" s="1293"/>
      <c r="AE188" s="1295"/>
      <c r="AF188" s="1295"/>
      <c r="AG188" s="1298"/>
      <c r="AH188" s="1270"/>
      <c r="AJ188" s="185" t="s">
        <v>322</v>
      </c>
      <c r="AK188" s="142" t="s">
        <v>404</v>
      </c>
      <c r="AL188" s="178">
        <v>374500</v>
      </c>
      <c r="AM188" s="179">
        <v>3740</v>
      </c>
      <c r="AN188" s="156"/>
      <c r="AO188" s="151"/>
    </row>
    <row r="189" spans="1:41" ht="13.5" customHeight="1">
      <c r="A189" s="431" t="s">
        <v>320</v>
      </c>
      <c r="B189" s="432" t="s">
        <v>311</v>
      </c>
      <c r="C189" s="433" t="s">
        <v>337</v>
      </c>
      <c r="D189" s="434">
        <v>101680</v>
      </c>
      <c r="E189" s="435">
        <v>176720</v>
      </c>
      <c r="F189" s="434">
        <v>97790</v>
      </c>
      <c r="G189" s="435">
        <v>172830</v>
      </c>
      <c r="H189" s="436">
        <v>910</v>
      </c>
      <c r="I189" s="437">
        <v>1660</v>
      </c>
      <c r="J189" s="438" t="s">
        <v>731</v>
      </c>
      <c r="K189" s="436">
        <v>870</v>
      </c>
      <c r="L189" s="437">
        <v>1620</v>
      </c>
      <c r="M189" s="438" t="s">
        <v>287</v>
      </c>
      <c r="N189" s="446"/>
      <c r="O189" s="447"/>
      <c r="P189" s="441"/>
      <c r="Q189" s="441"/>
      <c r="R189" s="1279"/>
      <c r="S189" s="1282"/>
      <c r="T189" s="393" t="s">
        <v>293</v>
      </c>
      <c r="U189" s="442">
        <v>2400</v>
      </c>
      <c r="V189" s="443">
        <v>2700</v>
      </c>
      <c r="W189" s="441">
        <v>3460</v>
      </c>
      <c r="X189" s="444">
        <v>30</v>
      </c>
      <c r="Y189" s="448"/>
      <c r="Z189" s="1301"/>
      <c r="AA189" s="464"/>
      <c r="AB189" s="1287"/>
      <c r="AC189" s="1290"/>
      <c r="AD189" s="1271">
        <v>0.02</v>
      </c>
      <c r="AE189" s="1273">
        <v>0.03</v>
      </c>
      <c r="AF189" s="1273">
        <v>0.05</v>
      </c>
      <c r="AG189" s="1275">
        <v>0.06</v>
      </c>
      <c r="AH189" s="1277">
        <v>0.97</v>
      </c>
      <c r="AJ189" s="185" t="s">
        <v>322</v>
      </c>
      <c r="AK189" s="142" t="s">
        <v>405</v>
      </c>
      <c r="AL189" s="178">
        <v>410100</v>
      </c>
      <c r="AM189" s="179">
        <v>4100</v>
      </c>
      <c r="AN189" s="156"/>
      <c r="AO189" s="151"/>
    </row>
    <row r="190" spans="1:41" ht="13.5" customHeight="1">
      <c r="A190" s="431" t="s">
        <v>320</v>
      </c>
      <c r="B190" s="449" t="s">
        <v>311</v>
      </c>
      <c r="C190" s="450" t="s">
        <v>338</v>
      </c>
      <c r="D190" s="451">
        <v>176720</v>
      </c>
      <c r="E190" s="452"/>
      <c r="F190" s="451">
        <v>172830</v>
      </c>
      <c r="G190" s="452"/>
      <c r="H190" s="439">
        <v>1660</v>
      </c>
      <c r="I190" s="453"/>
      <c r="J190" s="454" t="s">
        <v>731</v>
      </c>
      <c r="K190" s="439">
        <v>1620</v>
      </c>
      <c r="L190" s="453"/>
      <c r="M190" s="454" t="s">
        <v>287</v>
      </c>
      <c r="N190" s="446"/>
      <c r="O190" s="455"/>
      <c r="P190" s="462"/>
      <c r="Q190" s="462"/>
      <c r="R190" s="1280"/>
      <c r="S190" s="1283"/>
      <c r="T190" s="456" t="s">
        <v>294</v>
      </c>
      <c r="U190" s="457">
        <v>2200</v>
      </c>
      <c r="V190" s="458">
        <v>2400</v>
      </c>
      <c r="W190" s="459">
        <v>3460</v>
      </c>
      <c r="X190" s="460">
        <v>30</v>
      </c>
      <c r="Y190" s="448"/>
      <c r="Z190" s="1301"/>
      <c r="AA190" s="464"/>
      <c r="AB190" s="1288"/>
      <c r="AC190" s="1291"/>
      <c r="AD190" s="1272"/>
      <c r="AE190" s="1274"/>
      <c r="AF190" s="1274"/>
      <c r="AG190" s="1276"/>
      <c r="AH190" s="1277"/>
      <c r="AJ190" s="185" t="s">
        <v>322</v>
      </c>
      <c r="AK190" s="142" t="s">
        <v>406</v>
      </c>
      <c r="AL190" s="178">
        <v>445700</v>
      </c>
      <c r="AM190" s="179">
        <v>4450</v>
      </c>
      <c r="AN190" s="156"/>
      <c r="AO190" s="151"/>
    </row>
    <row r="191" spans="1:41" ht="13.5" customHeight="1">
      <c r="A191" s="431" t="s">
        <v>320</v>
      </c>
      <c r="B191" s="416" t="s">
        <v>312</v>
      </c>
      <c r="C191" s="417" t="s">
        <v>334</v>
      </c>
      <c r="D191" s="418">
        <v>32510</v>
      </c>
      <c r="E191" s="419">
        <v>40010</v>
      </c>
      <c r="F191" s="418">
        <v>28900</v>
      </c>
      <c r="G191" s="419">
        <v>36400</v>
      </c>
      <c r="H191" s="420">
        <v>300</v>
      </c>
      <c r="I191" s="421">
        <v>370</v>
      </c>
      <c r="J191" s="422" t="s">
        <v>731</v>
      </c>
      <c r="K191" s="420">
        <v>270</v>
      </c>
      <c r="L191" s="421">
        <v>340</v>
      </c>
      <c r="M191" s="422" t="s">
        <v>287</v>
      </c>
      <c r="N191" s="423">
        <v>7500</v>
      </c>
      <c r="O191" s="424">
        <v>70</v>
      </c>
      <c r="P191" s="441"/>
      <c r="Q191" s="441"/>
      <c r="R191" s="1278">
        <v>2600</v>
      </c>
      <c r="S191" s="1281">
        <v>2800</v>
      </c>
      <c r="T191" s="426" t="s">
        <v>288</v>
      </c>
      <c r="U191" s="427">
        <v>5500</v>
      </c>
      <c r="V191" s="428">
        <v>6200</v>
      </c>
      <c r="W191" s="425">
        <v>3210</v>
      </c>
      <c r="X191" s="429">
        <v>30</v>
      </c>
      <c r="Y191" s="1284">
        <v>4500</v>
      </c>
      <c r="Z191" s="1301"/>
      <c r="AA191" s="464"/>
      <c r="AB191" s="1286">
        <v>3720</v>
      </c>
      <c r="AC191" s="1289">
        <v>30</v>
      </c>
      <c r="AD191" s="1292" t="s">
        <v>290</v>
      </c>
      <c r="AE191" s="1294" t="s">
        <v>290</v>
      </c>
      <c r="AF191" s="1294" t="s">
        <v>290</v>
      </c>
      <c r="AG191" s="1297" t="s">
        <v>290</v>
      </c>
      <c r="AH191" s="1269" t="s">
        <v>296</v>
      </c>
      <c r="AJ191" s="185" t="s">
        <v>322</v>
      </c>
      <c r="AK191" s="142" t="s">
        <v>407</v>
      </c>
      <c r="AL191" s="178">
        <v>481200</v>
      </c>
      <c r="AM191" s="179">
        <v>4810</v>
      </c>
      <c r="AN191" s="156"/>
      <c r="AO191" s="151"/>
    </row>
    <row r="192" spans="1:41" ht="13.5" customHeight="1">
      <c r="A192" s="431" t="s">
        <v>320</v>
      </c>
      <c r="B192" s="432" t="s">
        <v>312</v>
      </c>
      <c r="C192" s="433" t="s">
        <v>336</v>
      </c>
      <c r="D192" s="434">
        <v>40010</v>
      </c>
      <c r="E192" s="435">
        <v>100560</v>
      </c>
      <c r="F192" s="434">
        <v>36400</v>
      </c>
      <c r="G192" s="435">
        <v>96950</v>
      </c>
      <c r="H192" s="436">
        <v>370</v>
      </c>
      <c r="I192" s="437">
        <v>900</v>
      </c>
      <c r="J192" s="438" t="s">
        <v>731</v>
      </c>
      <c r="K192" s="436">
        <v>340</v>
      </c>
      <c r="L192" s="437">
        <v>860</v>
      </c>
      <c r="M192" s="438" t="s">
        <v>287</v>
      </c>
      <c r="N192" s="439">
        <v>7500</v>
      </c>
      <c r="O192" s="440">
        <v>70</v>
      </c>
      <c r="P192" s="441"/>
      <c r="Q192" s="441"/>
      <c r="R192" s="1279"/>
      <c r="S192" s="1282"/>
      <c r="T192" s="393" t="s">
        <v>292</v>
      </c>
      <c r="U192" s="442">
        <v>3000</v>
      </c>
      <c r="V192" s="443">
        <v>3400</v>
      </c>
      <c r="W192" s="441">
        <v>3210</v>
      </c>
      <c r="X192" s="444">
        <v>30</v>
      </c>
      <c r="Y192" s="1285"/>
      <c r="Z192" s="1301"/>
      <c r="AA192" s="464"/>
      <c r="AB192" s="1287"/>
      <c r="AC192" s="1290"/>
      <c r="AD192" s="1293"/>
      <c r="AE192" s="1295"/>
      <c r="AF192" s="1295"/>
      <c r="AG192" s="1298"/>
      <c r="AH192" s="1270"/>
      <c r="AJ192" s="185" t="s">
        <v>322</v>
      </c>
      <c r="AK192" s="142" t="s">
        <v>408</v>
      </c>
      <c r="AL192" s="178">
        <v>516800</v>
      </c>
      <c r="AM192" s="179">
        <v>5160</v>
      </c>
      <c r="AN192" s="156"/>
      <c r="AO192" s="151"/>
    </row>
    <row r="193" spans="1:41" ht="13.5" customHeight="1">
      <c r="A193" s="431" t="s">
        <v>320</v>
      </c>
      <c r="B193" s="432" t="s">
        <v>312</v>
      </c>
      <c r="C193" s="433" t="s">
        <v>337</v>
      </c>
      <c r="D193" s="434">
        <v>100560</v>
      </c>
      <c r="E193" s="435">
        <v>175600</v>
      </c>
      <c r="F193" s="434">
        <v>96950</v>
      </c>
      <c r="G193" s="435">
        <v>171990</v>
      </c>
      <c r="H193" s="436">
        <v>900</v>
      </c>
      <c r="I193" s="437">
        <v>1650</v>
      </c>
      <c r="J193" s="438" t="s">
        <v>731</v>
      </c>
      <c r="K193" s="436">
        <v>860</v>
      </c>
      <c r="L193" s="437">
        <v>1610</v>
      </c>
      <c r="M193" s="438" t="s">
        <v>287</v>
      </c>
      <c r="N193" s="446"/>
      <c r="O193" s="447"/>
      <c r="P193" s="462"/>
      <c r="Q193" s="462"/>
      <c r="R193" s="1279"/>
      <c r="S193" s="1282"/>
      <c r="T193" s="393" t="s">
        <v>293</v>
      </c>
      <c r="U193" s="442">
        <v>2600</v>
      </c>
      <c r="V193" s="443">
        <v>2900</v>
      </c>
      <c r="W193" s="441">
        <v>3210</v>
      </c>
      <c r="X193" s="444">
        <v>30</v>
      </c>
      <c r="Y193" s="448"/>
      <c r="Z193" s="1301"/>
      <c r="AA193" s="464"/>
      <c r="AB193" s="1287"/>
      <c r="AC193" s="1290"/>
      <c r="AD193" s="1271">
        <v>0.02</v>
      </c>
      <c r="AE193" s="1273">
        <v>0.03</v>
      </c>
      <c r="AF193" s="1273">
        <v>0.05</v>
      </c>
      <c r="AG193" s="1275">
        <v>0.06</v>
      </c>
      <c r="AH193" s="1277">
        <v>0.98</v>
      </c>
      <c r="AJ193" s="185" t="s">
        <v>322</v>
      </c>
      <c r="AK193" s="142" t="s">
        <v>409</v>
      </c>
      <c r="AL193" s="178">
        <v>552400</v>
      </c>
      <c r="AM193" s="179">
        <v>5520</v>
      </c>
      <c r="AN193" s="156"/>
      <c r="AO193" s="151"/>
    </row>
    <row r="194" spans="1:41" ht="13.5" customHeight="1">
      <c r="A194" s="431" t="s">
        <v>320</v>
      </c>
      <c r="B194" s="449" t="s">
        <v>312</v>
      </c>
      <c r="C194" s="450" t="s">
        <v>338</v>
      </c>
      <c r="D194" s="451">
        <v>175600</v>
      </c>
      <c r="E194" s="452"/>
      <c r="F194" s="451">
        <v>171990</v>
      </c>
      <c r="G194" s="452"/>
      <c r="H194" s="439">
        <v>1650</v>
      </c>
      <c r="I194" s="453"/>
      <c r="J194" s="454" t="s">
        <v>731</v>
      </c>
      <c r="K194" s="439">
        <v>1610</v>
      </c>
      <c r="L194" s="453"/>
      <c r="M194" s="454" t="s">
        <v>287</v>
      </c>
      <c r="N194" s="446"/>
      <c r="O194" s="455"/>
      <c r="P194" s="441"/>
      <c r="Q194" s="441"/>
      <c r="R194" s="1280"/>
      <c r="S194" s="1283"/>
      <c r="T194" s="456" t="s">
        <v>294</v>
      </c>
      <c r="U194" s="457">
        <v>2400</v>
      </c>
      <c r="V194" s="458">
        <v>2600</v>
      </c>
      <c r="W194" s="459">
        <v>3210</v>
      </c>
      <c r="X194" s="460">
        <v>30</v>
      </c>
      <c r="Y194" s="448"/>
      <c r="Z194" s="1301"/>
      <c r="AA194" s="464"/>
      <c r="AB194" s="1288"/>
      <c r="AC194" s="1291"/>
      <c r="AD194" s="1272"/>
      <c r="AE194" s="1274"/>
      <c r="AF194" s="1274"/>
      <c r="AG194" s="1276"/>
      <c r="AH194" s="1277"/>
      <c r="AJ194" s="185" t="s">
        <v>322</v>
      </c>
      <c r="AK194" s="142" t="s">
        <v>410</v>
      </c>
      <c r="AL194" s="178">
        <v>588000</v>
      </c>
      <c r="AM194" s="179">
        <v>5580</v>
      </c>
      <c r="AN194" s="156"/>
      <c r="AO194" s="151"/>
    </row>
    <row r="195" spans="1:41" ht="13.5" customHeight="1">
      <c r="A195" s="431" t="s">
        <v>320</v>
      </c>
      <c r="B195" s="416" t="s">
        <v>313</v>
      </c>
      <c r="C195" s="417" t="s">
        <v>334</v>
      </c>
      <c r="D195" s="418">
        <v>31520</v>
      </c>
      <c r="E195" s="419">
        <v>39020</v>
      </c>
      <c r="F195" s="418">
        <v>28150</v>
      </c>
      <c r="G195" s="419">
        <v>35650</v>
      </c>
      <c r="H195" s="420">
        <v>290</v>
      </c>
      <c r="I195" s="421">
        <v>360</v>
      </c>
      <c r="J195" s="422" t="s">
        <v>731</v>
      </c>
      <c r="K195" s="420">
        <v>260</v>
      </c>
      <c r="L195" s="421">
        <v>330</v>
      </c>
      <c r="M195" s="422" t="s">
        <v>287</v>
      </c>
      <c r="N195" s="423">
        <v>7500</v>
      </c>
      <c r="O195" s="424">
        <v>70</v>
      </c>
      <c r="P195" s="441"/>
      <c r="Q195" s="441"/>
      <c r="R195" s="1278">
        <v>2400</v>
      </c>
      <c r="S195" s="1281">
        <v>2600</v>
      </c>
      <c r="T195" s="426" t="s">
        <v>288</v>
      </c>
      <c r="U195" s="427">
        <v>5400</v>
      </c>
      <c r="V195" s="428">
        <v>6000</v>
      </c>
      <c r="W195" s="425">
        <v>3000</v>
      </c>
      <c r="X195" s="429">
        <v>30</v>
      </c>
      <c r="Y195" s="1284">
        <v>4500</v>
      </c>
      <c r="Z195" s="1301"/>
      <c r="AA195" s="464"/>
      <c r="AB195" s="1286">
        <v>3470</v>
      </c>
      <c r="AC195" s="1289">
        <v>30</v>
      </c>
      <c r="AD195" s="1292" t="s">
        <v>290</v>
      </c>
      <c r="AE195" s="1294" t="s">
        <v>290</v>
      </c>
      <c r="AF195" s="1294" t="s">
        <v>290</v>
      </c>
      <c r="AG195" s="1297" t="s">
        <v>290</v>
      </c>
      <c r="AH195" s="1269" t="s">
        <v>296</v>
      </c>
      <c r="AJ195" s="185" t="s">
        <v>322</v>
      </c>
      <c r="AK195" s="142" t="s">
        <v>411</v>
      </c>
      <c r="AL195" s="178">
        <v>623600</v>
      </c>
      <c r="AM195" s="179">
        <v>6230</v>
      </c>
      <c r="AN195" s="156"/>
      <c r="AO195" s="151"/>
    </row>
    <row r="196" spans="1:41" ht="13.5" customHeight="1">
      <c r="A196" s="431" t="s">
        <v>320</v>
      </c>
      <c r="B196" s="432" t="s">
        <v>313</v>
      </c>
      <c r="C196" s="433" t="s">
        <v>336</v>
      </c>
      <c r="D196" s="434">
        <v>39020</v>
      </c>
      <c r="E196" s="435">
        <v>99570</v>
      </c>
      <c r="F196" s="434">
        <v>35650</v>
      </c>
      <c r="G196" s="435">
        <v>96200</v>
      </c>
      <c r="H196" s="436">
        <v>360</v>
      </c>
      <c r="I196" s="437">
        <v>890</v>
      </c>
      <c r="J196" s="438" t="s">
        <v>731</v>
      </c>
      <c r="K196" s="436">
        <v>330</v>
      </c>
      <c r="L196" s="437">
        <v>850</v>
      </c>
      <c r="M196" s="438" t="s">
        <v>287</v>
      </c>
      <c r="N196" s="439">
        <v>7500</v>
      </c>
      <c r="O196" s="440">
        <v>70</v>
      </c>
      <c r="P196" s="462"/>
      <c r="Q196" s="462"/>
      <c r="R196" s="1279"/>
      <c r="S196" s="1282"/>
      <c r="T196" s="393" t="s">
        <v>292</v>
      </c>
      <c r="U196" s="442">
        <v>2900</v>
      </c>
      <c r="V196" s="443">
        <v>3300</v>
      </c>
      <c r="W196" s="441">
        <v>3000</v>
      </c>
      <c r="X196" s="444">
        <v>30</v>
      </c>
      <c r="Y196" s="1285"/>
      <c r="Z196" s="1301"/>
      <c r="AA196" s="464"/>
      <c r="AB196" s="1287"/>
      <c r="AC196" s="1290"/>
      <c r="AD196" s="1293"/>
      <c r="AE196" s="1295"/>
      <c r="AF196" s="1295"/>
      <c r="AG196" s="1298"/>
      <c r="AH196" s="1270"/>
      <c r="AJ196" s="185" t="s">
        <v>322</v>
      </c>
      <c r="AK196" s="142" t="s">
        <v>412</v>
      </c>
      <c r="AL196" s="178">
        <v>659200</v>
      </c>
      <c r="AM196" s="179">
        <v>6590</v>
      </c>
      <c r="AN196" s="156"/>
      <c r="AO196" s="151"/>
    </row>
    <row r="197" spans="1:41" ht="13.5" customHeight="1" thickBot="1">
      <c r="A197" s="431" t="s">
        <v>320</v>
      </c>
      <c r="B197" s="432" t="s">
        <v>313</v>
      </c>
      <c r="C197" s="433" t="s">
        <v>337</v>
      </c>
      <c r="D197" s="434">
        <v>99570</v>
      </c>
      <c r="E197" s="435">
        <v>174610</v>
      </c>
      <c r="F197" s="434">
        <v>96200</v>
      </c>
      <c r="G197" s="435">
        <v>171240</v>
      </c>
      <c r="H197" s="436">
        <v>890</v>
      </c>
      <c r="I197" s="437">
        <v>1640</v>
      </c>
      <c r="J197" s="438" t="s">
        <v>731</v>
      </c>
      <c r="K197" s="436">
        <v>850</v>
      </c>
      <c r="L197" s="437">
        <v>1600</v>
      </c>
      <c r="M197" s="438" t="s">
        <v>287</v>
      </c>
      <c r="N197" s="446"/>
      <c r="O197" s="447"/>
      <c r="P197" s="441"/>
      <c r="Q197" s="441"/>
      <c r="R197" s="1279"/>
      <c r="S197" s="1282"/>
      <c r="T197" s="393" t="s">
        <v>293</v>
      </c>
      <c r="U197" s="442">
        <v>2500</v>
      </c>
      <c r="V197" s="443">
        <v>2800</v>
      </c>
      <c r="W197" s="441">
        <v>3000</v>
      </c>
      <c r="X197" s="444">
        <v>30</v>
      </c>
      <c r="Y197" s="448"/>
      <c r="Z197" s="1301"/>
      <c r="AA197" s="464"/>
      <c r="AB197" s="1287"/>
      <c r="AC197" s="1290"/>
      <c r="AD197" s="1271">
        <v>0.02</v>
      </c>
      <c r="AE197" s="1273">
        <v>0.03</v>
      </c>
      <c r="AF197" s="1273">
        <v>0.05</v>
      </c>
      <c r="AG197" s="1275">
        <v>0.06</v>
      </c>
      <c r="AH197" s="1277">
        <v>0.98</v>
      </c>
      <c r="AJ197" s="186" t="s">
        <v>322</v>
      </c>
      <c r="AK197" s="181" t="s">
        <v>413</v>
      </c>
      <c r="AL197" s="182">
        <v>694700</v>
      </c>
      <c r="AM197" s="183">
        <v>6940</v>
      </c>
      <c r="AN197" s="156"/>
      <c r="AO197" s="151"/>
    </row>
    <row r="198" spans="1:41" ht="13.5" customHeight="1">
      <c r="A198" s="431" t="s">
        <v>320</v>
      </c>
      <c r="B198" s="449" t="s">
        <v>313</v>
      </c>
      <c r="C198" s="450" t="s">
        <v>338</v>
      </c>
      <c r="D198" s="451">
        <v>174610</v>
      </c>
      <c r="E198" s="452"/>
      <c r="F198" s="451">
        <v>171240</v>
      </c>
      <c r="G198" s="452"/>
      <c r="H198" s="439">
        <v>1640</v>
      </c>
      <c r="I198" s="453"/>
      <c r="J198" s="454" t="s">
        <v>731</v>
      </c>
      <c r="K198" s="439">
        <v>1600</v>
      </c>
      <c r="L198" s="453"/>
      <c r="M198" s="454" t="s">
        <v>287</v>
      </c>
      <c r="N198" s="446"/>
      <c r="O198" s="455"/>
      <c r="P198" s="441"/>
      <c r="Q198" s="441"/>
      <c r="R198" s="1280"/>
      <c r="S198" s="1283"/>
      <c r="T198" s="456" t="s">
        <v>294</v>
      </c>
      <c r="U198" s="457">
        <v>2300</v>
      </c>
      <c r="V198" s="458">
        <v>2500</v>
      </c>
      <c r="W198" s="459">
        <v>3000</v>
      </c>
      <c r="X198" s="460">
        <v>30</v>
      </c>
      <c r="Y198" s="448"/>
      <c r="Z198" s="1301"/>
      <c r="AA198" s="464"/>
      <c r="AB198" s="1288"/>
      <c r="AC198" s="1291"/>
      <c r="AD198" s="1272"/>
      <c r="AE198" s="1274"/>
      <c r="AF198" s="1274"/>
      <c r="AG198" s="1276"/>
      <c r="AH198" s="1277"/>
      <c r="AJ198" s="184" t="s">
        <v>391</v>
      </c>
      <c r="AK198" s="173" t="s">
        <v>400</v>
      </c>
      <c r="AL198" s="174">
        <v>243400</v>
      </c>
      <c r="AM198" s="175">
        <v>2430</v>
      </c>
      <c r="AN198" s="156"/>
      <c r="AO198" s="151"/>
    </row>
    <row r="199" spans="1:41" ht="13.5" customHeight="1">
      <c r="A199" s="431" t="s">
        <v>320</v>
      </c>
      <c r="B199" s="416" t="s">
        <v>314</v>
      </c>
      <c r="C199" s="417" t="s">
        <v>334</v>
      </c>
      <c r="D199" s="418">
        <v>31510</v>
      </c>
      <c r="E199" s="419">
        <v>39010</v>
      </c>
      <c r="F199" s="418">
        <v>28350</v>
      </c>
      <c r="G199" s="419">
        <v>35850</v>
      </c>
      <c r="H199" s="420">
        <v>290</v>
      </c>
      <c r="I199" s="421">
        <v>360</v>
      </c>
      <c r="J199" s="422" t="s">
        <v>731</v>
      </c>
      <c r="K199" s="420">
        <v>260</v>
      </c>
      <c r="L199" s="421">
        <v>330</v>
      </c>
      <c r="M199" s="422" t="s">
        <v>287</v>
      </c>
      <c r="N199" s="423">
        <v>7500</v>
      </c>
      <c r="O199" s="424">
        <v>70</v>
      </c>
      <c r="P199" s="462"/>
      <c r="Q199" s="462"/>
      <c r="R199" s="1278">
        <v>2200</v>
      </c>
      <c r="S199" s="1281">
        <v>2500</v>
      </c>
      <c r="T199" s="426" t="s">
        <v>288</v>
      </c>
      <c r="U199" s="427">
        <v>4800</v>
      </c>
      <c r="V199" s="428">
        <v>5400</v>
      </c>
      <c r="W199" s="425">
        <v>2810</v>
      </c>
      <c r="X199" s="429">
        <v>20</v>
      </c>
      <c r="Y199" s="1284">
        <v>4500</v>
      </c>
      <c r="Z199" s="1301"/>
      <c r="AA199" s="464"/>
      <c r="AB199" s="1286">
        <v>3250</v>
      </c>
      <c r="AC199" s="1289">
        <v>30</v>
      </c>
      <c r="AD199" s="1292" t="s">
        <v>290</v>
      </c>
      <c r="AE199" s="1294" t="s">
        <v>290</v>
      </c>
      <c r="AF199" s="1294" t="s">
        <v>290</v>
      </c>
      <c r="AG199" s="1297" t="s">
        <v>290</v>
      </c>
      <c r="AH199" s="1269" t="s">
        <v>296</v>
      </c>
      <c r="AJ199" s="185" t="s">
        <v>391</v>
      </c>
      <c r="AK199" s="142" t="s">
        <v>401</v>
      </c>
      <c r="AL199" s="178">
        <v>260600</v>
      </c>
      <c r="AM199" s="179">
        <v>2600</v>
      </c>
      <c r="AN199" s="156"/>
      <c r="AO199" s="151"/>
    </row>
    <row r="200" spans="1:41" ht="13.5" customHeight="1">
      <c r="A200" s="431" t="s">
        <v>320</v>
      </c>
      <c r="B200" s="432" t="s">
        <v>314</v>
      </c>
      <c r="C200" s="433" t="s">
        <v>336</v>
      </c>
      <c r="D200" s="434">
        <v>39010</v>
      </c>
      <c r="E200" s="435">
        <v>99560</v>
      </c>
      <c r="F200" s="434">
        <v>35850</v>
      </c>
      <c r="G200" s="435">
        <v>96400</v>
      </c>
      <c r="H200" s="436">
        <v>360</v>
      </c>
      <c r="I200" s="437">
        <v>890</v>
      </c>
      <c r="J200" s="438" t="s">
        <v>731</v>
      </c>
      <c r="K200" s="436">
        <v>330</v>
      </c>
      <c r="L200" s="437">
        <v>850</v>
      </c>
      <c r="M200" s="438" t="s">
        <v>287</v>
      </c>
      <c r="N200" s="439">
        <v>7500</v>
      </c>
      <c r="O200" s="440">
        <v>70</v>
      </c>
      <c r="P200" s="462"/>
      <c r="Q200" s="462"/>
      <c r="R200" s="1279"/>
      <c r="S200" s="1282"/>
      <c r="T200" s="393" t="s">
        <v>292</v>
      </c>
      <c r="U200" s="442">
        <v>2600</v>
      </c>
      <c r="V200" s="443">
        <v>2900</v>
      </c>
      <c r="W200" s="441">
        <v>2810</v>
      </c>
      <c r="X200" s="444">
        <v>20</v>
      </c>
      <c r="Y200" s="1285"/>
      <c r="Z200" s="1301"/>
      <c r="AA200" s="464"/>
      <c r="AB200" s="1287"/>
      <c r="AC200" s="1290"/>
      <c r="AD200" s="1293"/>
      <c r="AE200" s="1295"/>
      <c r="AF200" s="1295"/>
      <c r="AG200" s="1298"/>
      <c r="AH200" s="1270"/>
      <c r="AJ200" s="185" t="s">
        <v>391</v>
      </c>
      <c r="AK200" s="142" t="s">
        <v>402</v>
      </c>
      <c r="AL200" s="178">
        <v>295000</v>
      </c>
      <c r="AM200" s="179">
        <v>2950</v>
      </c>
      <c r="AN200" s="156"/>
      <c r="AO200" s="151"/>
    </row>
    <row r="201" spans="1:41" ht="13.5" customHeight="1">
      <c r="A201" s="431" t="s">
        <v>320</v>
      </c>
      <c r="B201" s="432" t="s">
        <v>314</v>
      </c>
      <c r="C201" s="433" t="s">
        <v>337</v>
      </c>
      <c r="D201" s="434">
        <v>99560</v>
      </c>
      <c r="E201" s="435">
        <v>174600</v>
      </c>
      <c r="F201" s="434">
        <v>96400</v>
      </c>
      <c r="G201" s="435">
        <v>171440</v>
      </c>
      <c r="H201" s="436">
        <v>890</v>
      </c>
      <c r="I201" s="437">
        <v>1640</v>
      </c>
      <c r="J201" s="438" t="s">
        <v>731</v>
      </c>
      <c r="K201" s="436">
        <v>850</v>
      </c>
      <c r="L201" s="437">
        <v>1600</v>
      </c>
      <c r="M201" s="438" t="s">
        <v>287</v>
      </c>
      <c r="N201" s="446"/>
      <c r="O201" s="447"/>
      <c r="P201" s="462"/>
      <c r="Q201" s="462"/>
      <c r="R201" s="1279"/>
      <c r="S201" s="1282"/>
      <c r="T201" s="393" t="s">
        <v>293</v>
      </c>
      <c r="U201" s="442">
        <v>2300</v>
      </c>
      <c r="V201" s="443">
        <v>2500</v>
      </c>
      <c r="W201" s="441">
        <v>2810</v>
      </c>
      <c r="X201" s="444">
        <v>20</v>
      </c>
      <c r="Y201" s="448"/>
      <c r="Z201" s="1301"/>
      <c r="AA201" s="464"/>
      <c r="AB201" s="1287"/>
      <c r="AC201" s="1290"/>
      <c r="AD201" s="1271">
        <v>0.02</v>
      </c>
      <c r="AE201" s="1273">
        <v>0.03</v>
      </c>
      <c r="AF201" s="1273">
        <v>0.05</v>
      </c>
      <c r="AG201" s="1275">
        <v>0.06</v>
      </c>
      <c r="AH201" s="1277">
        <v>0.98</v>
      </c>
      <c r="AJ201" s="185" t="s">
        <v>391</v>
      </c>
      <c r="AK201" s="142" t="s">
        <v>403</v>
      </c>
      <c r="AL201" s="178">
        <v>329400</v>
      </c>
      <c r="AM201" s="179">
        <v>3290</v>
      </c>
      <c r="AN201" s="156"/>
      <c r="AO201" s="151"/>
    </row>
    <row r="202" spans="1:41" ht="13.5" customHeight="1">
      <c r="A202" s="431" t="s">
        <v>320</v>
      </c>
      <c r="B202" s="449" t="s">
        <v>314</v>
      </c>
      <c r="C202" s="450" t="s">
        <v>338</v>
      </c>
      <c r="D202" s="451">
        <v>174600</v>
      </c>
      <c r="E202" s="452"/>
      <c r="F202" s="451">
        <v>171440</v>
      </c>
      <c r="G202" s="452"/>
      <c r="H202" s="439">
        <v>1640</v>
      </c>
      <c r="I202" s="453"/>
      <c r="J202" s="454" t="s">
        <v>731</v>
      </c>
      <c r="K202" s="439">
        <v>1600</v>
      </c>
      <c r="L202" s="453"/>
      <c r="M202" s="454" t="s">
        <v>287</v>
      </c>
      <c r="N202" s="446"/>
      <c r="O202" s="455"/>
      <c r="P202" s="462"/>
      <c r="Q202" s="462"/>
      <c r="R202" s="1280"/>
      <c r="S202" s="1283"/>
      <c r="T202" s="456" t="s">
        <v>294</v>
      </c>
      <c r="U202" s="457">
        <v>2000</v>
      </c>
      <c r="V202" s="458">
        <v>2300</v>
      </c>
      <c r="W202" s="459">
        <v>2810</v>
      </c>
      <c r="X202" s="460">
        <v>20</v>
      </c>
      <c r="Y202" s="448"/>
      <c r="Z202" s="1301"/>
      <c r="AA202" s="464"/>
      <c r="AB202" s="1288"/>
      <c r="AC202" s="1291"/>
      <c r="AD202" s="1272"/>
      <c r="AE202" s="1274"/>
      <c r="AF202" s="1274"/>
      <c r="AG202" s="1276"/>
      <c r="AH202" s="1277"/>
      <c r="AJ202" s="185" t="s">
        <v>391</v>
      </c>
      <c r="AK202" s="142" t="s">
        <v>404</v>
      </c>
      <c r="AL202" s="178">
        <v>363800</v>
      </c>
      <c r="AM202" s="179">
        <v>3630</v>
      </c>
      <c r="AN202" s="156"/>
      <c r="AO202" s="151"/>
    </row>
    <row r="203" spans="1:41" ht="13.5" customHeight="1">
      <c r="A203" s="431" t="s">
        <v>320</v>
      </c>
      <c r="B203" s="416" t="s">
        <v>315</v>
      </c>
      <c r="C203" s="417" t="s">
        <v>334</v>
      </c>
      <c r="D203" s="418">
        <v>30720</v>
      </c>
      <c r="E203" s="419">
        <v>38220</v>
      </c>
      <c r="F203" s="418">
        <v>27740</v>
      </c>
      <c r="G203" s="419">
        <v>35240</v>
      </c>
      <c r="H203" s="420">
        <v>280</v>
      </c>
      <c r="I203" s="421">
        <v>350</v>
      </c>
      <c r="J203" s="422" t="s">
        <v>731</v>
      </c>
      <c r="K203" s="420">
        <v>250</v>
      </c>
      <c r="L203" s="421">
        <v>320</v>
      </c>
      <c r="M203" s="422" t="s">
        <v>287</v>
      </c>
      <c r="N203" s="423">
        <v>7500</v>
      </c>
      <c r="O203" s="424">
        <v>70</v>
      </c>
      <c r="P203" s="462"/>
      <c r="Q203" s="462"/>
      <c r="R203" s="1278">
        <v>2400</v>
      </c>
      <c r="S203" s="1281">
        <v>2600</v>
      </c>
      <c r="T203" s="426" t="s">
        <v>288</v>
      </c>
      <c r="U203" s="427">
        <v>5400</v>
      </c>
      <c r="V203" s="428">
        <v>6000</v>
      </c>
      <c r="W203" s="425">
        <v>2640</v>
      </c>
      <c r="X203" s="429">
        <v>20</v>
      </c>
      <c r="Y203" s="1284">
        <v>4500</v>
      </c>
      <c r="Z203" s="1301"/>
      <c r="AA203" s="464"/>
      <c r="AB203" s="1286">
        <v>3060</v>
      </c>
      <c r="AC203" s="1289">
        <v>30</v>
      </c>
      <c r="AD203" s="1292" t="s">
        <v>290</v>
      </c>
      <c r="AE203" s="1294" t="s">
        <v>290</v>
      </c>
      <c r="AF203" s="1294" t="s">
        <v>290</v>
      </c>
      <c r="AG203" s="1297" t="s">
        <v>290</v>
      </c>
      <c r="AH203" s="1269" t="s">
        <v>296</v>
      </c>
      <c r="AJ203" s="185" t="s">
        <v>391</v>
      </c>
      <c r="AK203" s="142" t="s">
        <v>405</v>
      </c>
      <c r="AL203" s="178">
        <v>398200</v>
      </c>
      <c r="AM203" s="179">
        <v>3980</v>
      </c>
      <c r="AN203" s="156"/>
      <c r="AO203" s="151"/>
    </row>
    <row r="204" spans="1:41" ht="13.5" customHeight="1">
      <c r="A204" s="431" t="s">
        <v>320</v>
      </c>
      <c r="B204" s="432" t="s">
        <v>315</v>
      </c>
      <c r="C204" s="433" t="s">
        <v>336</v>
      </c>
      <c r="D204" s="434">
        <v>38220</v>
      </c>
      <c r="E204" s="435">
        <v>98770</v>
      </c>
      <c r="F204" s="434">
        <v>35240</v>
      </c>
      <c r="G204" s="435">
        <v>95790</v>
      </c>
      <c r="H204" s="436">
        <v>350</v>
      </c>
      <c r="I204" s="437">
        <v>880</v>
      </c>
      <c r="J204" s="438" t="s">
        <v>731</v>
      </c>
      <c r="K204" s="436">
        <v>320</v>
      </c>
      <c r="L204" s="437">
        <v>850</v>
      </c>
      <c r="M204" s="438" t="s">
        <v>287</v>
      </c>
      <c r="N204" s="439">
        <v>7500</v>
      </c>
      <c r="O204" s="440">
        <v>70</v>
      </c>
      <c r="P204" s="462"/>
      <c r="Q204" s="462"/>
      <c r="R204" s="1279"/>
      <c r="S204" s="1282"/>
      <c r="T204" s="393" t="s">
        <v>292</v>
      </c>
      <c r="U204" s="442">
        <v>2900</v>
      </c>
      <c r="V204" s="443">
        <v>3300</v>
      </c>
      <c r="W204" s="441">
        <v>2640</v>
      </c>
      <c r="X204" s="444">
        <v>20</v>
      </c>
      <c r="Y204" s="1285"/>
      <c r="Z204" s="1301"/>
      <c r="AA204" s="464"/>
      <c r="AB204" s="1287"/>
      <c r="AC204" s="1290"/>
      <c r="AD204" s="1293"/>
      <c r="AE204" s="1295"/>
      <c r="AF204" s="1295"/>
      <c r="AG204" s="1298"/>
      <c r="AH204" s="1270"/>
      <c r="AJ204" s="185" t="s">
        <v>391</v>
      </c>
      <c r="AK204" s="142" t="s">
        <v>406</v>
      </c>
      <c r="AL204" s="178">
        <v>432600</v>
      </c>
      <c r="AM204" s="179">
        <v>4320</v>
      </c>
      <c r="AN204" s="156"/>
      <c r="AO204" s="151"/>
    </row>
    <row r="205" spans="1:41" ht="13.5" customHeight="1">
      <c r="A205" s="431" t="s">
        <v>320</v>
      </c>
      <c r="B205" s="432" t="s">
        <v>315</v>
      </c>
      <c r="C205" s="433" t="s">
        <v>337</v>
      </c>
      <c r="D205" s="434">
        <v>98770</v>
      </c>
      <c r="E205" s="435">
        <v>173810</v>
      </c>
      <c r="F205" s="434">
        <v>95790</v>
      </c>
      <c r="G205" s="435">
        <v>170830</v>
      </c>
      <c r="H205" s="436">
        <v>880</v>
      </c>
      <c r="I205" s="437">
        <v>1630</v>
      </c>
      <c r="J205" s="438" t="s">
        <v>731</v>
      </c>
      <c r="K205" s="436">
        <v>850</v>
      </c>
      <c r="L205" s="437">
        <v>1600</v>
      </c>
      <c r="M205" s="438" t="s">
        <v>287</v>
      </c>
      <c r="N205" s="446"/>
      <c r="O205" s="447"/>
      <c r="P205" s="441"/>
      <c r="Q205" s="441"/>
      <c r="R205" s="1279"/>
      <c r="S205" s="1282"/>
      <c r="T205" s="393" t="s">
        <v>293</v>
      </c>
      <c r="U205" s="442">
        <v>2500</v>
      </c>
      <c r="V205" s="443">
        <v>2800</v>
      </c>
      <c r="W205" s="441">
        <v>2640</v>
      </c>
      <c r="X205" s="444">
        <v>20</v>
      </c>
      <c r="Y205" s="448"/>
      <c r="Z205" s="1301"/>
      <c r="AA205" s="464"/>
      <c r="AB205" s="1287"/>
      <c r="AC205" s="1290"/>
      <c r="AD205" s="1271">
        <v>0.02</v>
      </c>
      <c r="AE205" s="1273">
        <v>0.03</v>
      </c>
      <c r="AF205" s="1273">
        <v>0.05</v>
      </c>
      <c r="AG205" s="1275">
        <v>0.06</v>
      </c>
      <c r="AH205" s="1277">
        <v>0.99</v>
      </c>
      <c r="AJ205" s="185" t="s">
        <v>391</v>
      </c>
      <c r="AK205" s="142" t="s">
        <v>407</v>
      </c>
      <c r="AL205" s="178">
        <v>467100</v>
      </c>
      <c r="AM205" s="179">
        <v>4670</v>
      </c>
      <c r="AN205" s="156"/>
      <c r="AO205" s="151"/>
    </row>
    <row r="206" spans="1:41" ht="13.5" customHeight="1">
      <c r="A206" s="431" t="s">
        <v>320</v>
      </c>
      <c r="B206" s="449" t="s">
        <v>315</v>
      </c>
      <c r="C206" s="450" t="s">
        <v>338</v>
      </c>
      <c r="D206" s="451">
        <v>173810</v>
      </c>
      <c r="E206" s="452"/>
      <c r="F206" s="451">
        <v>170830</v>
      </c>
      <c r="G206" s="452"/>
      <c r="H206" s="439">
        <v>1630</v>
      </c>
      <c r="I206" s="453"/>
      <c r="J206" s="454" t="s">
        <v>731</v>
      </c>
      <c r="K206" s="439">
        <v>1600</v>
      </c>
      <c r="L206" s="453"/>
      <c r="M206" s="454" t="s">
        <v>287</v>
      </c>
      <c r="N206" s="446"/>
      <c r="O206" s="455"/>
      <c r="P206" s="441"/>
      <c r="Q206" s="441"/>
      <c r="R206" s="1280"/>
      <c r="S206" s="1283"/>
      <c r="T206" s="456" t="s">
        <v>294</v>
      </c>
      <c r="U206" s="457">
        <v>2300</v>
      </c>
      <c r="V206" s="458">
        <v>2500</v>
      </c>
      <c r="W206" s="459">
        <v>2640</v>
      </c>
      <c r="X206" s="460">
        <v>20</v>
      </c>
      <c r="Y206" s="448"/>
      <c r="Z206" s="1301"/>
      <c r="AA206" s="464"/>
      <c r="AB206" s="1288"/>
      <c r="AC206" s="1291"/>
      <c r="AD206" s="1272"/>
      <c r="AE206" s="1274"/>
      <c r="AF206" s="1274"/>
      <c r="AG206" s="1276"/>
      <c r="AH206" s="1277"/>
      <c r="AJ206" s="185" t="s">
        <v>391</v>
      </c>
      <c r="AK206" s="142" t="s">
        <v>408</v>
      </c>
      <c r="AL206" s="178">
        <v>501500</v>
      </c>
      <c r="AM206" s="179">
        <v>5010</v>
      </c>
      <c r="AN206" s="156"/>
      <c r="AO206" s="151"/>
    </row>
    <row r="207" spans="1:41" ht="13.5" customHeight="1">
      <c r="A207" s="431" t="s">
        <v>320</v>
      </c>
      <c r="B207" s="416" t="s">
        <v>316</v>
      </c>
      <c r="C207" s="417" t="s">
        <v>334</v>
      </c>
      <c r="D207" s="418">
        <v>29990</v>
      </c>
      <c r="E207" s="419">
        <v>37490</v>
      </c>
      <c r="F207" s="418">
        <v>27180</v>
      </c>
      <c r="G207" s="419">
        <v>34680</v>
      </c>
      <c r="H207" s="420">
        <v>280</v>
      </c>
      <c r="I207" s="421">
        <v>350</v>
      </c>
      <c r="J207" s="422" t="s">
        <v>731</v>
      </c>
      <c r="K207" s="420">
        <v>250</v>
      </c>
      <c r="L207" s="421">
        <v>320</v>
      </c>
      <c r="M207" s="422" t="s">
        <v>287</v>
      </c>
      <c r="N207" s="423">
        <v>7500</v>
      </c>
      <c r="O207" s="424">
        <v>70</v>
      </c>
      <c r="P207" s="441"/>
      <c r="Q207" s="441"/>
      <c r="R207" s="1278">
        <v>2300</v>
      </c>
      <c r="S207" s="1281">
        <v>2500</v>
      </c>
      <c r="T207" s="426" t="s">
        <v>288</v>
      </c>
      <c r="U207" s="427">
        <v>4800</v>
      </c>
      <c r="V207" s="428">
        <v>5400</v>
      </c>
      <c r="W207" s="425">
        <v>2500</v>
      </c>
      <c r="X207" s="429">
        <v>20</v>
      </c>
      <c r="Y207" s="1284">
        <v>4500</v>
      </c>
      <c r="Z207" s="1301"/>
      <c r="AA207" s="464"/>
      <c r="AB207" s="1286">
        <v>2890</v>
      </c>
      <c r="AC207" s="1289">
        <v>20</v>
      </c>
      <c r="AD207" s="1292" t="s">
        <v>290</v>
      </c>
      <c r="AE207" s="1294" t="s">
        <v>290</v>
      </c>
      <c r="AF207" s="1294" t="s">
        <v>290</v>
      </c>
      <c r="AG207" s="1297" t="s">
        <v>290</v>
      </c>
      <c r="AH207" s="1269" t="s">
        <v>296</v>
      </c>
      <c r="AJ207" s="185" t="s">
        <v>391</v>
      </c>
      <c r="AK207" s="142" t="s">
        <v>409</v>
      </c>
      <c r="AL207" s="178">
        <v>535900</v>
      </c>
      <c r="AM207" s="179">
        <v>5350</v>
      </c>
      <c r="AN207" s="156"/>
      <c r="AO207" s="151"/>
    </row>
    <row r="208" spans="1:41" ht="13.5" customHeight="1">
      <c r="A208" s="431" t="s">
        <v>320</v>
      </c>
      <c r="B208" s="432" t="s">
        <v>317</v>
      </c>
      <c r="C208" s="433" t="s">
        <v>336</v>
      </c>
      <c r="D208" s="434">
        <v>37490</v>
      </c>
      <c r="E208" s="435">
        <v>98040</v>
      </c>
      <c r="F208" s="434">
        <v>34680</v>
      </c>
      <c r="G208" s="435">
        <v>95230</v>
      </c>
      <c r="H208" s="436">
        <v>350</v>
      </c>
      <c r="I208" s="437">
        <v>870</v>
      </c>
      <c r="J208" s="438" t="s">
        <v>731</v>
      </c>
      <c r="K208" s="436">
        <v>320</v>
      </c>
      <c r="L208" s="437">
        <v>840</v>
      </c>
      <c r="M208" s="438" t="s">
        <v>287</v>
      </c>
      <c r="N208" s="439">
        <v>7500</v>
      </c>
      <c r="O208" s="440">
        <v>70</v>
      </c>
      <c r="P208" s="441"/>
      <c r="Q208" s="441"/>
      <c r="R208" s="1279"/>
      <c r="S208" s="1282"/>
      <c r="T208" s="393" t="s">
        <v>292</v>
      </c>
      <c r="U208" s="442">
        <v>2600</v>
      </c>
      <c r="V208" s="443">
        <v>2900</v>
      </c>
      <c r="W208" s="441">
        <v>2500</v>
      </c>
      <c r="X208" s="444">
        <v>20</v>
      </c>
      <c r="Y208" s="1285"/>
      <c r="Z208" s="1301"/>
      <c r="AA208" s="464"/>
      <c r="AB208" s="1287"/>
      <c r="AC208" s="1290"/>
      <c r="AD208" s="1293"/>
      <c r="AE208" s="1295"/>
      <c r="AF208" s="1295"/>
      <c r="AG208" s="1298"/>
      <c r="AH208" s="1270"/>
      <c r="AJ208" s="185" t="s">
        <v>391</v>
      </c>
      <c r="AK208" s="142" t="s">
        <v>410</v>
      </c>
      <c r="AL208" s="178">
        <v>570300</v>
      </c>
      <c r="AM208" s="179">
        <v>5700</v>
      </c>
      <c r="AN208" s="156"/>
      <c r="AO208" s="151"/>
    </row>
    <row r="209" spans="1:87" ht="13.5" customHeight="1">
      <c r="A209" s="431" t="s">
        <v>320</v>
      </c>
      <c r="B209" s="432" t="s">
        <v>316</v>
      </c>
      <c r="C209" s="433" t="s">
        <v>337</v>
      </c>
      <c r="D209" s="434">
        <v>98040</v>
      </c>
      <c r="E209" s="435">
        <v>173080</v>
      </c>
      <c r="F209" s="434">
        <v>95230</v>
      </c>
      <c r="G209" s="435">
        <v>170270</v>
      </c>
      <c r="H209" s="436">
        <v>870</v>
      </c>
      <c r="I209" s="437">
        <v>1620</v>
      </c>
      <c r="J209" s="438" t="s">
        <v>731</v>
      </c>
      <c r="K209" s="436">
        <v>840</v>
      </c>
      <c r="L209" s="437">
        <v>1590</v>
      </c>
      <c r="M209" s="438" t="s">
        <v>287</v>
      </c>
      <c r="N209" s="446"/>
      <c r="O209" s="447"/>
      <c r="P209" s="441"/>
      <c r="Q209" s="441"/>
      <c r="R209" s="1279"/>
      <c r="S209" s="1282"/>
      <c r="T209" s="393" t="s">
        <v>293</v>
      </c>
      <c r="U209" s="442">
        <v>2300</v>
      </c>
      <c r="V209" s="443">
        <v>2500</v>
      </c>
      <c r="W209" s="441">
        <v>2500</v>
      </c>
      <c r="X209" s="444">
        <v>20</v>
      </c>
      <c r="Y209" s="448"/>
      <c r="Z209" s="1301"/>
      <c r="AA209" s="464"/>
      <c r="AB209" s="1287"/>
      <c r="AC209" s="1290"/>
      <c r="AD209" s="1271">
        <v>0.02</v>
      </c>
      <c r="AE209" s="1273">
        <v>0.03</v>
      </c>
      <c r="AF209" s="1273">
        <v>0.05</v>
      </c>
      <c r="AG209" s="1275">
        <v>0.06</v>
      </c>
      <c r="AH209" s="1277">
        <v>0.99</v>
      </c>
      <c r="AJ209" s="185" t="s">
        <v>391</v>
      </c>
      <c r="AK209" s="142" t="s">
        <v>411</v>
      </c>
      <c r="AL209" s="178">
        <v>604700</v>
      </c>
      <c r="AM209" s="179">
        <v>6040</v>
      </c>
      <c r="AN209" s="156"/>
      <c r="AO209" s="151"/>
    </row>
    <row r="210" spans="1:87" ht="13.5" customHeight="1">
      <c r="A210" s="463" t="s">
        <v>320</v>
      </c>
      <c r="B210" s="449" t="s">
        <v>316</v>
      </c>
      <c r="C210" s="450" t="s">
        <v>338</v>
      </c>
      <c r="D210" s="451">
        <v>173080</v>
      </c>
      <c r="E210" s="452"/>
      <c r="F210" s="451">
        <v>170270</v>
      </c>
      <c r="G210" s="452"/>
      <c r="H210" s="439">
        <v>1620</v>
      </c>
      <c r="I210" s="453"/>
      <c r="J210" s="454" t="s">
        <v>731</v>
      </c>
      <c r="K210" s="439">
        <v>1590</v>
      </c>
      <c r="L210" s="453"/>
      <c r="M210" s="454" t="s">
        <v>287</v>
      </c>
      <c r="N210" s="446"/>
      <c r="O210" s="465"/>
      <c r="P210" s="459"/>
      <c r="Q210" s="459"/>
      <c r="R210" s="1280"/>
      <c r="S210" s="1283"/>
      <c r="T210" s="456" t="s">
        <v>294</v>
      </c>
      <c r="U210" s="457">
        <v>2000</v>
      </c>
      <c r="V210" s="458">
        <v>2300</v>
      </c>
      <c r="W210" s="459">
        <v>2500</v>
      </c>
      <c r="X210" s="460">
        <v>20</v>
      </c>
      <c r="Y210" s="448"/>
      <c r="Z210" s="1301"/>
      <c r="AA210" s="403"/>
      <c r="AB210" s="1288"/>
      <c r="AC210" s="1291"/>
      <c r="AD210" s="1272"/>
      <c r="AE210" s="1274"/>
      <c r="AF210" s="1274"/>
      <c r="AG210" s="1276"/>
      <c r="AH210" s="1296"/>
      <c r="AJ210" s="185" t="s">
        <v>391</v>
      </c>
      <c r="AK210" s="142" t="s">
        <v>412</v>
      </c>
      <c r="AL210" s="178">
        <v>639100</v>
      </c>
      <c r="AM210" s="179">
        <v>6390</v>
      </c>
      <c r="AN210" s="156"/>
      <c r="AO210" s="151"/>
    </row>
    <row r="211" spans="1:87" s="89" customFormat="1" ht="13.5" customHeight="1" thickBot="1">
      <c r="A211" s="416" t="s">
        <v>321</v>
      </c>
      <c r="B211" s="416" t="s">
        <v>286</v>
      </c>
      <c r="C211" s="417" t="s">
        <v>334</v>
      </c>
      <c r="D211" s="418">
        <v>118220</v>
      </c>
      <c r="E211" s="419">
        <v>125540</v>
      </c>
      <c r="F211" s="418">
        <v>93460</v>
      </c>
      <c r="G211" s="419">
        <v>100780</v>
      </c>
      <c r="H211" s="420">
        <v>1160</v>
      </c>
      <c r="I211" s="421">
        <v>1230</v>
      </c>
      <c r="J211" s="422" t="s">
        <v>731</v>
      </c>
      <c r="K211" s="420">
        <v>910</v>
      </c>
      <c r="L211" s="421">
        <v>980</v>
      </c>
      <c r="M211" s="422" t="s">
        <v>287</v>
      </c>
      <c r="N211" s="423">
        <v>7320</v>
      </c>
      <c r="O211" s="424">
        <v>70</v>
      </c>
      <c r="P211" s="425"/>
      <c r="Q211" s="425"/>
      <c r="R211" s="1278">
        <v>7200</v>
      </c>
      <c r="S211" s="1281">
        <v>7900</v>
      </c>
      <c r="T211" s="426" t="s">
        <v>288</v>
      </c>
      <c r="U211" s="427">
        <v>15800</v>
      </c>
      <c r="V211" s="428">
        <v>17600</v>
      </c>
      <c r="W211" s="425">
        <v>21980</v>
      </c>
      <c r="X211" s="429">
        <v>210</v>
      </c>
      <c r="Y211" s="1284">
        <v>4500</v>
      </c>
      <c r="Z211" s="1301" t="s">
        <v>289</v>
      </c>
      <c r="AA211" s="430"/>
      <c r="AB211" s="1286">
        <v>25390</v>
      </c>
      <c r="AC211" s="1289">
        <v>250</v>
      </c>
      <c r="AD211" s="1292" t="s">
        <v>290</v>
      </c>
      <c r="AE211" s="1294" t="s">
        <v>290</v>
      </c>
      <c r="AF211" s="1294" t="s">
        <v>290</v>
      </c>
      <c r="AG211" s="1297" t="s">
        <v>290</v>
      </c>
      <c r="AH211" s="1269" t="s">
        <v>296</v>
      </c>
      <c r="AI211" s="88"/>
      <c r="AJ211" s="186" t="s">
        <v>391</v>
      </c>
      <c r="AK211" s="181" t="s">
        <v>413</v>
      </c>
      <c r="AL211" s="182">
        <v>673600</v>
      </c>
      <c r="AM211" s="183">
        <v>6730</v>
      </c>
      <c r="AN211" s="156"/>
      <c r="AO211" s="151"/>
      <c r="AP211" s="88"/>
      <c r="AQ211" s="88"/>
      <c r="AR211" s="88"/>
      <c r="AS211" s="88"/>
      <c r="AT211" s="88"/>
      <c r="AU211" s="88"/>
      <c r="AV211" s="88"/>
      <c r="AW211" s="88"/>
      <c r="AY211" s="94"/>
      <c r="AZ211" s="94"/>
      <c r="BA211" s="94"/>
      <c r="BB211" s="94"/>
      <c r="BC211" s="94"/>
      <c r="BD211" s="94"/>
      <c r="BE211" s="94"/>
      <c r="BF211" s="94"/>
      <c r="BG211" s="94"/>
      <c r="BH211" s="94"/>
      <c r="BI211" s="94"/>
      <c r="BJ211" s="94"/>
      <c r="BK211" s="94"/>
      <c r="BL211" s="94"/>
      <c r="BM211" s="94"/>
      <c r="BN211" s="94"/>
      <c r="BO211" s="94"/>
      <c r="BP211" s="94"/>
      <c r="BQ211" s="94"/>
      <c r="BR211" s="94"/>
      <c r="BS211" s="94"/>
      <c r="BT211" s="94"/>
      <c r="BU211" s="94"/>
      <c r="BV211" s="94"/>
      <c r="BW211" s="94"/>
      <c r="BX211" s="94"/>
      <c r="BY211" s="94"/>
      <c r="BZ211" s="94"/>
      <c r="CA211" s="94"/>
      <c r="CB211" s="94"/>
      <c r="CC211" s="94"/>
      <c r="CD211" s="94"/>
      <c r="CE211" s="94"/>
      <c r="CF211" s="94"/>
      <c r="CG211" s="94"/>
      <c r="CH211" s="94"/>
      <c r="CI211" s="94"/>
    </row>
    <row r="212" spans="1:87" s="89" customFormat="1" ht="13.5" customHeight="1">
      <c r="A212" s="431" t="s">
        <v>321</v>
      </c>
      <c r="B212" s="432" t="s">
        <v>286</v>
      </c>
      <c r="C212" s="433" t="s">
        <v>336</v>
      </c>
      <c r="D212" s="434">
        <v>125540</v>
      </c>
      <c r="E212" s="435">
        <v>184870</v>
      </c>
      <c r="F212" s="434">
        <v>100780</v>
      </c>
      <c r="G212" s="435">
        <v>160110</v>
      </c>
      <c r="H212" s="436">
        <v>1230</v>
      </c>
      <c r="I212" s="437">
        <v>1730</v>
      </c>
      <c r="J212" s="438" t="s">
        <v>731</v>
      </c>
      <c r="K212" s="436">
        <v>980</v>
      </c>
      <c r="L212" s="437">
        <v>1480</v>
      </c>
      <c r="M212" s="438" t="s">
        <v>287</v>
      </c>
      <c r="N212" s="439">
        <v>7320</v>
      </c>
      <c r="O212" s="440">
        <v>70</v>
      </c>
      <c r="P212" s="441"/>
      <c r="Q212" s="441"/>
      <c r="R212" s="1279"/>
      <c r="S212" s="1282"/>
      <c r="T212" s="393" t="s">
        <v>292</v>
      </c>
      <c r="U212" s="442">
        <v>8700</v>
      </c>
      <c r="V212" s="443">
        <v>9700</v>
      </c>
      <c r="W212" s="441">
        <v>21980</v>
      </c>
      <c r="X212" s="444">
        <v>210</v>
      </c>
      <c r="Y212" s="1285"/>
      <c r="Z212" s="1301"/>
      <c r="AA212" s="445"/>
      <c r="AB212" s="1287"/>
      <c r="AC212" s="1290"/>
      <c r="AD212" s="1293"/>
      <c r="AE212" s="1295"/>
      <c r="AF212" s="1295"/>
      <c r="AG212" s="1298"/>
      <c r="AH212" s="1270"/>
      <c r="AI212" s="88"/>
      <c r="AJ212" s="184" t="s">
        <v>392</v>
      </c>
      <c r="AK212" s="173" t="s">
        <v>400</v>
      </c>
      <c r="AL212" s="174">
        <v>238300</v>
      </c>
      <c r="AM212" s="175">
        <v>2380</v>
      </c>
      <c r="AN212" s="156"/>
      <c r="AO212" s="151"/>
      <c r="AP212" s="88"/>
      <c r="AQ212" s="88"/>
      <c r="AR212" s="88"/>
      <c r="AS212" s="88"/>
      <c r="AT212" s="88"/>
      <c r="AU212" s="88"/>
      <c r="AV212" s="88"/>
      <c r="AW212" s="88"/>
    </row>
    <row r="213" spans="1:87" s="89" customFormat="1" ht="13.5" customHeight="1">
      <c r="A213" s="431" t="s">
        <v>321</v>
      </c>
      <c r="B213" s="432" t="s">
        <v>286</v>
      </c>
      <c r="C213" s="433" t="s">
        <v>337</v>
      </c>
      <c r="D213" s="434">
        <v>184870</v>
      </c>
      <c r="E213" s="435">
        <v>258150</v>
      </c>
      <c r="F213" s="434">
        <v>160110</v>
      </c>
      <c r="G213" s="435">
        <v>233390</v>
      </c>
      <c r="H213" s="436">
        <v>1730</v>
      </c>
      <c r="I213" s="437">
        <v>2460</v>
      </c>
      <c r="J213" s="438" t="s">
        <v>731</v>
      </c>
      <c r="K213" s="436">
        <v>1480</v>
      </c>
      <c r="L213" s="437">
        <v>2210</v>
      </c>
      <c r="M213" s="438" t="s">
        <v>287</v>
      </c>
      <c r="N213" s="446"/>
      <c r="O213" s="447"/>
      <c r="P213" s="441"/>
      <c r="Q213" s="441"/>
      <c r="R213" s="1279"/>
      <c r="S213" s="1282"/>
      <c r="T213" s="393" t="s">
        <v>293</v>
      </c>
      <c r="U213" s="442">
        <v>7600</v>
      </c>
      <c r="V213" s="443">
        <v>8400</v>
      </c>
      <c r="W213" s="441">
        <v>21980</v>
      </c>
      <c r="X213" s="444">
        <v>210</v>
      </c>
      <c r="Y213" s="448"/>
      <c r="Z213" s="1301"/>
      <c r="AA213" s="445"/>
      <c r="AB213" s="1287"/>
      <c r="AC213" s="1290"/>
      <c r="AD213" s="1271">
        <v>0.01</v>
      </c>
      <c r="AE213" s="1273">
        <v>0.03</v>
      </c>
      <c r="AF213" s="1273">
        <v>0.04</v>
      </c>
      <c r="AG213" s="1275">
        <v>0.05</v>
      </c>
      <c r="AH213" s="1277">
        <v>0.8</v>
      </c>
      <c r="AI213" s="88"/>
      <c r="AJ213" s="185" t="s">
        <v>392</v>
      </c>
      <c r="AK213" s="142" t="s">
        <v>401</v>
      </c>
      <c r="AL213" s="178">
        <v>254900</v>
      </c>
      <c r="AM213" s="179">
        <v>2540</v>
      </c>
      <c r="AN213" s="156"/>
      <c r="AO213" s="151"/>
      <c r="AP213" s="88"/>
      <c r="AQ213" s="88"/>
      <c r="AR213" s="88"/>
      <c r="AS213" s="88"/>
      <c r="AT213" s="88"/>
      <c r="AU213" s="88"/>
      <c r="AV213" s="88"/>
      <c r="AW213" s="88"/>
    </row>
    <row r="214" spans="1:87" s="89" customFormat="1" ht="13.5" customHeight="1">
      <c r="A214" s="431" t="s">
        <v>321</v>
      </c>
      <c r="B214" s="449" t="s">
        <v>286</v>
      </c>
      <c r="C214" s="450" t="s">
        <v>338</v>
      </c>
      <c r="D214" s="451">
        <v>258150</v>
      </c>
      <c r="E214" s="452"/>
      <c r="F214" s="451">
        <v>233390</v>
      </c>
      <c r="G214" s="452"/>
      <c r="H214" s="439">
        <v>2460</v>
      </c>
      <c r="I214" s="453"/>
      <c r="J214" s="454" t="s">
        <v>731</v>
      </c>
      <c r="K214" s="439">
        <v>2210</v>
      </c>
      <c r="L214" s="453"/>
      <c r="M214" s="454" t="s">
        <v>287</v>
      </c>
      <c r="N214" s="446"/>
      <c r="O214" s="455"/>
      <c r="P214" s="441"/>
      <c r="Q214" s="441"/>
      <c r="R214" s="1280"/>
      <c r="S214" s="1283"/>
      <c r="T214" s="456" t="s">
        <v>294</v>
      </c>
      <c r="U214" s="457">
        <v>6800</v>
      </c>
      <c r="V214" s="458">
        <v>7500</v>
      </c>
      <c r="W214" s="459">
        <v>21980</v>
      </c>
      <c r="X214" s="460">
        <v>210</v>
      </c>
      <c r="Y214" s="448"/>
      <c r="Z214" s="1301"/>
      <c r="AA214" s="445"/>
      <c r="AB214" s="1288"/>
      <c r="AC214" s="1291"/>
      <c r="AD214" s="1272"/>
      <c r="AE214" s="1274"/>
      <c r="AF214" s="1274"/>
      <c r="AG214" s="1276"/>
      <c r="AH214" s="1296"/>
      <c r="AI214" s="88"/>
      <c r="AJ214" s="185" t="s">
        <v>392</v>
      </c>
      <c r="AK214" s="142" t="s">
        <v>402</v>
      </c>
      <c r="AL214" s="178">
        <v>288100</v>
      </c>
      <c r="AM214" s="179">
        <v>2880</v>
      </c>
      <c r="AN214" s="156"/>
      <c r="AO214" s="151"/>
      <c r="AP214" s="88"/>
      <c r="AQ214" s="88"/>
      <c r="AR214" s="88"/>
      <c r="AS214" s="88"/>
      <c r="AT214" s="88"/>
      <c r="AU214" s="88"/>
      <c r="AV214" s="88"/>
      <c r="AW214" s="88"/>
    </row>
    <row r="215" spans="1:87" s="89" customFormat="1" ht="13.5" customHeight="1">
      <c r="A215" s="431" t="s">
        <v>321</v>
      </c>
      <c r="B215" s="416" t="s">
        <v>295</v>
      </c>
      <c r="C215" s="417" t="s">
        <v>334</v>
      </c>
      <c r="D215" s="418">
        <v>85260</v>
      </c>
      <c r="E215" s="419">
        <v>92580</v>
      </c>
      <c r="F215" s="418">
        <v>68750</v>
      </c>
      <c r="G215" s="419">
        <v>76070</v>
      </c>
      <c r="H215" s="420">
        <v>830</v>
      </c>
      <c r="I215" s="421">
        <v>900</v>
      </c>
      <c r="J215" s="422" t="s">
        <v>731</v>
      </c>
      <c r="K215" s="420">
        <v>660</v>
      </c>
      <c r="L215" s="421">
        <v>730</v>
      </c>
      <c r="M215" s="422" t="s">
        <v>287</v>
      </c>
      <c r="N215" s="423">
        <v>7320</v>
      </c>
      <c r="O215" s="424">
        <v>70</v>
      </c>
      <c r="P215" s="441"/>
      <c r="Q215" s="441"/>
      <c r="R215" s="1278">
        <v>5000</v>
      </c>
      <c r="S215" s="1281">
        <v>5500</v>
      </c>
      <c r="T215" s="426" t="s">
        <v>288</v>
      </c>
      <c r="U215" s="427">
        <v>10900</v>
      </c>
      <c r="V215" s="428">
        <v>12200</v>
      </c>
      <c r="W215" s="425">
        <v>14650</v>
      </c>
      <c r="X215" s="429">
        <v>140</v>
      </c>
      <c r="Y215" s="1284">
        <v>4500</v>
      </c>
      <c r="Z215" s="1301"/>
      <c r="AA215" s="445"/>
      <c r="AB215" s="1286">
        <v>16920</v>
      </c>
      <c r="AC215" s="1289">
        <v>160</v>
      </c>
      <c r="AD215" s="1292" t="s">
        <v>290</v>
      </c>
      <c r="AE215" s="1294" t="s">
        <v>290</v>
      </c>
      <c r="AF215" s="1294" t="s">
        <v>290</v>
      </c>
      <c r="AG215" s="1297" t="s">
        <v>290</v>
      </c>
      <c r="AH215" s="1269" t="s">
        <v>296</v>
      </c>
      <c r="AI215" s="88"/>
      <c r="AJ215" s="185" t="s">
        <v>392</v>
      </c>
      <c r="AK215" s="142" t="s">
        <v>403</v>
      </c>
      <c r="AL215" s="178">
        <v>321400</v>
      </c>
      <c r="AM215" s="179">
        <v>3210</v>
      </c>
      <c r="AN215" s="156"/>
      <c r="AO215" s="151"/>
      <c r="AP215" s="88"/>
      <c r="AQ215" s="88"/>
      <c r="AR215" s="88"/>
      <c r="AS215" s="88"/>
      <c r="AT215" s="88"/>
      <c r="AU215" s="88"/>
      <c r="AV215" s="88"/>
      <c r="AW215" s="88"/>
    </row>
    <row r="216" spans="1:87" s="89" customFormat="1" ht="13.5" customHeight="1">
      <c r="A216" s="431" t="s">
        <v>321</v>
      </c>
      <c r="B216" s="432" t="s">
        <v>297</v>
      </c>
      <c r="C216" s="433" t="s">
        <v>336</v>
      </c>
      <c r="D216" s="434">
        <v>92580</v>
      </c>
      <c r="E216" s="435">
        <v>151910</v>
      </c>
      <c r="F216" s="434">
        <v>76070</v>
      </c>
      <c r="G216" s="435">
        <v>135400</v>
      </c>
      <c r="H216" s="436">
        <v>900</v>
      </c>
      <c r="I216" s="437">
        <v>1400</v>
      </c>
      <c r="J216" s="438" t="s">
        <v>731</v>
      </c>
      <c r="K216" s="436">
        <v>730</v>
      </c>
      <c r="L216" s="437">
        <v>1240</v>
      </c>
      <c r="M216" s="438" t="s">
        <v>287</v>
      </c>
      <c r="N216" s="439">
        <v>7320</v>
      </c>
      <c r="O216" s="440">
        <v>70</v>
      </c>
      <c r="P216" s="441"/>
      <c r="Q216" s="441"/>
      <c r="R216" s="1279"/>
      <c r="S216" s="1282"/>
      <c r="T216" s="393" t="s">
        <v>292</v>
      </c>
      <c r="U216" s="442">
        <v>6000</v>
      </c>
      <c r="V216" s="443">
        <v>6700</v>
      </c>
      <c r="W216" s="441">
        <v>14650</v>
      </c>
      <c r="X216" s="444">
        <v>140</v>
      </c>
      <c r="Y216" s="1285"/>
      <c r="Z216" s="1301"/>
      <c r="AA216" s="445"/>
      <c r="AB216" s="1287"/>
      <c r="AC216" s="1290"/>
      <c r="AD216" s="1293"/>
      <c r="AE216" s="1295"/>
      <c r="AF216" s="1295"/>
      <c r="AG216" s="1298"/>
      <c r="AH216" s="1270"/>
      <c r="AI216" s="88"/>
      <c r="AJ216" s="185" t="s">
        <v>392</v>
      </c>
      <c r="AK216" s="142" t="s">
        <v>404</v>
      </c>
      <c r="AL216" s="178">
        <v>354600</v>
      </c>
      <c r="AM216" s="179">
        <v>3540</v>
      </c>
      <c r="AN216" s="156"/>
      <c r="AO216" s="151"/>
      <c r="AP216" s="88"/>
      <c r="AQ216" s="88"/>
      <c r="AR216" s="88"/>
      <c r="AS216" s="88"/>
      <c r="AT216" s="88"/>
      <c r="AU216" s="88"/>
      <c r="AV216" s="88"/>
      <c r="AW216" s="88"/>
    </row>
    <row r="217" spans="1:87" s="89" customFormat="1" ht="13.5" customHeight="1">
      <c r="A217" s="431" t="s">
        <v>321</v>
      </c>
      <c r="B217" s="432" t="s">
        <v>297</v>
      </c>
      <c r="C217" s="433" t="s">
        <v>337</v>
      </c>
      <c r="D217" s="434">
        <v>151910</v>
      </c>
      <c r="E217" s="435">
        <v>225190</v>
      </c>
      <c r="F217" s="434">
        <v>135400</v>
      </c>
      <c r="G217" s="435">
        <v>208680</v>
      </c>
      <c r="H217" s="436">
        <v>1400</v>
      </c>
      <c r="I217" s="437">
        <v>2130</v>
      </c>
      <c r="J217" s="438" t="s">
        <v>731</v>
      </c>
      <c r="K217" s="436">
        <v>1240</v>
      </c>
      <c r="L217" s="437">
        <v>1970</v>
      </c>
      <c r="M217" s="438" t="s">
        <v>287</v>
      </c>
      <c r="N217" s="446"/>
      <c r="O217" s="447"/>
      <c r="P217" s="461"/>
      <c r="Q217" s="461"/>
      <c r="R217" s="1279"/>
      <c r="S217" s="1282"/>
      <c r="T217" s="393" t="s">
        <v>293</v>
      </c>
      <c r="U217" s="442">
        <v>5200</v>
      </c>
      <c r="V217" s="443">
        <v>5800</v>
      </c>
      <c r="W217" s="441">
        <v>14650</v>
      </c>
      <c r="X217" s="444">
        <v>140</v>
      </c>
      <c r="Y217" s="448"/>
      <c r="Z217" s="1301"/>
      <c r="AA217" s="445"/>
      <c r="AB217" s="1287"/>
      <c r="AC217" s="1290"/>
      <c r="AD217" s="1271">
        <v>0.01</v>
      </c>
      <c r="AE217" s="1273">
        <v>0.03</v>
      </c>
      <c r="AF217" s="1273">
        <v>0.04</v>
      </c>
      <c r="AG217" s="1275">
        <v>0.05</v>
      </c>
      <c r="AH217" s="1277">
        <v>0.86</v>
      </c>
      <c r="AI217" s="88"/>
      <c r="AJ217" s="185" t="s">
        <v>392</v>
      </c>
      <c r="AK217" s="142" t="s">
        <v>405</v>
      </c>
      <c r="AL217" s="178">
        <v>387900</v>
      </c>
      <c r="AM217" s="179">
        <v>3870</v>
      </c>
      <c r="AN217" s="156"/>
      <c r="AO217" s="151"/>
      <c r="AP217" s="88"/>
      <c r="AQ217" s="88"/>
      <c r="AR217" s="88"/>
      <c r="AS217" s="88"/>
      <c r="AT217" s="88"/>
      <c r="AU217" s="88"/>
      <c r="AV217" s="88"/>
      <c r="AW217" s="88"/>
    </row>
    <row r="218" spans="1:87" s="89" customFormat="1" ht="13.5" customHeight="1">
      <c r="A218" s="431" t="s">
        <v>321</v>
      </c>
      <c r="B218" s="449" t="s">
        <v>297</v>
      </c>
      <c r="C218" s="450" t="s">
        <v>338</v>
      </c>
      <c r="D218" s="451">
        <v>225190</v>
      </c>
      <c r="E218" s="452"/>
      <c r="F218" s="451">
        <v>208680</v>
      </c>
      <c r="G218" s="452"/>
      <c r="H218" s="439">
        <v>2130</v>
      </c>
      <c r="I218" s="453"/>
      <c r="J218" s="454" t="s">
        <v>731</v>
      </c>
      <c r="K218" s="439">
        <v>1970</v>
      </c>
      <c r="L218" s="453"/>
      <c r="M218" s="454" t="s">
        <v>287</v>
      </c>
      <c r="N218" s="446"/>
      <c r="O218" s="455"/>
      <c r="P218" s="461"/>
      <c r="Q218" s="461"/>
      <c r="R218" s="1280"/>
      <c r="S218" s="1283"/>
      <c r="T218" s="456" t="s">
        <v>294</v>
      </c>
      <c r="U218" s="457">
        <v>4700</v>
      </c>
      <c r="V218" s="458">
        <v>5200</v>
      </c>
      <c r="W218" s="459">
        <v>14650</v>
      </c>
      <c r="X218" s="460">
        <v>140</v>
      </c>
      <c r="Y218" s="448"/>
      <c r="Z218" s="1301"/>
      <c r="AA218" s="445"/>
      <c r="AB218" s="1288"/>
      <c r="AC218" s="1291"/>
      <c r="AD218" s="1272"/>
      <c r="AE218" s="1274"/>
      <c r="AF218" s="1274"/>
      <c r="AG218" s="1276"/>
      <c r="AH218" s="1277"/>
      <c r="AI218" s="88"/>
      <c r="AJ218" s="185" t="s">
        <v>392</v>
      </c>
      <c r="AK218" s="142" t="s">
        <v>406</v>
      </c>
      <c r="AL218" s="178">
        <v>421100</v>
      </c>
      <c r="AM218" s="179">
        <v>4210</v>
      </c>
      <c r="AN218" s="156"/>
      <c r="AO218" s="151"/>
      <c r="AP218" s="88"/>
      <c r="AQ218" s="88"/>
      <c r="AR218" s="88"/>
      <c r="AS218" s="88"/>
      <c r="AT218" s="88"/>
      <c r="AU218" s="88"/>
      <c r="AV218" s="88"/>
      <c r="AW218" s="88"/>
    </row>
    <row r="219" spans="1:87" ht="13.5" customHeight="1">
      <c r="A219" s="431" t="s">
        <v>321</v>
      </c>
      <c r="B219" s="416" t="s">
        <v>298</v>
      </c>
      <c r="C219" s="417" t="s">
        <v>334</v>
      </c>
      <c r="D219" s="418">
        <v>68990</v>
      </c>
      <c r="E219" s="419">
        <v>76310</v>
      </c>
      <c r="F219" s="418">
        <v>56610</v>
      </c>
      <c r="G219" s="419">
        <v>63930</v>
      </c>
      <c r="H219" s="420">
        <v>670</v>
      </c>
      <c r="I219" s="421">
        <v>740</v>
      </c>
      <c r="J219" s="422" t="s">
        <v>731</v>
      </c>
      <c r="K219" s="420">
        <v>540</v>
      </c>
      <c r="L219" s="421">
        <v>610</v>
      </c>
      <c r="M219" s="422" t="s">
        <v>287</v>
      </c>
      <c r="N219" s="423">
        <v>7320</v>
      </c>
      <c r="O219" s="424">
        <v>70</v>
      </c>
      <c r="P219" s="461"/>
      <c r="Q219" s="461"/>
      <c r="R219" s="1278">
        <v>4400</v>
      </c>
      <c r="S219" s="1281">
        <v>4800</v>
      </c>
      <c r="T219" s="426" t="s">
        <v>288</v>
      </c>
      <c r="U219" s="427">
        <v>9800</v>
      </c>
      <c r="V219" s="428">
        <v>10900</v>
      </c>
      <c r="W219" s="425">
        <v>10990</v>
      </c>
      <c r="X219" s="429">
        <v>100</v>
      </c>
      <c r="Y219" s="1284">
        <v>4500</v>
      </c>
      <c r="Z219" s="1301"/>
      <c r="AA219" s="445"/>
      <c r="AB219" s="1286">
        <v>12690</v>
      </c>
      <c r="AC219" s="1289">
        <v>120</v>
      </c>
      <c r="AD219" s="1292" t="s">
        <v>290</v>
      </c>
      <c r="AE219" s="1294" t="s">
        <v>290</v>
      </c>
      <c r="AF219" s="1294" t="s">
        <v>290</v>
      </c>
      <c r="AG219" s="1297" t="s">
        <v>290</v>
      </c>
      <c r="AH219" s="1269" t="s">
        <v>296</v>
      </c>
      <c r="AJ219" s="185" t="s">
        <v>392</v>
      </c>
      <c r="AK219" s="142" t="s">
        <v>407</v>
      </c>
      <c r="AL219" s="178">
        <v>454400</v>
      </c>
      <c r="AM219" s="179">
        <v>4540</v>
      </c>
      <c r="AN219" s="156"/>
      <c r="AO219" s="151"/>
      <c r="AY219" s="89"/>
      <c r="AZ219" s="89"/>
      <c r="BA219" s="89"/>
      <c r="BB219" s="89"/>
      <c r="BC219" s="89"/>
      <c r="BD219" s="89"/>
      <c r="BE219" s="89"/>
      <c r="BF219" s="89"/>
      <c r="BG219" s="89"/>
      <c r="BH219" s="89"/>
      <c r="BI219" s="89"/>
      <c r="BJ219" s="89"/>
      <c r="BK219" s="89"/>
      <c r="BL219" s="89"/>
      <c r="BM219" s="89"/>
      <c r="BN219" s="89"/>
      <c r="BO219" s="89"/>
      <c r="BP219" s="89"/>
      <c r="BQ219" s="89"/>
      <c r="BR219" s="89"/>
      <c r="BS219" s="89"/>
      <c r="BT219" s="89"/>
      <c r="BU219" s="89"/>
      <c r="BV219" s="89"/>
      <c r="BW219" s="89"/>
      <c r="BX219" s="89"/>
      <c r="BY219" s="89"/>
      <c r="BZ219" s="89"/>
      <c r="CA219" s="89"/>
      <c r="CB219" s="89"/>
      <c r="CC219" s="89"/>
      <c r="CD219" s="89"/>
      <c r="CE219" s="89"/>
      <c r="CF219" s="89"/>
      <c r="CG219" s="89"/>
      <c r="CH219" s="89"/>
      <c r="CI219" s="89"/>
    </row>
    <row r="220" spans="1:87" ht="13.5" customHeight="1">
      <c r="A220" s="431" t="s">
        <v>321</v>
      </c>
      <c r="B220" s="432" t="s">
        <v>299</v>
      </c>
      <c r="C220" s="433" t="s">
        <v>336</v>
      </c>
      <c r="D220" s="434">
        <v>76310</v>
      </c>
      <c r="E220" s="435">
        <v>135640</v>
      </c>
      <c r="F220" s="434">
        <v>63930</v>
      </c>
      <c r="G220" s="435">
        <v>123260</v>
      </c>
      <c r="H220" s="436">
        <v>740</v>
      </c>
      <c r="I220" s="437">
        <v>1240</v>
      </c>
      <c r="J220" s="438" t="s">
        <v>731</v>
      </c>
      <c r="K220" s="436">
        <v>610</v>
      </c>
      <c r="L220" s="437">
        <v>1120</v>
      </c>
      <c r="M220" s="438" t="s">
        <v>287</v>
      </c>
      <c r="N220" s="439">
        <v>7320</v>
      </c>
      <c r="O220" s="440">
        <v>70</v>
      </c>
      <c r="P220" s="461"/>
      <c r="Q220" s="461"/>
      <c r="R220" s="1279"/>
      <c r="S220" s="1282"/>
      <c r="T220" s="393" t="s">
        <v>292</v>
      </c>
      <c r="U220" s="442">
        <v>5400</v>
      </c>
      <c r="V220" s="443">
        <v>6000</v>
      </c>
      <c r="W220" s="441">
        <v>10990</v>
      </c>
      <c r="X220" s="444">
        <v>100</v>
      </c>
      <c r="Y220" s="1285"/>
      <c r="Z220" s="1301"/>
      <c r="AA220" s="445"/>
      <c r="AB220" s="1287"/>
      <c r="AC220" s="1290"/>
      <c r="AD220" s="1293"/>
      <c r="AE220" s="1295"/>
      <c r="AF220" s="1295"/>
      <c r="AG220" s="1298"/>
      <c r="AH220" s="1270"/>
      <c r="AJ220" s="185" t="s">
        <v>392</v>
      </c>
      <c r="AK220" s="142" t="s">
        <v>408</v>
      </c>
      <c r="AL220" s="178">
        <v>487600</v>
      </c>
      <c r="AM220" s="179">
        <v>4870</v>
      </c>
      <c r="AN220" s="156"/>
      <c r="AO220" s="151"/>
    </row>
    <row r="221" spans="1:87" ht="13.5" customHeight="1">
      <c r="A221" s="431" t="s">
        <v>321</v>
      </c>
      <c r="B221" s="432" t="s">
        <v>299</v>
      </c>
      <c r="C221" s="433" t="s">
        <v>337</v>
      </c>
      <c r="D221" s="434">
        <v>135640</v>
      </c>
      <c r="E221" s="435">
        <v>208920</v>
      </c>
      <c r="F221" s="434">
        <v>123260</v>
      </c>
      <c r="G221" s="435">
        <v>196540</v>
      </c>
      <c r="H221" s="436">
        <v>1240</v>
      </c>
      <c r="I221" s="437">
        <v>1970</v>
      </c>
      <c r="J221" s="438" t="s">
        <v>731</v>
      </c>
      <c r="K221" s="436">
        <v>1120</v>
      </c>
      <c r="L221" s="437">
        <v>1850</v>
      </c>
      <c r="M221" s="438" t="s">
        <v>287</v>
      </c>
      <c r="N221" s="446"/>
      <c r="O221" s="447"/>
      <c r="P221" s="461"/>
      <c r="Q221" s="461"/>
      <c r="R221" s="1279"/>
      <c r="S221" s="1282"/>
      <c r="T221" s="393" t="s">
        <v>293</v>
      </c>
      <c r="U221" s="442">
        <v>4700</v>
      </c>
      <c r="V221" s="443">
        <v>5200</v>
      </c>
      <c r="W221" s="441">
        <v>10990</v>
      </c>
      <c r="X221" s="444">
        <v>100</v>
      </c>
      <c r="Y221" s="448"/>
      <c r="Z221" s="1301"/>
      <c r="AA221" s="445"/>
      <c r="AB221" s="1287"/>
      <c r="AC221" s="1290"/>
      <c r="AD221" s="1271">
        <v>0.01</v>
      </c>
      <c r="AE221" s="1273">
        <v>0.03</v>
      </c>
      <c r="AF221" s="1273">
        <v>0.04</v>
      </c>
      <c r="AG221" s="1275">
        <v>0.05</v>
      </c>
      <c r="AH221" s="1277">
        <v>0.96</v>
      </c>
      <c r="AJ221" s="185" t="s">
        <v>392</v>
      </c>
      <c r="AK221" s="142" t="s">
        <v>409</v>
      </c>
      <c r="AL221" s="178">
        <v>520900</v>
      </c>
      <c r="AM221" s="179">
        <v>5200</v>
      </c>
      <c r="AN221" s="156"/>
      <c r="AO221" s="151"/>
    </row>
    <row r="222" spans="1:87" ht="13.5" customHeight="1">
      <c r="A222" s="431" t="s">
        <v>321</v>
      </c>
      <c r="B222" s="449" t="s">
        <v>299</v>
      </c>
      <c r="C222" s="450" t="s">
        <v>338</v>
      </c>
      <c r="D222" s="451">
        <v>208920</v>
      </c>
      <c r="E222" s="452"/>
      <c r="F222" s="451">
        <v>196540</v>
      </c>
      <c r="G222" s="452"/>
      <c r="H222" s="439">
        <v>1970</v>
      </c>
      <c r="I222" s="453"/>
      <c r="J222" s="454" t="s">
        <v>731</v>
      </c>
      <c r="K222" s="439">
        <v>1850</v>
      </c>
      <c r="L222" s="453"/>
      <c r="M222" s="454" t="s">
        <v>287</v>
      </c>
      <c r="N222" s="446"/>
      <c r="O222" s="455"/>
      <c r="P222" s="461"/>
      <c r="Q222" s="461"/>
      <c r="R222" s="1280"/>
      <c r="S222" s="1283"/>
      <c r="T222" s="456" t="s">
        <v>294</v>
      </c>
      <c r="U222" s="457">
        <v>4200</v>
      </c>
      <c r="V222" s="458">
        <v>4600</v>
      </c>
      <c r="W222" s="459">
        <v>10990</v>
      </c>
      <c r="X222" s="460">
        <v>100</v>
      </c>
      <c r="Y222" s="448"/>
      <c r="Z222" s="1301"/>
      <c r="AA222" s="445"/>
      <c r="AB222" s="1288"/>
      <c r="AC222" s="1291"/>
      <c r="AD222" s="1272"/>
      <c r="AE222" s="1274"/>
      <c r="AF222" s="1274"/>
      <c r="AG222" s="1276"/>
      <c r="AH222" s="1277"/>
      <c r="AJ222" s="185" t="s">
        <v>392</v>
      </c>
      <c r="AK222" s="142" t="s">
        <v>410</v>
      </c>
      <c r="AL222" s="178">
        <v>554100</v>
      </c>
      <c r="AM222" s="179">
        <v>5540</v>
      </c>
      <c r="AN222" s="156"/>
      <c r="AO222" s="151"/>
    </row>
    <row r="223" spans="1:87" ht="13.5" customHeight="1">
      <c r="A223" s="431" t="s">
        <v>321</v>
      </c>
      <c r="B223" s="416" t="s">
        <v>300</v>
      </c>
      <c r="C223" s="417" t="s">
        <v>334</v>
      </c>
      <c r="D223" s="418">
        <v>64550</v>
      </c>
      <c r="E223" s="419">
        <v>71870</v>
      </c>
      <c r="F223" s="418">
        <v>54640</v>
      </c>
      <c r="G223" s="419">
        <v>61960</v>
      </c>
      <c r="H223" s="420">
        <v>620</v>
      </c>
      <c r="I223" s="421">
        <v>690</v>
      </c>
      <c r="J223" s="422" t="s">
        <v>731</v>
      </c>
      <c r="K223" s="420">
        <v>520</v>
      </c>
      <c r="L223" s="421">
        <v>590</v>
      </c>
      <c r="M223" s="422" t="s">
        <v>287</v>
      </c>
      <c r="N223" s="423">
        <v>7320</v>
      </c>
      <c r="O223" s="424">
        <v>70</v>
      </c>
      <c r="P223" s="1300"/>
      <c r="Q223" s="1300"/>
      <c r="R223" s="1278">
        <v>4000</v>
      </c>
      <c r="S223" s="1281">
        <v>4400</v>
      </c>
      <c r="T223" s="426" t="s">
        <v>288</v>
      </c>
      <c r="U223" s="427">
        <v>8800</v>
      </c>
      <c r="V223" s="428">
        <v>9800</v>
      </c>
      <c r="W223" s="425">
        <v>8790</v>
      </c>
      <c r="X223" s="429">
        <v>80</v>
      </c>
      <c r="Y223" s="1284">
        <v>4500</v>
      </c>
      <c r="Z223" s="1301"/>
      <c r="AA223" s="445"/>
      <c r="AB223" s="1286">
        <v>10150</v>
      </c>
      <c r="AC223" s="1289">
        <v>100</v>
      </c>
      <c r="AD223" s="1292" t="s">
        <v>290</v>
      </c>
      <c r="AE223" s="1294" t="s">
        <v>290</v>
      </c>
      <c r="AF223" s="1294" t="s">
        <v>290</v>
      </c>
      <c r="AG223" s="1297" t="s">
        <v>290</v>
      </c>
      <c r="AH223" s="1269" t="s">
        <v>296</v>
      </c>
      <c r="AJ223" s="185" t="s">
        <v>392</v>
      </c>
      <c r="AK223" s="142" t="s">
        <v>411</v>
      </c>
      <c r="AL223" s="178">
        <v>587400</v>
      </c>
      <c r="AM223" s="179">
        <v>5870</v>
      </c>
      <c r="AN223" s="156"/>
      <c r="AO223" s="151"/>
    </row>
    <row r="224" spans="1:87" ht="13.5" customHeight="1">
      <c r="A224" s="431" t="s">
        <v>321</v>
      </c>
      <c r="B224" s="432" t="s">
        <v>301</v>
      </c>
      <c r="C224" s="433" t="s">
        <v>336</v>
      </c>
      <c r="D224" s="434">
        <v>71870</v>
      </c>
      <c r="E224" s="435">
        <v>131200</v>
      </c>
      <c r="F224" s="434">
        <v>61960</v>
      </c>
      <c r="G224" s="435">
        <v>121290</v>
      </c>
      <c r="H224" s="436">
        <v>690</v>
      </c>
      <c r="I224" s="437">
        <v>1200</v>
      </c>
      <c r="J224" s="438" t="s">
        <v>731</v>
      </c>
      <c r="K224" s="436">
        <v>590</v>
      </c>
      <c r="L224" s="437">
        <v>1100</v>
      </c>
      <c r="M224" s="438" t="s">
        <v>287</v>
      </c>
      <c r="N224" s="439">
        <v>7320</v>
      </c>
      <c r="O224" s="440">
        <v>70</v>
      </c>
      <c r="P224" s="1300"/>
      <c r="Q224" s="1300"/>
      <c r="R224" s="1279"/>
      <c r="S224" s="1282"/>
      <c r="T224" s="393" t="s">
        <v>292</v>
      </c>
      <c r="U224" s="442">
        <v>4800</v>
      </c>
      <c r="V224" s="443">
        <v>5400</v>
      </c>
      <c r="W224" s="441">
        <v>8790</v>
      </c>
      <c r="X224" s="444">
        <v>80</v>
      </c>
      <c r="Y224" s="1285"/>
      <c r="Z224" s="1301"/>
      <c r="AA224" s="445"/>
      <c r="AB224" s="1287"/>
      <c r="AC224" s="1290"/>
      <c r="AD224" s="1293"/>
      <c r="AE224" s="1295"/>
      <c r="AF224" s="1295"/>
      <c r="AG224" s="1298"/>
      <c r="AH224" s="1270"/>
      <c r="AJ224" s="185" t="s">
        <v>392</v>
      </c>
      <c r="AK224" s="142" t="s">
        <v>412</v>
      </c>
      <c r="AL224" s="178">
        <v>620600</v>
      </c>
      <c r="AM224" s="179">
        <v>6200</v>
      </c>
      <c r="AN224" s="156"/>
      <c r="AO224" s="151"/>
    </row>
    <row r="225" spans="1:41" ht="13.5" customHeight="1" thickBot="1">
      <c r="A225" s="431" t="s">
        <v>321</v>
      </c>
      <c r="B225" s="432" t="s">
        <v>301</v>
      </c>
      <c r="C225" s="433" t="s">
        <v>337</v>
      </c>
      <c r="D225" s="434">
        <v>131200</v>
      </c>
      <c r="E225" s="435">
        <v>204480</v>
      </c>
      <c r="F225" s="434">
        <v>121290</v>
      </c>
      <c r="G225" s="435">
        <v>194570</v>
      </c>
      <c r="H225" s="436">
        <v>1200</v>
      </c>
      <c r="I225" s="437">
        <v>1930</v>
      </c>
      <c r="J225" s="438" t="s">
        <v>731</v>
      </c>
      <c r="K225" s="436">
        <v>1100</v>
      </c>
      <c r="L225" s="437">
        <v>1830</v>
      </c>
      <c r="M225" s="438" t="s">
        <v>287</v>
      </c>
      <c r="N225" s="446"/>
      <c r="O225" s="447"/>
      <c r="P225" s="1300"/>
      <c r="Q225" s="1300"/>
      <c r="R225" s="1279"/>
      <c r="S225" s="1282"/>
      <c r="T225" s="393" t="s">
        <v>293</v>
      </c>
      <c r="U225" s="442">
        <v>4200</v>
      </c>
      <c r="V225" s="443">
        <v>4700</v>
      </c>
      <c r="W225" s="441">
        <v>8790</v>
      </c>
      <c r="X225" s="444">
        <v>80</v>
      </c>
      <c r="Y225" s="448"/>
      <c r="Z225" s="1301"/>
      <c r="AA225" s="445"/>
      <c r="AB225" s="1287"/>
      <c r="AC225" s="1290"/>
      <c r="AD225" s="1271">
        <v>0.01</v>
      </c>
      <c r="AE225" s="1273">
        <v>0.03</v>
      </c>
      <c r="AF225" s="1273">
        <v>0.04</v>
      </c>
      <c r="AG225" s="1275">
        <v>0.06</v>
      </c>
      <c r="AH225" s="1277">
        <v>0.92</v>
      </c>
      <c r="AJ225" s="186" t="s">
        <v>392</v>
      </c>
      <c r="AK225" s="181" t="s">
        <v>413</v>
      </c>
      <c r="AL225" s="182">
        <v>653900</v>
      </c>
      <c r="AM225" s="183">
        <v>6530</v>
      </c>
      <c r="AN225" s="156"/>
      <c r="AO225" s="151"/>
    </row>
    <row r="226" spans="1:41" ht="13.5" customHeight="1">
      <c r="A226" s="431" t="s">
        <v>321</v>
      </c>
      <c r="B226" s="449" t="s">
        <v>301</v>
      </c>
      <c r="C226" s="450" t="s">
        <v>338</v>
      </c>
      <c r="D226" s="451">
        <v>204480</v>
      </c>
      <c r="E226" s="452"/>
      <c r="F226" s="451">
        <v>194570</v>
      </c>
      <c r="G226" s="452"/>
      <c r="H226" s="439">
        <v>1930</v>
      </c>
      <c r="I226" s="453"/>
      <c r="J226" s="454" t="s">
        <v>731</v>
      </c>
      <c r="K226" s="439">
        <v>1830</v>
      </c>
      <c r="L226" s="453"/>
      <c r="M226" s="454" t="s">
        <v>287</v>
      </c>
      <c r="N226" s="446"/>
      <c r="O226" s="455"/>
      <c r="P226" s="441"/>
      <c r="Q226" s="441"/>
      <c r="R226" s="1280"/>
      <c r="S226" s="1283"/>
      <c r="T226" s="456" t="s">
        <v>294</v>
      </c>
      <c r="U226" s="457">
        <v>3800</v>
      </c>
      <c r="V226" s="458">
        <v>4200</v>
      </c>
      <c r="W226" s="459">
        <v>8790</v>
      </c>
      <c r="X226" s="460">
        <v>80</v>
      </c>
      <c r="Y226" s="448"/>
      <c r="Z226" s="1301"/>
      <c r="AA226" s="445"/>
      <c r="AB226" s="1288"/>
      <c r="AC226" s="1291"/>
      <c r="AD226" s="1272"/>
      <c r="AE226" s="1274"/>
      <c r="AF226" s="1274"/>
      <c r="AG226" s="1276"/>
      <c r="AH226" s="1277"/>
      <c r="AJ226" s="187" t="s">
        <v>393</v>
      </c>
      <c r="AK226" s="173" t="s">
        <v>400</v>
      </c>
      <c r="AL226" s="188">
        <v>233200</v>
      </c>
      <c r="AM226" s="189">
        <v>2330</v>
      </c>
      <c r="AN226" s="156"/>
      <c r="AO226" s="151"/>
    </row>
    <row r="227" spans="1:41" ht="13.5" customHeight="1">
      <c r="A227" s="431" t="s">
        <v>321</v>
      </c>
      <c r="B227" s="416" t="s">
        <v>303</v>
      </c>
      <c r="C227" s="417" t="s">
        <v>334</v>
      </c>
      <c r="D227" s="418">
        <v>56560</v>
      </c>
      <c r="E227" s="419">
        <v>63880</v>
      </c>
      <c r="F227" s="418">
        <v>48310</v>
      </c>
      <c r="G227" s="419">
        <v>55630</v>
      </c>
      <c r="H227" s="420">
        <v>540</v>
      </c>
      <c r="I227" s="421">
        <v>610</v>
      </c>
      <c r="J227" s="422" t="s">
        <v>731</v>
      </c>
      <c r="K227" s="420">
        <v>460</v>
      </c>
      <c r="L227" s="421">
        <v>530</v>
      </c>
      <c r="M227" s="422" t="s">
        <v>287</v>
      </c>
      <c r="N227" s="423">
        <v>7320</v>
      </c>
      <c r="O227" s="424">
        <v>70</v>
      </c>
      <c r="P227" s="441"/>
      <c r="Q227" s="441"/>
      <c r="R227" s="1278">
        <v>3300</v>
      </c>
      <c r="S227" s="1281">
        <v>3600</v>
      </c>
      <c r="T227" s="426" t="s">
        <v>288</v>
      </c>
      <c r="U227" s="427">
        <v>7200</v>
      </c>
      <c r="V227" s="428">
        <v>8100</v>
      </c>
      <c r="W227" s="425">
        <v>7320</v>
      </c>
      <c r="X227" s="429">
        <v>70</v>
      </c>
      <c r="Y227" s="1284">
        <v>4500</v>
      </c>
      <c r="Z227" s="1301"/>
      <c r="AA227" s="445"/>
      <c r="AB227" s="1286">
        <v>8460</v>
      </c>
      <c r="AC227" s="1289">
        <v>80</v>
      </c>
      <c r="AD227" s="1292" t="s">
        <v>290</v>
      </c>
      <c r="AE227" s="1294" t="s">
        <v>290</v>
      </c>
      <c r="AF227" s="1294" t="s">
        <v>290</v>
      </c>
      <c r="AG227" s="1297" t="s">
        <v>290</v>
      </c>
      <c r="AH227" s="1269" t="s">
        <v>296</v>
      </c>
      <c r="AJ227" s="185" t="s">
        <v>393</v>
      </c>
      <c r="AK227" s="142" t="s">
        <v>401</v>
      </c>
      <c r="AL227" s="178">
        <v>249500</v>
      </c>
      <c r="AM227" s="179">
        <v>2490</v>
      </c>
      <c r="AN227" s="156"/>
      <c r="AO227" s="151"/>
    </row>
    <row r="228" spans="1:41" ht="13.5" customHeight="1">
      <c r="A228" s="431" t="s">
        <v>321</v>
      </c>
      <c r="B228" s="431" t="s">
        <v>303</v>
      </c>
      <c r="C228" s="433" t="s">
        <v>336</v>
      </c>
      <c r="D228" s="434">
        <v>63880</v>
      </c>
      <c r="E228" s="435">
        <v>123210</v>
      </c>
      <c r="F228" s="434">
        <v>55630</v>
      </c>
      <c r="G228" s="435">
        <v>114960</v>
      </c>
      <c r="H228" s="436">
        <v>610</v>
      </c>
      <c r="I228" s="437">
        <v>1120</v>
      </c>
      <c r="J228" s="438" t="s">
        <v>731</v>
      </c>
      <c r="K228" s="436">
        <v>530</v>
      </c>
      <c r="L228" s="437">
        <v>1030</v>
      </c>
      <c r="M228" s="438" t="s">
        <v>287</v>
      </c>
      <c r="N228" s="439">
        <v>7320</v>
      </c>
      <c r="O228" s="440">
        <v>70</v>
      </c>
      <c r="P228" s="462"/>
      <c r="Q228" s="462"/>
      <c r="R228" s="1279"/>
      <c r="S228" s="1282"/>
      <c r="T228" s="393" t="s">
        <v>292</v>
      </c>
      <c r="U228" s="442">
        <v>4000</v>
      </c>
      <c r="V228" s="443">
        <v>4400</v>
      </c>
      <c r="W228" s="441">
        <v>7320</v>
      </c>
      <c r="X228" s="444">
        <v>70</v>
      </c>
      <c r="Y228" s="1285"/>
      <c r="Z228" s="1301"/>
      <c r="AA228" s="445"/>
      <c r="AB228" s="1287"/>
      <c r="AC228" s="1290"/>
      <c r="AD228" s="1293"/>
      <c r="AE228" s="1295"/>
      <c r="AF228" s="1295"/>
      <c r="AG228" s="1298"/>
      <c r="AH228" s="1270"/>
      <c r="AJ228" s="185" t="s">
        <v>393</v>
      </c>
      <c r="AK228" s="142" t="s">
        <v>402</v>
      </c>
      <c r="AL228" s="178">
        <v>282200</v>
      </c>
      <c r="AM228" s="179">
        <v>2820</v>
      </c>
      <c r="AN228" s="156"/>
      <c r="AO228" s="151"/>
    </row>
    <row r="229" spans="1:41" ht="13.5" customHeight="1">
      <c r="A229" s="431" t="s">
        <v>321</v>
      </c>
      <c r="B229" s="431" t="s">
        <v>303</v>
      </c>
      <c r="C229" s="433" t="s">
        <v>337</v>
      </c>
      <c r="D229" s="434">
        <v>123210</v>
      </c>
      <c r="E229" s="435">
        <v>196490</v>
      </c>
      <c r="F229" s="434">
        <v>114960</v>
      </c>
      <c r="G229" s="435">
        <v>188240</v>
      </c>
      <c r="H229" s="436">
        <v>1120</v>
      </c>
      <c r="I229" s="437">
        <v>1850</v>
      </c>
      <c r="J229" s="438" t="s">
        <v>731</v>
      </c>
      <c r="K229" s="436">
        <v>1030</v>
      </c>
      <c r="L229" s="437">
        <v>1760</v>
      </c>
      <c r="M229" s="438" t="s">
        <v>287</v>
      </c>
      <c r="N229" s="446"/>
      <c r="O229" s="447"/>
      <c r="P229" s="441"/>
      <c r="Q229" s="441"/>
      <c r="R229" s="1279"/>
      <c r="S229" s="1282"/>
      <c r="T229" s="393" t="s">
        <v>293</v>
      </c>
      <c r="U229" s="442">
        <v>3500</v>
      </c>
      <c r="V229" s="443">
        <v>3800</v>
      </c>
      <c r="W229" s="441">
        <v>7320</v>
      </c>
      <c r="X229" s="444">
        <v>70</v>
      </c>
      <c r="Y229" s="448"/>
      <c r="Z229" s="1301"/>
      <c r="AA229" s="445"/>
      <c r="AB229" s="1287"/>
      <c r="AC229" s="1290"/>
      <c r="AD229" s="1271">
        <v>0.01</v>
      </c>
      <c r="AE229" s="1273">
        <v>0.03</v>
      </c>
      <c r="AF229" s="1273">
        <v>0.04</v>
      </c>
      <c r="AG229" s="1275">
        <v>0.06</v>
      </c>
      <c r="AH229" s="1277">
        <v>0.9</v>
      </c>
      <c r="AJ229" s="185" t="s">
        <v>393</v>
      </c>
      <c r="AK229" s="142" t="s">
        <v>403</v>
      </c>
      <c r="AL229" s="178">
        <v>314800</v>
      </c>
      <c r="AM229" s="179">
        <v>3140</v>
      </c>
      <c r="AN229" s="156"/>
      <c r="AO229" s="151"/>
    </row>
    <row r="230" spans="1:41" ht="13.5" customHeight="1">
      <c r="A230" s="431" t="s">
        <v>321</v>
      </c>
      <c r="B230" s="463" t="s">
        <v>303</v>
      </c>
      <c r="C230" s="450" t="s">
        <v>338</v>
      </c>
      <c r="D230" s="451">
        <v>196490</v>
      </c>
      <c r="E230" s="452"/>
      <c r="F230" s="451">
        <v>188240</v>
      </c>
      <c r="G230" s="452"/>
      <c r="H230" s="439">
        <v>1850</v>
      </c>
      <c r="I230" s="453"/>
      <c r="J230" s="454" t="s">
        <v>731</v>
      </c>
      <c r="K230" s="439">
        <v>1760</v>
      </c>
      <c r="L230" s="453"/>
      <c r="M230" s="454" t="s">
        <v>287</v>
      </c>
      <c r="N230" s="446"/>
      <c r="O230" s="455"/>
      <c r="P230" s="441"/>
      <c r="Q230" s="441"/>
      <c r="R230" s="1280"/>
      <c r="S230" s="1283"/>
      <c r="T230" s="456" t="s">
        <v>294</v>
      </c>
      <c r="U230" s="457">
        <v>3100</v>
      </c>
      <c r="V230" s="458">
        <v>3400</v>
      </c>
      <c r="W230" s="459">
        <v>7320</v>
      </c>
      <c r="X230" s="460">
        <v>70</v>
      </c>
      <c r="Y230" s="448"/>
      <c r="Z230" s="1301"/>
      <c r="AA230" s="445"/>
      <c r="AB230" s="1288"/>
      <c r="AC230" s="1291"/>
      <c r="AD230" s="1272"/>
      <c r="AE230" s="1274"/>
      <c r="AF230" s="1274"/>
      <c r="AG230" s="1276"/>
      <c r="AH230" s="1277"/>
      <c r="AJ230" s="185" t="s">
        <v>393</v>
      </c>
      <c r="AK230" s="142" t="s">
        <v>404</v>
      </c>
      <c r="AL230" s="178">
        <v>347500</v>
      </c>
      <c r="AM230" s="179">
        <v>3470</v>
      </c>
      <c r="AN230" s="156"/>
      <c r="AO230" s="151"/>
    </row>
    <row r="231" spans="1:41" ht="13.5" customHeight="1">
      <c r="A231" s="431" t="s">
        <v>321</v>
      </c>
      <c r="B231" s="416" t="s">
        <v>304</v>
      </c>
      <c r="C231" s="417" t="s">
        <v>334</v>
      </c>
      <c r="D231" s="418">
        <v>50940</v>
      </c>
      <c r="E231" s="419">
        <v>58260</v>
      </c>
      <c r="F231" s="418">
        <v>43860</v>
      </c>
      <c r="G231" s="419">
        <v>51180</v>
      </c>
      <c r="H231" s="420">
        <v>490</v>
      </c>
      <c r="I231" s="421">
        <v>560</v>
      </c>
      <c r="J231" s="422" t="s">
        <v>731</v>
      </c>
      <c r="K231" s="420">
        <v>420</v>
      </c>
      <c r="L231" s="421">
        <v>490</v>
      </c>
      <c r="M231" s="422" t="s">
        <v>287</v>
      </c>
      <c r="N231" s="423">
        <v>7320</v>
      </c>
      <c r="O231" s="424">
        <v>70</v>
      </c>
      <c r="P231" s="462"/>
      <c r="Q231" s="462"/>
      <c r="R231" s="1278">
        <v>2800</v>
      </c>
      <c r="S231" s="1281">
        <v>3100</v>
      </c>
      <c r="T231" s="426" t="s">
        <v>288</v>
      </c>
      <c r="U231" s="427">
        <v>6300</v>
      </c>
      <c r="V231" s="428">
        <v>7100</v>
      </c>
      <c r="W231" s="425">
        <v>6280</v>
      </c>
      <c r="X231" s="429">
        <v>60</v>
      </c>
      <c r="Y231" s="1284">
        <v>4500</v>
      </c>
      <c r="Z231" s="1301"/>
      <c r="AA231" s="445"/>
      <c r="AB231" s="1286">
        <v>7250</v>
      </c>
      <c r="AC231" s="1289">
        <v>70</v>
      </c>
      <c r="AD231" s="1292" t="s">
        <v>290</v>
      </c>
      <c r="AE231" s="1294" t="s">
        <v>290</v>
      </c>
      <c r="AF231" s="1294" t="s">
        <v>290</v>
      </c>
      <c r="AG231" s="1297" t="s">
        <v>290</v>
      </c>
      <c r="AH231" s="1269" t="s">
        <v>296</v>
      </c>
      <c r="AJ231" s="185" t="s">
        <v>393</v>
      </c>
      <c r="AK231" s="142" t="s">
        <v>405</v>
      </c>
      <c r="AL231" s="178">
        <v>380200</v>
      </c>
      <c r="AM231" s="179">
        <v>3800</v>
      </c>
      <c r="AN231" s="156"/>
      <c r="AO231" s="151"/>
    </row>
    <row r="232" spans="1:41" ht="13.5" customHeight="1">
      <c r="A232" s="431" t="s">
        <v>321</v>
      </c>
      <c r="B232" s="432" t="s">
        <v>304</v>
      </c>
      <c r="C232" s="433" t="s">
        <v>336</v>
      </c>
      <c r="D232" s="434">
        <v>58260</v>
      </c>
      <c r="E232" s="435">
        <v>117590</v>
      </c>
      <c r="F232" s="434">
        <v>51180</v>
      </c>
      <c r="G232" s="435">
        <v>110510</v>
      </c>
      <c r="H232" s="436">
        <v>560</v>
      </c>
      <c r="I232" s="437">
        <v>1060</v>
      </c>
      <c r="J232" s="438" t="s">
        <v>731</v>
      </c>
      <c r="K232" s="436">
        <v>490</v>
      </c>
      <c r="L232" s="437">
        <v>990</v>
      </c>
      <c r="M232" s="438" t="s">
        <v>287</v>
      </c>
      <c r="N232" s="439">
        <v>7320</v>
      </c>
      <c r="O232" s="440">
        <v>70</v>
      </c>
      <c r="P232" s="441"/>
      <c r="Q232" s="441"/>
      <c r="R232" s="1279"/>
      <c r="S232" s="1282"/>
      <c r="T232" s="393" t="s">
        <v>292</v>
      </c>
      <c r="U232" s="442">
        <v>3500</v>
      </c>
      <c r="V232" s="443">
        <v>3900</v>
      </c>
      <c r="W232" s="441">
        <v>6280</v>
      </c>
      <c r="X232" s="444">
        <v>60</v>
      </c>
      <c r="Y232" s="1285"/>
      <c r="Z232" s="1301"/>
      <c r="AA232" s="445"/>
      <c r="AB232" s="1287"/>
      <c r="AC232" s="1290"/>
      <c r="AD232" s="1293"/>
      <c r="AE232" s="1295"/>
      <c r="AF232" s="1295"/>
      <c r="AG232" s="1298"/>
      <c r="AH232" s="1270"/>
      <c r="AJ232" s="185" t="s">
        <v>393</v>
      </c>
      <c r="AK232" s="142" t="s">
        <v>406</v>
      </c>
      <c r="AL232" s="178">
        <v>412800</v>
      </c>
      <c r="AM232" s="179">
        <v>4120</v>
      </c>
      <c r="AN232" s="156"/>
      <c r="AO232" s="151"/>
    </row>
    <row r="233" spans="1:41" ht="13.5" customHeight="1">
      <c r="A233" s="431" t="s">
        <v>321</v>
      </c>
      <c r="B233" s="432" t="s">
        <v>304</v>
      </c>
      <c r="C233" s="433" t="s">
        <v>337</v>
      </c>
      <c r="D233" s="434">
        <v>117590</v>
      </c>
      <c r="E233" s="435">
        <v>190870</v>
      </c>
      <c r="F233" s="434">
        <v>110510</v>
      </c>
      <c r="G233" s="435">
        <v>183790</v>
      </c>
      <c r="H233" s="436">
        <v>1060</v>
      </c>
      <c r="I233" s="437">
        <v>1790</v>
      </c>
      <c r="J233" s="438" t="s">
        <v>731</v>
      </c>
      <c r="K233" s="436">
        <v>990</v>
      </c>
      <c r="L233" s="437">
        <v>1720</v>
      </c>
      <c r="M233" s="438" t="s">
        <v>287</v>
      </c>
      <c r="N233" s="446"/>
      <c r="O233" s="447"/>
      <c r="P233" s="441"/>
      <c r="Q233" s="441"/>
      <c r="R233" s="1279"/>
      <c r="S233" s="1282"/>
      <c r="T233" s="393" t="s">
        <v>293</v>
      </c>
      <c r="U233" s="442">
        <v>3000</v>
      </c>
      <c r="V233" s="443">
        <v>3400</v>
      </c>
      <c r="W233" s="441">
        <v>6280</v>
      </c>
      <c r="X233" s="444">
        <v>60</v>
      </c>
      <c r="Y233" s="448"/>
      <c r="Z233" s="1301"/>
      <c r="AA233" s="445"/>
      <c r="AB233" s="1287"/>
      <c r="AC233" s="1290"/>
      <c r="AD233" s="1271">
        <v>0.02</v>
      </c>
      <c r="AE233" s="1273">
        <v>0.03</v>
      </c>
      <c r="AF233" s="1273">
        <v>0.05</v>
      </c>
      <c r="AG233" s="1275">
        <v>0.06</v>
      </c>
      <c r="AH233" s="1277">
        <v>0.92</v>
      </c>
      <c r="AJ233" s="185" t="s">
        <v>393</v>
      </c>
      <c r="AK233" s="142" t="s">
        <v>407</v>
      </c>
      <c r="AL233" s="178">
        <v>445500</v>
      </c>
      <c r="AM233" s="179">
        <v>4450</v>
      </c>
      <c r="AN233" s="156"/>
      <c r="AO233" s="151"/>
    </row>
    <row r="234" spans="1:41" ht="13.5" customHeight="1">
      <c r="A234" s="431" t="s">
        <v>321</v>
      </c>
      <c r="B234" s="449" t="s">
        <v>304</v>
      </c>
      <c r="C234" s="450" t="s">
        <v>338</v>
      </c>
      <c r="D234" s="451">
        <v>190870</v>
      </c>
      <c r="E234" s="452"/>
      <c r="F234" s="451">
        <v>183790</v>
      </c>
      <c r="G234" s="452"/>
      <c r="H234" s="439">
        <v>1790</v>
      </c>
      <c r="I234" s="453"/>
      <c r="J234" s="454" t="s">
        <v>731</v>
      </c>
      <c r="K234" s="439">
        <v>1720</v>
      </c>
      <c r="L234" s="453"/>
      <c r="M234" s="454" t="s">
        <v>287</v>
      </c>
      <c r="N234" s="446"/>
      <c r="O234" s="455"/>
      <c r="P234" s="462"/>
      <c r="Q234" s="462"/>
      <c r="R234" s="1280"/>
      <c r="S234" s="1283"/>
      <c r="T234" s="456" t="s">
        <v>294</v>
      </c>
      <c r="U234" s="457">
        <v>2700</v>
      </c>
      <c r="V234" s="458">
        <v>3000</v>
      </c>
      <c r="W234" s="459">
        <v>6280</v>
      </c>
      <c r="X234" s="460">
        <v>60</v>
      </c>
      <c r="Y234" s="448"/>
      <c r="Z234" s="1301"/>
      <c r="AA234" s="445"/>
      <c r="AB234" s="1288"/>
      <c r="AC234" s="1291"/>
      <c r="AD234" s="1272"/>
      <c r="AE234" s="1274"/>
      <c r="AF234" s="1274"/>
      <c r="AG234" s="1276"/>
      <c r="AH234" s="1277"/>
      <c r="AJ234" s="185" t="s">
        <v>393</v>
      </c>
      <c r="AK234" s="142" t="s">
        <v>408</v>
      </c>
      <c r="AL234" s="178">
        <v>478200</v>
      </c>
      <c r="AM234" s="179">
        <v>4780</v>
      </c>
      <c r="AN234" s="156"/>
      <c r="AO234" s="151"/>
    </row>
    <row r="235" spans="1:41" ht="13.5" customHeight="1">
      <c r="A235" s="431" t="s">
        <v>321</v>
      </c>
      <c r="B235" s="416" t="s">
        <v>305</v>
      </c>
      <c r="C235" s="417" t="s">
        <v>334</v>
      </c>
      <c r="D235" s="418">
        <v>46770</v>
      </c>
      <c r="E235" s="419">
        <v>54090</v>
      </c>
      <c r="F235" s="418">
        <v>40580</v>
      </c>
      <c r="G235" s="419">
        <v>47900</v>
      </c>
      <c r="H235" s="420">
        <v>440</v>
      </c>
      <c r="I235" s="421">
        <v>510</v>
      </c>
      <c r="J235" s="422" t="s">
        <v>731</v>
      </c>
      <c r="K235" s="420">
        <v>380</v>
      </c>
      <c r="L235" s="421">
        <v>450</v>
      </c>
      <c r="M235" s="422" t="s">
        <v>287</v>
      </c>
      <c r="N235" s="423">
        <v>7320</v>
      </c>
      <c r="O235" s="424">
        <v>70</v>
      </c>
      <c r="P235" s="441"/>
      <c r="Q235" s="441"/>
      <c r="R235" s="1278">
        <v>3200</v>
      </c>
      <c r="S235" s="1281">
        <v>3600</v>
      </c>
      <c r="T235" s="426" t="s">
        <v>288</v>
      </c>
      <c r="U235" s="427">
        <v>7100</v>
      </c>
      <c r="V235" s="428">
        <v>7900</v>
      </c>
      <c r="W235" s="425">
        <v>5490</v>
      </c>
      <c r="X235" s="429">
        <v>50</v>
      </c>
      <c r="Y235" s="1284">
        <v>4500</v>
      </c>
      <c r="Z235" s="1301"/>
      <c r="AA235" s="445"/>
      <c r="AB235" s="1286">
        <v>6340</v>
      </c>
      <c r="AC235" s="1289">
        <v>60</v>
      </c>
      <c r="AD235" s="1292" t="s">
        <v>290</v>
      </c>
      <c r="AE235" s="1294" t="s">
        <v>290</v>
      </c>
      <c r="AF235" s="1294" t="s">
        <v>290</v>
      </c>
      <c r="AG235" s="1297" t="s">
        <v>290</v>
      </c>
      <c r="AH235" s="1269" t="s">
        <v>296</v>
      </c>
      <c r="AJ235" s="185" t="s">
        <v>393</v>
      </c>
      <c r="AK235" s="142" t="s">
        <v>409</v>
      </c>
      <c r="AL235" s="178">
        <v>510800</v>
      </c>
      <c r="AM235" s="179">
        <v>5100</v>
      </c>
      <c r="AN235" s="156"/>
      <c r="AO235" s="151"/>
    </row>
    <row r="236" spans="1:41" ht="13.5" customHeight="1">
      <c r="A236" s="431" t="s">
        <v>321</v>
      </c>
      <c r="B236" s="432" t="s">
        <v>305</v>
      </c>
      <c r="C236" s="433" t="s">
        <v>336</v>
      </c>
      <c r="D236" s="434">
        <v>54090</v>
      </c>
      <c r="E236" s="435">
        <v>113420</v>
      </c>
      <c r="F236" s="434">
        <v>47900</v>
      </c>
      <c r="G236" s="435">
        <v>107230</v>
      </c>
      <c r="H236" s="436">
        <v>510</v>
      </c>
      <c r="I236" s="437">
        <v>1020</v>
      </c>
      <c r="J236" s="438" t="s">
        <v>731</v>
      </c>
      <c r="K236" s="436">
        <v>450</v>
      </c>
      <c r="L236" s="437">
        <v>960</v>
      </c>
      <c r="M236" s="438" t="s">
        <v>287</v>
      </c>
      <c r="N236" s="439">
        <v>7320</v>
      </c>
      <c r="O236" s="440">
        <v>70</v>
      </c>
      <c r="P236" s="441"/>
      <c r="Q236" s="441"/>
      <c r="R236" s="1279"/>
      <c r="S236" s="1282"/>
      <c r="T236" s="393" t="s">
        <v>292</v>
      </c>
      <c r="U236" s="442">
        <v>3900</v>
      </c>
      <c r="V236" s="443">
        <v>4300</v>
      </c>
      <c r="W236" s="441">
        <v>5490</v>
      </c>
      <c r="X236" s="444">
        <v>50</v>
      </c>
      <c r="Y236" s="1285"/>
      <c r="Z236" s="1301"/>
      <c r="AA236" s="445"/>
      <c r="AB236" s="1287"/>
      <c r="AC236" s="1290"/>
      <c r="AD236" s="1293"/>
      <c r="AE236" s="1295"/>
      <c r="AF236" s="1295"/>
      <c r="AG236" s="1298"/>
      <c r="AH236" s="1270"/>
      <c r="AJ236" s="185" t="s">
        <v>393</v>
      </c>
      <c r="AK236" s="142" t="s">
        <v>410</v>
      </c>
      <c r="AL236" s="178">
        <v>543500</v>
      </c>
      <c r="AM236" s="179">
        <v>5430</v>
      </c>
      <c r="AN236" s="156"/>
      <c r="AO236" s="151"/>
    </row>
    <row r="237" spans="1:41" ht="13.5" customHeight="1">
      <c r="A237" s="431" t="s">
        <v>321</v>
      </c>
      <c r="B237" s="432" t="s">
        <v>305</v>
      </c>
      <c r="C237" s="433" t="s">
        <v>337</v>
      </c>
      <c r="D237" s="434">
        <v>113420</v>
      </c>
      <c r="E237" s="435">
        <v>186700</v>
      </c>
      <c r="F237" s="434">
        <v>107230</v>
      </c>
      <c r="G237" s="435">
        <v>180510</v>
      </c>
      <c r="H237" s="436">
        <v>1020</v>
      </c>
      <c r="I237" s="437">
        <v>1750</v>
      </c>
      <c r="J237" s="438" t="s">
        <v>731</v>
      </c>
      <c r="K237" s="436">
        <v>960</v>
      </c>
      <c r="L237" s="437">
        <v>1690</v>
      </c>
      <c r="M237" s="438" t="s">
        <v>287</v>
      </c>
      <c r="N237" s="446"/>
      <c r="O237" s="447"/>
      <c r="P237" s="462"/>
      <c r="Q237" s="462"/>
      <c r="R237" s="1279"/>
      <c r="S237" s="1282"/>
      <c r="T237" s="393" t="s">
        <v>293</v>
      </c>
      <c r="U237" s="442">
        <v>3400</v>
      </c>
      <c r="V237" s="443">
        <v>3800</v>
      </c>
      <c r="W237" s="441">
        <v>5490</v>
      </c>
      <c r="X237" s="444">
        <v>50</v>
      </c>
      <c r="Y237" s="448"/>
      <c r="Z237" s="1301"/>
      <c r="AA237" s="462"/>
      <c r="AB237" s="1287"/>
      <c r="AC237" s="1290"/>
      <c r="AD237" s="1271">
        <v>0.02</v>
      </c>
      <c r="AE237" s="1273">
        <v>0.03</v>
      </c>
      <c r="AF237" s="1273">
        <v>0.05</v>
      </c>
      <c r="AG237" s="1275">
        <v>0.06</v>
      </c>
      <c r="AH237" s="1277">
        <v>0.89</v>
      </c>
      <c r="AJ237" s="185" t="s">
        <v>393</v>
      </c>
      <c r="AK237" s="142" t="s">
        <v>411</v>
      </c>
      <c r="AL237" s="178">
        <v>576200</v>
      </c>
      <c r="AM237" s="179">
        <v>5760</v>
      </c>
      <c r="AN237" s="156"/>
      <c r="AO237" s="151"/>
    </row>
    <row r="238" spans="1:41" ht="13.5" customHeight="1">
      <c r="A238" s="431" t="s">
        <v>321</v>
      </c>
      <c r="B238" s="449" t="s">
        <v>305</v>
      </c>
      <c r="C238" s="450" t="s">
        <v>338</v>
      </c>
      <c r="D238" s="451">
        <v>186700</v>
      </c>
      <c r="E238" s="452"/>
      <c r="F238" s="451">
        <v>180510</v>
      </c>
      <c r="G238" s="452"/>
      <c r="H238" s="439">
        <v>1750</v>
      </c>
      <c r="I238" s="453"/>
      <c r="J238" s="454" t="s">
        <v>731</v>
      </c>
      <c r="K238" s="439">
        <v>1690</v>
      </c>
      <c r="L238" s="453"/>
      <c r="M238" s="454" t="s">
        <v>287</v>
      </c>
      <c r="N238" s="446"/>
      <c r="O238" s="455"/>
      <c r="P238" s="441"/>
      <c r="Q238" s="441"/>
      <c r="R238" s="1280"/>
      <c r="S238" s="1283"/>
      <c r="T238" s="456" t="s">
        <v>294</v>
      </c>
      <c r="U238" s="457">
        <v>3000</v>
      </c>
      <c r="V238" s="458">
        <v>3400</v>
      </c>
      <c r="W238" s="459">
        <v>5490</v>
      </c>
      <c r="X238" s="460">
        <v>50</v>
      </c>
      <c r="Y238" s="448"/>
      <c r="Z238" s="1301"/>
      <c r="AA238" s="462"/>
      <c r="AB238" s="1288"/>
      <c r="AC238" s="1291"/>
      <c r="AD238" s="1272"/>
      <c r="AE238" s="1274"/>
      <c r="AF238" s="1274"/>
      <c r="AG238" s="1276"/>
      <c r="AH238" s="1277"/>
      <c r="AJ238" s="185" t="s">
        <v>393</v>
      </c>
      <c r="AK238" s="142" t="s">
        <v>412</v>
      </c>
      <c r="AL238" s="178">
        <v>608800</v>
      </c>
      <c r="AM238" s="179">
        <v>6080</v>
      </c>
      <c r="AN238" s="156"/>
      <c r="AO238" s="151"/>
    </row>
    <row r="239" spans="1:41" ht="13.5" customHeight="1" thickBot="1">
      <c r="A239" s="431" t="s">
        <v>321</v>
      </c>
      <c r="B239" s="416" t="s">
        <v>306</v>
      </c>
      <c r="C239" s="417" t="s">
        <v>334</v>
      </c>
      <c r="D239" s="418">
        <v>43480</v>
      </c>
      <c r="E239" s="419">
        <v>50800</v>
      </c>
      <c r="F239" s="418">
        <v>37980</v>
      </c>
      <c r="G239" s="419">
        <v>45300</v>
      </c>
      <c r="H239" s="420">
        <v>410</v>
      </c>
      <c r="I239" s="421">
        <v>480</v>
      </c>
      <c r="J239" s="422" t="s">
        <v>731</v>
      </c>
      <c r="K239" s="420">
        <v>360</v>
      </c>
      <c r="L239" s="421">
        <v>430</v>
      </c>
      <c r="M239" s="422" t="s">
        <v>287</v>
      </c>
      <c r="N239" s="423">
        <v>7320</v>
      </c>
      <c r="O239" s="424">
        <v>70</v>
      </c>
      <c r="P239" s="441"/>
      <c r="Q239" s="441"/>
      <c r="R239" s="1278">
        <v>2900</v>
      </c>
      <c r="S239" s="1281">
        <v>3200</v>
      </c>
      <c r="T239" s="426" t="s">
        <v>288</v>
      </c>
      <c r="U239" s="427">
        <v>6300</v>
      </c>
      <c r="V239" s="428">
        <v>7100</v>
      </c>
      <c r="W239" s="425">
        <v>4880</v>
      </c>
      <c r="X239" s="429">
        <v>40</v>
      </c>
      <c r="Y239" s="1284">
        <v>4500</v>
      </c>
      <c r="Z239" s="1301"/>
      <c r="AA239" s="462"/>
      <c r="AB239" s="1286">
        <v>5640</v>
      </c>
      <c r="AC239" s="1289">
        <v>50</v>
      </c>
      <c r="AD239" s="1292" t="s">
        <v>290</v>
      </c>
      <c r="AE239" s="1294" t="s">
        <v>290</v>
      </c>
      <c r="AF239" s="1294" t="s">
        <v>290</v>
      </c>
      <c r="AG239" s="1297" t="s">
        <v>290</v>
      </c>
      <c r="AH239" s="1269" t="s">
        <v>296</v>
      </c>
      <c r="AJ239" s="186" t="s">
        <v>393</v>
      </c>
      <c r="AK239" s="181" t="s">
        <v>413</v>
      </c>
      <c r="AL239" s="182">
        <v>641500</v>
      </c>
      <c r="AM239" s="183">
        <v>6410</v>
      </c>
      <c r="AN239" s="156"/>
      <c r="AO239" s="151"/>
    </row>
    <row r="240" spans="1:41" ht="13.5" customHeight="1">
      <c r="A240" s="431" t="s">
        <v>321</v>
      </c>
      <c r="B240" s="432" t="s">
        <v>306</v>
      </c>
      <c r="C240" s="433" t="s">
        <v>336</v>
      </c>
      <c r="D240" s="434">
        <v>50800</v>
      </c>
      <c r="E240" s="435">
        <v>110130</v>
      </c>
      <c r="F240" s="434">
        <v>45300</v>
      </c>
      <c r="G240" s="435">
        <v>104630</v>
      </c>
      <c r="H240" s="436">
        <v>480</v>
      </c>
      <c r="I240" s="437">
        <v>980</v>
      </c>
      <c r="J240" s="438" t="s">
        <v>731</v>
      </c>
      <c r="K240" s="436">
        <v>430</v>
      </c>
      <c r="L240" s="437">
        <v>930</v>
      </c>
      <c r="M240" s="438" t="s">
        <v>287</v>
      </c>
      <c r="N240" s="439">
        <v>7320</v>
      </c>
      <c r="O240" s="440">
        <v>70</v>
      </c>
      <c r="P240" s="462"/>
      <c r="Q240" s="462"/>
      <c r="R240" s="1279"/>
      <c r="S240" s="1282"/>
      <c r="T240" s="393" t="s">
        <v>292</v>
      </c>
      <c r="U240" s="442">
        <v>3500</v>
      </c>
      <c r="V240" s="443">
        <v>3900</v>
      </c>
      <c r="W240" s="441">
        <v>4880</v>
      </c>
      <c r="X240" s="444">
        <v>40</v>
      </c>
      <c r="Y240" s="1285"/>
      <c r="Z240" s="1301"/>
      <c r="AA240" s="462"/>
      <c r="AB240" s="1287"/>
      <c r="AC240" s="1290"/>
      <c r="AD240" s="1293"/>
      <c r="AE240" s="1295"/>
      <c r="AF240" s="1295"/>
      <c r="AG240" s="1298"/>
      <c r="AH240" s="1270"/>
      <c r="AJ240" s="151"/>
      <c r="AK240" s="151"/>
      <c r="AL240" s="152"/>
      <c r="AM240" s="152"/>
      <c r="AN240" s="151"/>
      <c r="AO240" s="151"/>
    </row>
    <row r="241" spans="1:42" ht="13.5" customHeight="1">
      <c r="A241" s="431" t="s">
        <v>321</v>
      </c>
      <c r="B241" s="432" t="s">
        <v>306</v>
      </c>
      <c r="C241" s="433" t="s">
        <v>337</v>
      </c>
      <c r="D241" s="434">
        <v>110130</v>
      </c>
      <c r="E241" s="435">
        <v>183410</v>
      </c>
      <c r="F241" s="434">
        <v>104630</v>
      </c>
      <c r="G241" s="435">
        <v>177910</v>
      </c>
      <c r="H241" s="436">
        <v>980</v>
      </c>
      <c r="I241" s="437">
        <v>1710</v>
      </c>
      <c r="J241" s="438" t="s">
        <v>731</v>
      </c>
      <c r="K241" s="436">
        <v>930</v>
      </c>
      <c r="L241" s="437">
        <v>1660</v>
      </c>
      <c r="M241" s="438" t="s">
        <v>287</v>
      </c>
      <c r="N241" s="446"/>
      <c r="O241" s="447"/>
      <c r="P241" s="441"/>
      <c r="Q241" s="441"/>
      <c r="R241" s="1279"/>
      <c r="S241" s="1282"/>
      <c r="T241" s="393" t="s">
        <v>293</v>
      </c>
      <c r="U241" s="442">
        <v>3000</v>
      </c>
      <c r="V241" s="443">
        <v>3400</v>
      </c>
      <c r="W241" s="441">
        <v>4880</v>
      </c>
      <c r="X241" s="444">
        <v>40</v>
      </c>
      <c r="Y241" s="448"/>
      <c r="Z241" s="1301"/>
      <c r="AA241" s="464"/>
      <c r="AB241" s="1287"/>
      <c r="AC241" s="1290"/>
      <c r="AD241" s="1271">
        <v>0.02</v>
      </c>
      <c r="AE241" s="1273">
        <v>0.03</v>
      </c>
      <c r="AF241" s="1273">
        <v>0.05</v>
      </c>
      <c r="AG241" s="1275">
        <v>0.06</v>
      </c>
      <c r="AH241" s="1277">
        <v>0.9</v>
      </c>
      <c r="AJ241" s="218"/>
      <c r="AK241" s="218"/>
      <c r="AL241" s="219"/>
      <c r="AM241" s="219"/>
      <c r="AN241" s="218"/>
      <c r="AO241" s="218"/>
      <c r="AP241" s="220"/>
    </row>
    <row r="242" spans="1:42" ht="13.5" customHeight="1">
      <c r="A242" s="431" t="s">
        <v>321</v>
      </c>
      <c r="B242" s="449" t="s">
        <v>306</v>
      </c>
      <c r="C242" s="450" t="s">
        <v>338</v>
      </c>
      <c r="D242" s="451">
        <v>183410</v>
      </c>
      <c r="E242" s="452"/>
      <c r="F242" s="451">
        <v>177910</v>
      </c>
      <c r="G242" s="452"/>
      <c r="H242" s="439">
        <v>1710</v>
      </c>
      <c r="I242" s="453"/>
      <c r="J242" s="454" t="s">
        <v>731</v>
      </c>
      <c r="K242" s="439">
        <v>1660</v>
      </c>
      <c r="L242" s="453"/>
      <c r="M242" s="454" t="s">
        <v>287</v>
      </c>
      <c r="N242" s="446"/>
      <c r="O242" s="455"/>
      <c r="P242" s="441"/>
      <c r="Q242" s="441"/>
      <c r="R242" s="1280"/>
      <c r="S242" s="1283"/>
      <c r="T242" s="456" t="s">
        <v>294</v>
      </c>
      <c r="U242" s="457">
        <v>2700</v>
      </c>
      <c r="V242" s="458">
        <v>3000</v>
      </c>
      <c r="W242" s="459">
        <v>4880</v>
      </c>
      <c r="X242" s="460">
        <v>40</v>
      </c>
      <c r="Y242" s="448"/>
      <c r="Z242" s="1301"/>
      <c r="AA242" s="464"/>
      <c r="AB242" s="1288"/>
      <c r="AC242" s="1291"/>
      <c r="AD242" s="1272"/>
      <c r="AE242" s="1274"/>
      <c r="AF242" s="1274"/>
      <c r="AG242" s="1276"/>
      <c r="AH242" s="1277"/>
      <c r="AJ242" s="221"/>
      <c r="AK242" s="222"/>
      <c r="AL242" s="223"/>
      <c r="AM242" s="218"/>
      <c r="AN242" s="218"/>
      <c r="AO242" s="218"/>
      <c r="AP242" s="220"/>
    </row>
    <row r="243" spans="1:42" ht="13.5" customHeight="1">
      <c r="A243" s="431" t="s">
        <v>321</v>
      </c>
      <c r="B243" s="416" t="s">
        <v>307</v>
      </c>
      <c r="C243" s="417" t="s">
        <v>334</v>
      </c>
      <c r="D243" s="418">
        <v>37630</v>
      </c>
      <c r="E243" s="419">
        <v>44950</v>
      </c>
      <c r="F243" s="418">
        <v>32680</v>
      </c>
      <c r="G243" s="419">
        <v>40000</v>
      </c>
      <c r="H243" s="420">
        <v>350</v>
      </c>
      <c r="I243" s="421">
        <v>420</v>
      </c>
      <c r="J243" s="422" t="s">
        <v>731</v>
      </c>
      <c r="K243" s="420">
        <v>300</v>
      </c>
      <c r="L243" s="421">
        <v>370</v>
      </c>
      <c r="M243" s="422" t="s">
        <v>287</v>
      </c>
      <c r="N243" s="423">
        <v>7320</v>
      </c>
      <c r="O243" s="424">
        <v>70</v>
      </c>
      <c r="P243" s="462"/>
      <c r="Q243" s="462"/>
      <c r="R243" s="1278">
        <v>2600</v>
      </c>
      <c r="S243" s="1281">
        <v>2800</v>
      </c>
      <c r="T243" s="426" t="s">
        <v>288</v>
      </c>
      <c r="U243" s="427">
        <v>5500</v>
      </c>
      <c r="V243" s="428">
        <v>6200</v>
      </c>
      <c r="W243" s="425">
        <v>4390</v>
      </c>
      <c r="X243" s="429">
        <v>40</v>
      </c>
      <c r="Y243" s="1284">
        <v>4500</v>
      </c>
      <c r="Z243" s="1301"/>
      <c r="AA243" s="1300" t="s">
        <v>319</v>
      </c>
      <c r="AB243" s="1286">
        <v>5070</v>
      </c>
      <c r="AC243" s="1289">
        <v>50</v>
      </c>
      <c r="AD243" s="1292" t="s">
        <v>290</v>
      </c>
      <c r="AE243" s="1294" t="s">
        <v>290</v>
      </c>
      <c r="AF243" s="1294" t="s">
        <v>290</v>
      </c>
      <c r="AG243" s="1297" t="s">
        <v>290</v>
      </c>
      <c r="AH243" s="1269" t="s">
        <v>296</v>
      </c>
      <c r="AJ243" s="221"/>
      <c r="AK243" s="224"/>
      <c r="AL243" s="225"/>
      <c r="AM243" s="226"/>
      <c r="AN243" s="218"/>
      <c r="AO243" s="218"/>
      <c r="AP243" s="220"/>
    </row>
    <row r="244" spans="1:42" ht="13.5" customHeight="1">
      <c r="A244" s="431" t="s">
        <v>321</v>
      </c>
      <c r="B244" s="432" t="s">
        <v>307</v>
      </c>
      <c r="C244" s="433" t="s">
        <v>336</v>
      </c>
      <c r="D244" s="434">
        <v>44950</v>
      </c>
      <c r="E244" s="435">
        <v>104280</v>
      </c>
      <c r="F244" s="434">
        <v>40000</v>
      </c>
      <c r="G244" s="435">
        <v>99330</v>
      </c>
      <c r="H244" s="436">
        <v>420</v>
      </c>
      <c r="I244" s="437">
        <v>930</v>
      </c>
      <c r="J244" s="438" t="s">
        <v>731</v>
      </c>
      <c r="K244" s="436">
        <v>370</v>
      </c>
      <c r="L244" s="437">
        <v>880</v>
      </c>
      <c r="M244" s="438" t="s">
        <v>287</v>
      </c>
      <c r="N244" s="439">
        <v>7320</v>
      </c>
      <c r="O244" s="440">
        <v>70</v>
      </c>
      <c r="P244" s="441"/>
      <c r="Q244" s="441"/>
      <c r="R244" s="1279"/>
      <c r="S244" s="1282"/>
      <c r="T244" s="393" t="s">
        <v>292</v>
      </c>
      <c r="U244" s="442">
        <v>3000</v>
      </c>
      <c r="V244" s="443">
        <v>3400</v>
      </c>
      <c r="W244" s="441">
        <v>4390</v>
      </c>
      <c r="X244" s="444">
        <v>40</v>
      </c>
      <c r="Y244" s="1285"/>
      <c r="Z244" s="1301"/>
      <c r="AA244" s="1300"/>
      <c r="AB244" s="1287"/>
      <c r="AC244" s="1290"/>
      <c r="AD244" s="1293"/>
      <c r="AE244" s="1295"/>
      <c r="AF244" s="1295"/>
      <c r="AG244" s="1298"/>
      <c r="AH244" s="1270"/>
      <c r="AJ244" s="227"/>
      <c r="AK244" s="224"/>
      <c r="AL244" s="225"/>
      <c r="AM244" s="226"/>
      <c r="AN244" s="218"/>
      <c r="AO244" s="218"/>
      <c r="AP244" s="220"/>
    </row>
    <row r="245" spans="1:42" ht="13.5" customHeight="1">
      <c r="A245" s="431" t="s">
        <v>321</v>
      </c>
      <c r="B245" s="432" t="s">
        <v>307</v>
      </c>
      <c r="C245" s="433" t="s">
        <v>337</v>
      </c>
      <c r="D245" s="434">
        <v>104280</v>
      </c>
      <c r="E245" s="435">
        <v>177560</v>
      </c>
      <c r="F245" s="434">
        <v>99330</v>
      </c>
      <c r="G245" s="435">
        <v>172610</v>
      </c>
      <c r="H245" s="436">
        <v>930</v>
      </c>
      <c r="I245" s="437">
        <v>1660</v>
      </c>
      <c r="J245" s="438" t="s">
        <v>731</v>
      </c>
      <c r="K245" s="436">
        <v>880</v>
      </c>
      <c r="L245" s="437">
        <v>1610</v>
      </c>
      <c r="M245" s="438" t="s">
        <v>287</v>
      </c>
      <c r="N245" s="446"/>
      <c r="O245" s="447"/>
      <c r="P245" s="441"/>
      <c r="Q245" s="441"/>
      <c r="R245" s="1279"/>
      <c r="S245" s="1282"/>
      <c r="T245" s="393" t="s">
        <v>293</v>
      </c>
      <c r="U245" s="442">
        <v>2600</v>
      </c>
      <c r="V245" s="443">
        <v>2900</v>
      </c>
      <c r="W245" s="441">
        <v>4390</v>
      </c>
      <c r="X245" s="444">
        <v>40</v>
      </c>
      <c r="Y245" s="448"/>
      <c r="Z245" s="1301"/>
      <c r="AA245" s="1299">
        <v>0.1</v>
      </c>
      <c r="AB245" s="1287"/>
      <c r="AC245" s="1290"/>
      <c r="AD245" s="1271">
        <v>0.02</v>
      </c>
      <c r="AE245" s="1273">
        <v>0.03</v>
      </c>
      <c r="AF245" s="1273">
        <v>0.05</v>
      </c>
      <c r="AG245" s="1275">
        <v>0.06</v>
      </c>
      <c r="AH245" s="1277">
        <v>0.96</v>
      </c>
      <c r="AJ245" s="221"/>
      <c r="AK245" s="224"/>
      <c r="AL245" s="225"/>
      <c r="AM245" s="226"/>
      <c r="AN245" s="218"/>
      <c r="AO245" s="218"/>
      <c r="AP245" s="220"/>
    </row>
    <row r="246" spans="1:42" ht="13.5" customHeight="1">
      <c r="A246" s="431" t="s">
        <v>321</v>
      </c>
      <c r="B246" s="449" t="s">
        <v>307</v>
      </c>
      <c r="C246" s="450" t="s">
        <v>338</v>
      </c>
      <c r="D246" s="451">
        <v>177560</v>
      </c>
      <c r="E246" s="452"/>
      <c r="F246" s="451">
        <v>172610</v>
      </c>
      <c r="G246" s="452"/>
      <c r="H246" s="439">
        <v>1660</v>
      </c>
      <c r="I246" s="453"/>
      <c r="J246" s="454" t="s">
        <v>731</v>
      </c>
      <c r="K246" s="439">
        <v>1610</v>
      </c>
      <c r="L246" s="453"/>
      <c r="M246" s="454" t="s">
        <v>287</v>
      </c>
      <c r="N246" s="446"/>
      <c r="O246" s="455"/>
      <c r="P246" s="462"/>
      <c r="Q246" s="462"/>
      <c r="R246" s="1280"/>
      <c r="S246" s="1283"/>
      <c r="T246" s="456" t="s">
        <v>294</v>
      </c>
      <c r="U246" s="457">
        <v>2400</v>
      </c>
      <c r="V246" s="458">
        <v>2600</v>
      </c>
      <c r="W246" s="459">
        <v>4390</v>
      </c>
      <c r="X246" s="460">
        <v>40</v>
      </c>
      <c r="Y246" s="448"/>
      <c r="Z246" s="1301"/>
      <c r="AA246" s="1299"/>
      <c r="AB246" s="1288"/>
      <c r="AC246" s="1291"/>
      <c r="AD246" s="1272"/>
      <c r="AE246" s="1274"/>
      <c r="AF246" s="1274"/>
      <c r="AG246" s="1276"/>
      <c r="AH246" s="1277"/>
      <c r="AJ246" s="227"/>
      <c r="AK246" s="224"/>
      <c r="AL246" s="225"/>
      <c r="AM246" s="226"/>
      <c r="AN246" s="218"/>
      <c r="AO246" s="218"/>
      <c r="AP246" s="220"/>
    </row>
    <row r="247" spans="1:42" ht="13.5" customHeight="1">
      <c r="A247" s="431" t="s">
        <v>321</v>
      </c>
      <c r="B247" s="416" t="s">
        <v>309</v>
      </c>
      <c r="C247" s="417" t="s">
        <v>334</v>
      </c>
      <c r="D247" s="418">
        <v>35810</v>
      </c>
      <c r="E247" s="419">
        <v>43130</v>
      </c>
      <c r="F247" s="418">
        <v>31310</v>
      </c>
      <c r="G247" s="419">
        <v>38630</v>
      </c>
      <c r="H247" s="420">
        <v>330</v>
      </c>
      <c r="I247" s="421">
        <v>400</v>
      </c>
      <c r="J247" s="422" t="s">
        <v>731</v>
      </c>
      <c r="K247" s="420">
        <v>290</v>
      </c>
      <c r="L247" s="421">
        <v>360</v>
      </c>
      <c r="M247" s="422" t="s">
        <v>287</v>
      </c>
      <c r="N247" s="423">
        <v>7320</v>
      </c>
      <c r="O247" s="424">
        <v>70</v>
      </c>
      <c r="P247" s="441"/>
      <c r="Q247" s="441"/>
      <c r="R247" s="1278">
        <v>2800</v>
      </c>
      <c r="S247" s="1281">
        <v>3100</v>
      </c>
      <c r="T247" s="426" t="s">
        <v>288</v>
      </c>
      <c r="U247" s="427">
        <v>6100</v>
      </c>
      <c r="V247" s="428">
        <v>6800</v>
      </c>
      <c r="W247" s="425">
        <v>3990</v>
      </c>
      <c r="X247" s="429">
        <v>30</v>
      </c>
      <c r="Y247" s="1284">
        <v>4500</v>
      </c>
      <c r="Z247" s="1301"/>
      <c r="AA247" s="464"/>
      <c r="AB247" s="1286">
        <v>4610</v>
      </c>
      <c r="AC247" s="1289">
        <v>40</v>
      </c>
      <c r="AD247" s="1292" t="s">
        <v>290</v>
      </c>
      <c r="AE247" s="1294" t="s">
        <v>290</v>
      </c>
      <c r="AF247" s="1294" t="s">
        <v>290</v>
      </c>
      <c r="AG247" s="1297" t="s">
        <v>290</v>
      </c>
      <c r="AH247" s="1269" t="s">
        <v>296</v>
      </c>
      <c r="AJ247" s="227"/>
      <c r="AK247" s="224"/>
      <c r="AL247" s="225"/>
      <c r="AM247" s="226"/>
      <c r="AN247" s="218"/>
      <c r="AO247" s="218"/>
      <c r="AP247" s="220"/>
    </row>
    <row r="248" spans="1:42" ht="13.5" customHeight="1">
      <c r="A248" s="431" t="s">
        <v>321</v>
      </c>
      <c r="B248" s="432" t="s">
        <v>309</v>
      </c>
      <c r="C248" s="433" t="s">
        <v>336</v>
      </c>
      <c r="D248" s="434">
        <v>43130</v>
      </c>
      <c r="E248" s="435">
        <v>102460</v>
      </c>
      <c r="F248" s="434">
        <v>38630</v>
      </c>
      <c r="G248" s="435">
        <v>97960</v>
      </c>
      <c r="H248" s="436">
        <v>400</v>
      </c>
      <c r="I248" s="437">
        <v>910</v>
      </c>
      <c r="J248" s="438" t="s">
        <v>731</v>
      </c>
      <c r="K248" s="436">
        <v>360</v>
      </c>
      <c r="L248" s="437">
        <v>860</v>
      </c>
      <c r="M248" s="438" t="s">
        <v>287</v>
      </c>
      <c r="N248" s="439">
        <v>7320</v>
      </c>
      <c r="O248" s="440">
        <v>70</v>
      </c>
      <c r="P248" s="441"/>
      <c r="Q248" s="441"/>
      <c r="R248" s="1279"/>
      <c r="S248" s="1282"/>
      <c r="T248" s="393" t="s">
        <v>292</v>
      </c>
      <c r="U248" s="442">
        <v>3300</v>
      </c>
      <c r="V248" s="443">
        <v>3700</v>
      </c>
      <c r="W248" s="441">
        <v>3990</v>
      </c>
      <c r="X248" s="444">
        <v>30</v>
      </c>
      <c r="Y248" s="1285"/>
      <c r="Z248" s="1301"/>
      <c r="AA248" s="464"/>
      <c r="AB248" s="1287"/>
      <c r="AC248" s="1290"/>
      <c r="AD248" s="1293"/>
      <c r="AE248" s="1295"/>
      <c r="AF248" s="1295"/>
      <c r="AG248" s="1298"/>
      <c r="AH248" s="1270"/>
      <c r="AJ248" s="227"/>
      <c r="AK248" s="224"/>
      <c r="AL248" s="225"/>
      <c r="AM248" s="226"/>
      <c r="AN248" s="218"/>
      <c r="AO248" s="218"/>
      <c r="AP248" s="220"/>
    </row>
    <row r="249" spans="1:42" ht="13.5" customHeight="1">
      <c r="A249" s="431" t="s">
        <v>321</v>
      </c>
      <c r="B249" s="432" t="s">
        <v>309</v>
      </c>
      <c r="C249" s="433" t="s">
        <v>337</v>
      </c>
      <c r="D249" s="434">
        <v>102460</v>
      </c>
      <c r="E249" s="435">
        <v>175740</v>
      </c>
      <c r="F249" s="434">
        <v>97960</v>
      </c>
      <c r="G249" s="435">
        <v>171240</v>
      </c>
      <c r="H249" s="436">
        <v>910</v>
      </c>
      <c r="I249" s="437">
        <v>1640</v>
      </c>
      <c r="J249" s="438" t="s">
        <v>731</v>
      </c>
      <c r="K249" s="436">
        <v>860</v>
      </c>
      <c r="L249" s="437">
        <v>1590</v>
      </c>
      <c r="M249" s="438" t="s">
        <v>287</v>
      </c>
      <c r="N249" s="446"/>
      <c r="O249" s="447"/>
      <c r="P249" s="462"/>
      <c r="Q249" s="462"/>
      <c r="R249" s="1279"/>
      <c r="S249" s="1282"/>
      <c r="T249" s="393" t="s">
        <v>293</v>
      </c>
      <c r="U249" s="442">
        <v>2900</v>
      </c>
      <c r="V249" s="443">
        <v>3200</v>
      </c>
      <c r="W249" s="441">
        <v>3990</v>
      </c>
      <c r="X249" s="444">
        <v>30</v>
      </c>
      <c r="Y249" s="448"/>
      <c r="Z249" s="1301"/>
      <c r="AA249" s="464"/>
      <c r="AB249" s="1287"/>
      <c r="AC249" s="1290"/>
      <c r="AD249" s="1271">
        <v>0.02</v>
      </c>
      <c r="AE249" s="1273">
        <v>0.03</v>
      </c>
      <c r="AF249" s="1273">
        <v>0.05</v>
      </c>
      <c r="AG249" s="1275">
        <v>0.06</v>
      </c>
      <c r="AH249" s="1277">
        <v>0.95</v>
      </c>
      <c r="AJ249" s="227"/>
      <c r="AK249" s="224"/>
      <c r="AL249" s="225"/>
      <c r="AM249" s="226"/>
      <c r="AN249" s="218"/>
      <c r="AO249" s="218"/>
      <c r="AP249" s="220"/>
    </row>
    <row r="250" spans="1:42" ht="13.5" customHeight="1">
      <c r="A250" s="431" t="s">
        <v>321</v>
      </c>
      <c r="B250" s="449" t="s">
        <v>309</v>
      </c>
      <c r="C250" s="450" t="s">
        <v>338</v>
      </c>
      <c r="D250" s="451">
        <v>175740</v>
      </c>
      <c r="E250" s="452"/>
      <c r="F250" s="451">
        <v>171240</v>
      </c>
      <c r="G250" s="452"/>
      <c r="H250" s="439">
        <v>1640</v>
      </c>
      <c r="I250" s="453"/>
      <c r="J250" s="454" t="s">
        <v>731</v>
      </c>
      <c r="K250" s="439">
        <v>1590</v>
      </c>
      <c r="L250" s="453"/>
      <c r="M250" s="454" t="s">
        <v>287</v>
      </c>
      <c r="N250" s="446"/>
      <c r="O250" s="455"/>
      <c r="P250" s="441"/>
      <c r="Q250" s="441"/>
      <c r="R250" s="1280"/>
      <c r="S250" s="1283"/>
      <c r="T250" s="456" t="s">
        <v>294</v>
      </c>
      <c r="U250" s="457">
        <v>2600</v>
      </c>
      <c r="V250" s="458">
        <v>2900</v>
      </c>
      <c r="W250" s="459">
        <v>3990</v>
      </c>
      <c r="X250" s="460">
        <v>30</v>
      </c>
      <c r="Y250" s="448"/>
      <c r="Z250" s="1301"/>
      <c r="AA250" s="464"/>
      <c r="AB250" s="1288"/>
      <c r="AC250" s="1291"/>
      <c r="AD250" s="1272"/>
      <c r="AE250" s="1274"/>
      <c r="AF250" s="1274"/>
      <c r="AG250" s="1276"/>
      <c r="AH250" s="1277"/>
      <c r="AJ250" s="227"/>
      <c r="AK250" s="224"/>
      <c r="AL250" s="225"/>
      <c r="AM250" s="226"/>
      <c r="AN250" s="218"/>
      <c r="AO250" s="218"/>
      <c r="AP250" s="220"/>
    </row>
    <row r="251" spans="1:42" ht="13.5" customHeight="1">
      <c r="A251" s="431" t="s">
        <v>321</v>
      </c>
      <c r="B251" s="416" t="s">
        <v>310</v>
      </c>
      <c r="C251" s="417" t="s">
        <v>334</v>
      </c>
      <c r="D251" s="418">
        <v>34260</v>
      </c>
      <c r="E251" s="419">
        <v>41580</v>
      </c>
      <c r="F251" s="418">
        <v>30130</v>
      </c>
      <c r="G251" s="419">
        <v>37450</v>
      </c>
      <c r="H251" s="420">
        <v>320</v>
      </c>
      <c r="I251" s="421">
        <v>390</v>
      </c>
      <c r="J251" s="422" t="s">
        <v>731</v>
      </c>
      <c r="K251" s="420">
        <v>280</v>
      </c>
      <c r="L251" s="421">
        <v>350</v>
      </c>
      <c r="M251" s="422" t="s">
        <v>287</v>
      </c>
      <c r="N251" s="423">
        <v>7320</v>
      </c>
      <c r="O251" s="424">
        <v>70</v>
      </c>
      <c r="P251" s="441"/>
      <c r="Q251" s="441"/>
      <c r="R251" s="1278">
        <v>2600</v>
      </c>
      <c r="S251" s="1281">
        <v>2800</v>
      </c>
      <c r="T251" s="426" t="s">
        <v>288</v>
      </c>
      <c r="U251" s="427">
        <v>5500</v>
      </c>
      <c r="V251" s="428">
        <v>6200</v>
      </c>
      <c r="W251" s="425">
        <v>3660</v>
      </c>
      <c r="X251" s="429">
        <v>30</v>
      </c>
      <c r="Y251" s="1284">
        <v>4500</v>
      </c>
      <c r="Z251" s="1301"/>
      <c r="AA251" s="464"/>
      <c r="AB251" s="1286">
        <v>4230</v>
      </c>
      <c r="AC251" s="1289">
        <v>40</v>
      </c>
      <c r="AD251" s="1292" t="s">
        <v>290</v>
      </c>
      <c r="AE251" s="1294" t="s">
        <v>290</v>
      </c>
      <c r="AF251" s="1294" t="s">
        <v>290</v>
      </c>
      <c r="AG251" s="1297" t="s">
        <v>290</v>
      </c>
      <c r="AH251" s="1269" t="s">
        <v>296</v>
      </c>
      <c r="AJ251" s="220"/>
      <c r="AK251" s="220"/>
      <c r="AL251" s="220"/>
      <c r="AM251" s="220"/>
      <c r="AN251" s="220"/>
      <c r="AO251" s="220"/>
      <c r="AP251" s="220"/>
    </row>
    <row r="252" spans="1:42" ht="13.5" customHeight="1">
      <c r="A252" s="431" t="s">
        <v>321</v>
      </c>
      <c r="B252" s="432" t="s">
        <v>310</v>
      </c>
      <c r="C252" s="433" t="s">
        <v>336</v>
      </c>
      <c r="D252" s="434">
        <v>41580</v>
      </c>
      <c r="E252" s="435">
        <v>100910</v>
      </c>
      <c r="F252" s="434">
        <v>37450</v>
      </c>
      <c r="G252" s="435">
        <v>96780</v>
      </c>
      <c r="H252" s="436">
        <v>390</v>
      </c>
      <c r="I252" s="437">
        <v>890</v>
      </c>
      <c r="J252" s="438" t="s">
        <v>731</v>
      </c>
      <c r="K252" s="436">
        <v>350</v>
      </c>
      <c r="L252" s="437">
        <v>850</v>
      </c>
      <c r="M252" s="438" t="s">
        <v>287</v>
      </c>
      <c r="N252" s="439">
        <v>7320</v>
      </c>
      <c r="O252" s="440">
        <v>70</v>
      </c>
      <c r="P252" s="462"/>
      <c r="Q252" s="462"/>
      <c r="R252" s="1279"/>
      <c r="S252" s="1282"/>
      <c r="T252" s="393" t="s">
        <v>292</v>
      </c>
      <c r="U252" s="442">
        <v>3000</v>
      </c>
      <c r="V252" s="443">
        <v>3400</v>
      </c>
      <c r="W252" s="441">
        <v>3660</v>
      </c>
      <c r="X252" s="444">
        <v>30</v>
      </c>
      <c r="Y252" s="1285"/>
      <c r="Z252" s="1301"/>
      <c r="AA252" s="464"/>
      <c r="AB252" s="1287"/>
      <c r="AC252" s="1290"/>
      <c r="AD252" s="1293"/>
      <c r="AE252" s="1295"/>
      <c r="AF252" s="1295"/>
      <c r="AG252" s="1298"/>
      <c r="AH252" s="1270"/>
    </row>
    <row r="253" spans="1:42" ht="13.5" customHeight="1">
      <c r="A253" s="431" t="s">
        <v>321</v>
      </c>
      <c r="B253" s="432" t="s">
        <v>310</v>
      </c>
      <c r="C253" s="433" t="s">
        <v>337</v>
      </c>
      <c r="D253" s="434">
        <v>100910</v>
      </c>
      <c r="E253" s="435">
        <v>174190</v>
      </c>
      <c r="F253" s="434">
        <v>96780</v>
      </c>
      <c r="G253" s="435">
        <v>170060</v>
      </c>
      <c r="H253" s="436">
        <v>890</v>
      </c>
      <c r="I253" s="437">
        <v>1620</v>
      </c>
      <c r="J253" s="438" t="s">
        <v>731</v>
      </c>
      <c r="K253" s="436">
        <v>850</v>
      </c>
      <c r="L253" s="437">
        <v>1580</v>
      </c>
      <c r="M253" s="438" t="s">
        <v>287</v>
      </c>
      <c r="N253" s="446"/>
      <c r="O253" s="447"/>
      <c r="P253" s="441"/>
      <c r="Q253" s="441"/>
      <c r="R253" s="1279"/>
      <c r="S253" s="1282"/>
      <c r="T253" s="393" t="s">
        <v>293</v>
      </c>
      <c r="U253" s="442">
        <v>2600</v>
      </c>
      <c r="V253" s="443">
        <v>2900</v>
      </c>
      <c r="W253" s="441">
        <v>3660</v>
      </c>
      <c r="X253" s="444">
        <v>30</v>
      </c>
      <c r="Y253" s="448"/>
      <c r="Z253" s="1301"/>
      <c r="AA253" s="464"/>
      <c r="AB253" s="1287"/>
      <c r="AC253" s="1290"/>
      <c r="AD253" s="1271">
        <v>0.02</v>
      </c>
      <c r="AE253" s="1273">
        <v>0.03</v>
      </c>
      <c r="AF253" s="1273">
        <v>0.05</v>
      </c>
      <c r="AG253" s="1275">
        <v>0.06</v>
      </c>
      <c r="AH253" s="1277">
        <v>0.95</v>
      </c>
    </row>
    <row r="254" spans="1:42" ht="13.5" customHeight="1">
      <c r="A254" s="431" t="s">
        <v>321</v>
      </c>
      <c r="B254" s="449" t="s">
        <v>310</v>
      </c>
      <c r="C254" s="450" t="s">
        <v>338</v>
      </c>
      <c r="D254" s="451">
        <v>174190</v>
      </c>
      <c r="E254" s="452"/>
      <c r="F254" s="451">
        <v>170060</v>
      </c>
      <c r="G254" s="452"/>
      <c r="H254" s="439">
        <v>1620</v>
      </c>
      <c r="I254" s="453"/>
      <c r="J254" s="454" t="s">
        <v>731</v>
      </c>
      <c r="K254" s="439">
        <v>1580</v>
      </c>
      <c r="L254" s="453"/>
      <c r="M254" s="454" t="s">
        <v>287</v>
      </c>
      <c r="N254" s="446"/>
      <c r="O254" s="455"/>
      <c r="P254" s="441"/>
      <c r="Q254" s="441"/>
      <c r="R254" s="1280"/>
      <c r="S254" s="1283"/>
      <c r="T254" s="456" t="s">
        <v>294</v>
      </c>
      <c r="U254" s="457">
        <v>2400</v>
      </c>
      <c r="V254" s="458">
        <v>2600</v>
      </c>
      <c r="W254" s="459">
        <v>3660</v>
      </c>
      <c r="X254" s="460">
        <v>30</v>
      </c>
      <c r="Y254" s="448"/>
      <c r="Z254" s="1301"/>
      <c r="AA254" s="464"/>
      <c r="AB254" s="1288"/>
      <c r="AC254" s="1291"/>
      <c r="AD254" s="1272"/>
      <c r="AE254" s="1274"/>
      <c r="AF254" s="1274"/>
      <c r="AG254" s="1276"/>
      <c r="AH254" s="1277"/>
    </row>
    <row r="255" spans="1:42" ht="13.5" customHeight="1">
      <c r="A255" s="431" t="s">
        <v>321</v>
      </c>
      <c r="B255" s="416" t="s">
        <v>311</v>
      </c>
      <c r="C255" s="417" t="s">
        <v>334</v>
      </c>
      <c r="D255" s="418">
        <v>32940</v>
      </c>
      <c r="E255" s="419">
        <v>40260</v>
      </c>
      <c r="F255" s="418">
        <v>29140</v>
      </c>
      <c r="G255" s="419">
        <v>36460</v>
      </c>
      <c r="H255" s="420">
        <v>310</v>
      </c>
      <c r="I255" s="421">
        <v>380</v>
      </c>
      <c r="J255" s="422" t="s">
        <v>731</v>
      </c>
      <c r="K255" s="420">
        <v>270</v>
      </c>
      <c r="L255" s="421">
        <v>340</v>
      </c>
      <c r="M255" s="422" t="s">
        <v>287</v>
      </c>
      <c r="N255" s="423">
        <v>7320</v>
      </c>
      <c r="O255" s="424">
        <v>70</v>
      </c>
      <c r="P255" s="462"/>
      <c r="Q255" s="462"/>
      <c r="R255" s="1278">
        <v>2400</v>
      </c>
      <c r="S255" s="1281">
        <v>2600</v>
      </c>
      <c r="T255" s="426" t="s">
        <v>288</v>
      </c>
      <c r="U255" s="427">
        <v>5100</v>
      </c>
      <c r="V255" s="428">
        <v>5700</v>
      </c>
      <c r="W255" s="425">
        <v>3380</v>
      </c>
      <c r="X255" s="429">
        <v>30</v>
      </c>
      <c r="Y255" s="1284">
        <v>4500</v>
      </c>
      <c r="Z255" s="1301"/>
      <c r="AA255" s="464"/>
      <c r="AB255" s="1286">
        <v>3900</v>
      </c>
      <c r="AC255" s="1289">
        <v>30</v>
      </c>
      <c r="AD255" s="1292" t="s">
        <v>290</v>
      </c>
      <c r="AE255" s="1294" t="s">
        <v>290</v>
      </c>
      <c r="AF255" s="1294" t="s">
        <v>290</v>
      </c>
      <c r="AG255" s="1297" t="s">
        <v>290</v>
      </c>
      <c r="AH255" s="1269" t="s">
        <v>296</v>
      </c>
    </row>
    <row r="256" spans="1:42" ht="13.5" customHeight="1">
      <c r="A256" s="431" t="s">
        <v>321</v>
      </c>
      <c r="B256" s="432" t="s">
        <v>311</v>
      </c>
      <c r="C256" s="433" t="s">
        <v>336</v>
      </c>
      <c r="D256" s="434">
        <v>40260</v>
      </c>
      <c r="E256" s="435">
        <v>99590</v>
      </c>
      <c r="F256" s="434">
        <v>36460</v>
      </c>
      <c r="G256" s="435">
        <v>95790</v>
      </c>
      <c r="H256" s="436">
        <v>380</v>
      </c>
      <c r="I256" s="437">
        <v>880</v>
      </c>
      <c r="J256" s="438" t="s">
        <v>731</v>
      </c>
      <c r="K256" s="436">
        <v>340</v>
      </c>
      <c r="L256" s="437">
        <v>840</v>
      </c>
      <c r="M256" s="438" t="s">
        <v>287</v>
      </c>
      <c r="N256" s="439">
        <v>7320</v>
      </c>
      <c r="O256" s="440">
        <v>70</v>
      </c>
      <c r="P256" s="441"/>
      <c r="Q256" s="441"/>
      <c r="R256" s="1279"/>
      <c r="S256" s="1282"/>
      <c r="T256" s="393" t="s">
        <v>292</v>
      </c>
      <c r="U256" s="442">
        <v>2800</v>
      </c>
      <c r="V256" s="443">
        <v>3100</v>
      </c>
      <c r="W256" s="441">
        <v>3380</v>
      </c>
      <c r="X256" s="444">
        <v>30</v>
      </c>
      <c r="Y256" s="1285"/>
      <c r="Z256" s="1301"/>
      <c r="AA256" s="464"/>
      <c r="AB256" s="1287"/>
      <c r="AC256" s="1290"/>
      <c r="AD256" s="1293"/>
      <c r="AE256" s="1295"/>
      <c r="AF256" s="1295"/>
      <c r="AG256" s="1298"/>
      <c r="AH256" s="1270"/>
    </row>
    <row r="257" spans="1:34" ht="13.5" customHeight="1">
      <c r="A257" s="431" t="s">
        <v>321</v>
      </c>
      <c r="B257" s="432" t="s">
        <v>311</v>
      </c>
      <c r="C257" s="433" t="s">
        <v>337</v>
      </c>
      <c r="D257" s="434">
        <v>99590</v>
      </c>
      <c r="E257" s="435">
        <v>172870</v>
      </c>
      <c r="F257" s="434">
        <v>95790</v>
      </c>
      <c r="G257" s="435">
        <v>169070</v>
      </c>
      <c r="H257" s="436">
        <v>880</v>
      </c>
      <c r="I257" s="437">
        <v>1610</v>
      </c>
      <c r="J257" s="438" t="s">
        <v>731</v>
      </c>
      <c r="K257" s="436">
        <v>840</v>
      </c>
      <c r="L257" s="437">
        <v>1570</v>
      </c>
      <c r="M257" s="438" t="s">
        <v>287</v>
      </c>
      <c r="N257" s="446"/>
      <c r="O257" s="447"/>
      <c r="P257" s="441"/>
      <c r="Q257" s="441"/>
      <c r="R257" s="1279"/>
      <c r="S257" s="1282"/>
      <c r="T257" s="393" t="s">
        <v>293</v>
      </c>
      <c r="U257" s="442">
        <v>2400</v>
      </c>
      <c r="V257" s="443">
        <v>2700</v>
      </c>
      <c r="W257" s="441">
        <v>3380</v>
      </c>
      <c r="X257" s="444">
        <v>30</v>
      </c>
      <c r="Y257" s="448"/>
      <c r="Z257" s="1301"/>
      <c r="AA257" s="464"/>
      <c r="AB257" s="1287"/>
      <c r="AC257" s="1290"/>
      <c r="AD257" s="1271">
        <v>0.02</v>
      </c>
      <c r="AE257" s="1273">
        <v>0.03</v>
      </c>
      <c r="AF257" s="1273">
        <v>0.05</v>
      </c>
      <c r="AG257" s="1275">
        <v>0.06</v>
      </c>
      <c r="AH257" s="1277">
        <v>0.97</v>
      </c>
    </row>
    <row r="258" spans="1:34" ht="13.5" customHeight="1">
      <c r="A258" s="431" t="s">
        <v>321</v>
      </c>
      <c r="B258" s="449" t="s">
        <v>311</v>
      </c>
      <c r="C258" s="450" t="s">
        <v>338</v>
      </c>
      <c r="D258" s="451">
        <v>172870</v>
      </c>
      <c r="E258" s="452"/>
      <c r="F258" s="451">
        <v>169070</v>
      </c>
      <c r="G258" s="452"/>
      <c r="H258" s="439">
        <v>1610</v>
      </c>
      <c r="I258" s="453"/>
      <c r="J258" s="454" t="s">
        <v>731</v>
      </c>
      <c r="K258" s="439">
        <v>1570</v>
      </c>
      <c r="L258" s="453"/>
      <c r="M258" s="454" t="s">
        <v>287</v>
      </c>
      <c r="N258" s="446"/>
      <c r="O258" s="455"/>
      <c r="P258" s="462"/>
      <c r="Q258" s="462"/>
      <c r="R258" s="1280"/>
      <c r="S258" s="1283"/>
      <c r="T258" s="456" t="s">
        <v>294</v>
      </c>
      <c r="U258" s="457">
        <v>2200</v>
      </c>
      <c r="V258" s="458">
        <v>2400</v>
      </c>
      <c r="W258" s="459">
        <v>3380</v>
      </c>
      <c r="X258" s="460">
        <v>30</v>
      </c>
      <c r="Y258" s="448"/>
      <c r="Z258" s="1301"/>
      <c r="AA258" s="464"/>
      <c r="AB258" s="1288"/>
      <c r="AC258" s="1291"/>
      <c r="AD258" s="1272"/>
      <c r="AE258" s="1274"/>
      <c r="AF258" s="1274"/>
      <c r="AG258" s="1276"/>
      <c r="AH258" s="1277"/>
    </row>
    <row r="259" spans="1:34" ht="13.5" customHeight="1">
      <c r="A259" s="431" t="s">
        <v>321</v>
      </c>
      <c r="B259" s="416" t="s">
        <v>312</v>
      </c>
      <c r="C259" s="417" t="s">
        <v>334</v>
      </c>
      <c r="D259" s="418">
        <v>31850</v>
      </c>
      <c r="E259" s="419">
        <v>39170</v>
      </c>
      <c r="F259" s="418">
        <v>28310</v>
      </c>
      <c r="G259" s="419">
        <v>35630</v>
      </c>
      <c r="H259" s="420">
        <v>300</v>
      </c>
      <c r="I259" s="421">
        <v>370</v>
      </c>
      <c r="J259" s="422" t="s">
        <v>731</v>
      </c>
      <c r="K259" s="420">
        <v>260</v>
      </c>
      <c r="L259" s="421">
        <v>330</v>
      </c>
      <c r="M259" s="422" t="s">
        <v>287</v>
      </c>
      <c r="N259" s="423">
        <v>7320</v>
      </c>
      <c r="O259" s="424">
        <v>70</v>
      </c>
      <c r="P259" s="441"/>
      <c r="Q259" s="441"/>
      <c r="R259" s="1278">
        <v>2600</v>
      </c>
      <c r="S259" s="1281">
        <v>2800</v>
      </c>
      <c r="T259" s="426" t="s">
        <v>288</v>
      </c>
      <c r="U259" s="427">
        <v>5500</v>
      </c>
      <c r="V259" s="428">
        <v>6200</v>
      </c>
      <c r="W259" s="425">
        <v>3140</v>
      </c>
      <c r="X259" s="429">
        <v>30</v>
      </c>
      <c r="Y259" s="1284">
        <v>4500</v>
      </c>
      <c r="Z259" s="1301"/>
      <c r="AA259" s="464"/>
      <c r="AB259" s="1286">
        <v>3620</v>
      </c>
      <c r="AC259" s="1289">
        <v>30</v>
      </c>
      <c r="AD259" s="1292" t="s">
        <v>290</v>
      </c>
      <c r="AE259" s="1294" t="s">
        <v>290</v>
      </c>
      <c r="AF259" s="1294" t="s">
        <v>290</v>
      </c>
      <c r="AG259" s="1297" t="s">
        <v>290</v>
      </c>
      <c r="AH259" s="1269" t="s">
        <v>296</v>
      </c>
    </row>
    <row r="260" spans="1:34" ht="13.5" customHeight="1">
      <c r="A260" s="431" t="s">
        <v>321</v>
      </c>
      <c r="B260" s="432" t="s">
        <v>312</v>
      </c>
      <c r="C260" s="433" t="s">
        <v>336</v>
      </c>
      <c r="D260" s="434">
        <v>39170</v>
      </c>
      <c r="E260" s="435">
        <v>98500</v>
      </c>
      <c r="F260" s="434">
        <v>35630</v>
      </c>
      <c r="G260" s="435">
        <v>94960</v>
      </c>
      <c r="H260" s="436">
        <v>370</v>
      </c>
      <c r="I260" s="437">
        <v>870</v>
      </c>
      <c r="J260" s="438" t="s">
        <v>731</v>
      </c>
      <c r="K260" s="436">
        <v>330</v>
      </c>
      <c r="L260" s="437">
        <v>830</v>
      </c>
      <c r="M260" s="438" t="s">
        <v>287</v>
      </c>
      <c r="N260" s="439">
        <v>7320</v>
      </c>
      <c r="O260" s="440">
        <v>70</v>
      </c>
      <c r="P260" s="441"/>
      <c r="Q260" s="441"/>
      <c r="R260" s="1279"/>
      <c r="S260" s="1282"/>
      <c r="T260" s="393" t="s">
        <v>292</v>
      </c>
      <c r="U260" s="442">
        <v>3000</v>
      </c>
      <c r="V260" s="443">
        <v>3400</v>
      </c>
      <c r="W260" s="441">
        <v>3140</v>
      </c>
      <c r="X260" s="444">
        <v>30</v>
      </c>
      <c r="Y260" s="1285"/>
      <c r="Z260" s="1301"/>
      <c r="AA260" s="464"/>
      <c r="AB260" s="1287"/>
      <c r="AC260" s="1290"/>
      <c r="AD260" s="1293"/>
      <c r="AE260" s="1295"/>
      <c r="AF260" s="1295"/>
      <c r="AG260" s="1298"/>
      <c r="AH260" s="1270"/>
    </row>
    <row r="261" spans="1:34" ht="13.5" customHeight="1">
      <c r="A261" s="431" t="s">
        <v>321</v>
      </c>
      <c r="B261" s="432" t="s">
        <v>312</v>
      </c>
      <c r="C261" s="433" t="s">
        <v>337</v>
      </c>
      <c r="D261" s="434">
        <v>98500</v>
      </c>
      <c r="E261" s="435">
        <v>171780</v>
      </c>
      <c r="F261" s="434">
        <v>94960</v>
      </c>
      <c r="G261" s="435">
        <v>168240</v>
      </c>
      <c r="H261" s="436">
        <v>870</v>
      </c>
      <c r="I261" s="437">
        <v>1600</v>
      </c>
      <c r="J261" s="438" t="s">
        <v>731</v>
      </c>
      <c r="K261" s="436">
        <v>830</v>
      </c>
      <c r="L261" s="437">
        <v>1560</v>
      </c>
      <c r="M261" s="438" t="s">
        <v>287</v>
      </c>
      <c r="N261" s="446"/>
      <c r="O261" s="447"/>
      <c r="P261" s="462"/>
      <c r="Q261" s="462"/>
      <c r="R261" s="1279"/>
      <c r="S261" s="1282"/>
      <c r="T261" s="393" t="s">
        <v>293</v>
      </c>
      <c r="U261" s="442">
        <v>2600</v>
      </c>
      <c r="V261" s="443">
        <v>2900</v>
      </c>
      <c r="W261" s="441">
        <v>3140</v>
      </c>
      <c r="X261" s="444">
        <v>30</v>
      </c>
      <c r="Y261" s="448"/>
      <c r="Z261" s="1301"/>
      <c r="AA261" s="464"/>
      <c r="AB261" s="1287"/>
      <c r="AC261" s="1290"/>
      <c r="AD261" s="1271">
        <v>0.02</v>
      </c>
      <c r="AE261" s="1273">
        <v>0.03</v>
      </c>
      <c r="AF261" s="1273">
        <v>0.05</v>
      </c>
      <c r="AG261" s="1275">
        <v>0.06</v>
      </c>
      <c r="AH261" s="1277">
        <v>0.98</v>
      </c>
    </row>
    <row r="262" spans="1:34" ht="13.5" customHeight="1">
      <c r="A262" s="431" t="s">
        <v>321</v>
      </c>
      <c r="B262" s="449" t="s">
        <v>312</v>
      </c>
      <c r="C262" s="450" t="s">
        <v>338</v>
      </c>
      <c r="D262" s="451">
        <v>171780</v>
      </c>
      <c r="E262" s="452"/>
      <c r="F262" s="451">
        <v>168240</v>
      </c>
      <c r="G262" s="452"/>
      <c r="H262" s="439">
        <v>1600</v>
      </c>
      <c r="I262" s="453"/>
      <c r="J262" s="454" t="s">
        <v>731</v>
      </c>
      <c r="K262" s="439">
        <v>1560</v>
      </c>
      <c r="L262" s="453"/>
      <c r="M262" s="454" t="s">
        <v>287</v>
      </c>
      <c r="N262" s="446"/>
      <c r="O262" s="455"/>
      <c r="P262" s="441"/>
      <c r="Q262" s="441"/>
      <c r="R262" s="1280"/>
      <c r="S262" s="1283"/>
      <c r="T262" s="456" t="s">
        <v>294</v>
      </c>
      <c r="U262" s="457">
        <v>2400</v>
      </c>
      <c r="V262" s="458">
        <v>2600</v>
      </c>
      <c r="W262" s="459">
        <v>3140</v>
      </c>
      <c r="X262" s="460">
        <v>30</v>
      </c>
      <c r="Y262" s="448"/>
      <c r="Z262" s="1301"/>
      <c r="AA262" s="464"/>
      <c r="AB262" s="1288"/>
      <c r="AC262" s="1291"/>
      <c r="AD262" s="1272"/>
      <c r="AE262" s="1274"/>
      <c r="AF262" s="1274"/>
      <c r="AG262" s="1276"/>
      <c r="AH262" s="1277"/>
    </row>
    <row r="263" spans="1:34" ht="13.5" customHeight="1">
      <c r="A263" s="431" t="s">
        <v>321</v>
      </c>
      <c r="B263" s="416" t="s">
        <v>313</v>
      </c>
      <c r="C263" s="417" t="s">
        <v>334</v>
      </c>
      <c r="D263" s="418">
        <v>30880</v>
      </c>
      <c r="E263" s="419">
        <v>38200</v>
      </c>
      <c r="F263" s="418">
        <v>27580</v>
      </c>
      <c r="G263" s="419">
        <v>34900</v>
      </c>
      <c r="H263" s="420">
        <v>290</v>
      </c>
      <c r="I263" s="421">
        <v>360</v>
      </c>
      <c r="J263" s="422" t="s">
        <v>731</v>
      </c>
      <c r="K263" s="420">
        <v>250</v>
      </c>
      <c r="L263" s="421">
        <v>320</v>
      </c>
      <c r="M263" s="422" t="s">
        <v>287</v>
      </c>
      <c r="N263" s="423">
        <v>7320</v>
      </c>
      <c r="O263" s="424">
        <v>70</v>
      </c>
      <c r="P263" s="441"/>
      <c r="Q263" s="441"/>
      <c r="R263" s="1278">
        <v>2400</v>
      </c>
      <c r="S263" s="1281">
        <v>2600</v>
      </c>
      <c r="T263" s="426" t="s">
        <v>288</v>
      </c>
      <c r="U263" s="427">
        <v>5400</v>
      </c>
      <c r="V263" s="428">
        <v>6000</v>
      </c>
      <c r="W263" s="425">
        <v>2930</v>
      </c>
      <c r="X263" s="429">
        <v>20</v>
      </c>
      <c r="Y263" s="1284">
        <v>4500</v>
      </c>
      <c r="Z263" s="1301"/>
      <c r="AA263" s="464"/>
      <c r="AB263" s="1286">
        <v>3380</v>
      </c>
      <c r="AC263" s="1289">
        <v>30</v>
      </c>
      <c r="AD263" s="1292" t="s">
        <v>290</v>
      </c>
      <c r="AE263" s="1294" t="s">
        <v>290</v>
      </c>
      <c r="AF263" s="1294" t="s">
        <v>290</v>
      </c>
      <c r="AG263" s="1297" t="s">
        <v>290</v>
      </c>
      <c r="AH263" s="1269" t="s">
        <v>296</v>
      </c>
    </row>
    <row r="264" spans="1:34" ht="13.5" customHeight="1">
      <c r="A264" s="431" t="s">
        <v>321</v>
      </c>
      <c r="B264" s="432" t="s">
        <v>313</v>
      </c>
      <c r="C264" s="433" t="s">
        <v>336</v>
      </c>
      <c r="D264" s="434">
        <v>38200</v>
      </c>
      <c r="E264" s="435">
        <v>97530</v>
      </c>
      <c r="F264" s="434">
        <v>34900</v>
      </c>
      <c r="G264" s="435">
        <v>94230</v>
      </c>
      <c r="H264" s="436">
        <v>360</v>
      </c>
      <c r="I264" s="437">
        <v>860</v>
      </c>
      <c r="J264" s="438" t="s">
        <v>731</v>
      </c>
      <c r="K264" s="436">
        <v>320</v>
      </c>
      <c r="L264" s="437">
        <v>830</v>
      </c>
      <c r="M264" s="438" t="s">
        <v>287</v>
      </c>
      <c r="N264" s="439">
        <v>7320</v>
      </c>
      <c r="O264" s="440">
        <v>70</v>
      </c>
      <c r="P264" s="462"/>
      <c r="Q264" s="462"/>
      <c r="R264" s="1279"/>
      <c r="S264" s="1282"/>
      <c r="T264" s="393" t="s">
        <v>292</v>
      </c>
      <c r="U264" s="442">
        <v>2900</v>
      </c>
      <c r="V264" s="443">
        <v>3300</v>
      </c>
      <c r="W264" s="441">
        <v>2930</v>
      </c>
      <c r="X264" s="444">
        <v>20</v>
      </c>
      <c r="Y264" s="1285"/>
      <c r="Z264" s="1301"/>
      <c r="AA264" s="464"/>
      <c r="AB264" s="1287"/>
      <c r="AC264" s="1290"/>
      <c r="AD264" s="1293"/>
      <c r="AE264" s="1295"/>
      <c r="AF264" s="1295"/>
      <c r="AG264" s="1298"/>
      <c r="AH264" s="1270"/>
    </row>
    <row r="265" spans="1:34" ht="13.5" customHeight="1">
      <c r="A265" s="431" t="s">
        <v>321</v>
      </c>
      <c r="B265" s="432" t="s">
        <v>313</v>
      </c>
      <c r="C265" s="433" t="s">
        <v>337</v>
      </c>
      <c r="D265" s="434">
        <v>97530</v>
      </c>
      <c r="E265" s="435">
        <v>170810</v>
      </c>
      <c r="F265" s="434">
        <v>94230</v>
      </c>
      <c r="G265" s="435">
        <v>167510</v>
      </c>
      <c r="H265" s="436">
        <v>860</v>
      </c>
      <c r="I265" s="437">
        <v>1590</v>
      </c>
      <c r="J265" s="438" t="s">
        <v>731</v>
      </c>
      <c r="K265" s="436">
        <v>830</v>
      </c>
      <c r="L265" s="437">
        <v>1560</v>
      </c>
      <c r="M265" s="438" t="s">
        <v>287</v>
      </c>
      <c r="N265" s="446"/>
      <c r="O265" s="447"/>
      <c r="P265" s="441"/>
      <c r="Q265" s="441"/>
      <c r="R265" s="1279"/>
      <c r="S265" s="1282"/>
      <c r="T265" s="393" t="s">
        <v>293</v>
      </c>
      <c r="U265" s="442">
        <v>2500</v>
      </c>
      <c r="V265" s="443">
        <v>2800</v>
      </c>
      <c r="W265" s="441">
        <v>2930</v>
      </c>
      <c r="X265" s="444">
        <v>20</v>
      </c>
      <c r="Y265" s="448"/>
      <c r="Z265" s="1301"/>
      <c r="AA265" s="464"/>
      <c r="AB265" s="1287"/>
      <c r="AC265" s="1290"/>
      <c r="AD265" s="1271">
        <v>0.02</v>
      </c>
      <c r="AE265" s="1273">
        <v>0.03</v>
      </c>
      <c r="AF265" s="1273">
        <v>0.05</v>
      </c>
      <c r="AG265" s="1275">
        <v>0.06</v>
      </c>
      <c r="AH265" s="1277">
        <v>0.98</v>
      </c>
    </row>
    <row r="266" spans="1:34" ht="13.5" customHeight="1">
      <c r="A266" s="431" t="s">
        <v>321</v>
      </c>
      <c r="B266" s="449" t="s">
        <v>313</v>
      </c>
      <c r="C266" s="450" t="s">
        <v>338</v>
      </c>
      <c r="D266" s="451">
        <v>170810</v>
      </c>
      <c r="E266" s="452"/>
      <c r="F266" s="451">
        <v>167510</v>
      </c>
      <c r="G266" s="452"/>
      <c r="H266" s="439">
        <v>1590</v>
      </c>
      <c r="I266" s="453"/>
      <c r="J266" s="454" t="s">
        <v>731</v>
      </c>
      <c r="K266" s="439">
        <v>1560</v>
      </c>
      <c r="L266" s="453"/>
      <c r="M266" s="454" t="s">
        <v>287</v>
      </c>
      <c r="N266" s="446"/>
      <c r="O266" s="455"/>
      <c r="P266" s="441"/>
      <c r="Q266" s="441"/>
      <c r="R266" s="1280"/>
      <c r="S266" s="1283"/>
      <c r="T266" s="456" t="s">
        <v>294</v>
      </c>
      <c r="U266" s="457">
        <v>2300</v>
      </c>
      <c r="V266" s="458">
        <v>2500</v>
      </c>
      <c r="W266" s="459">
        <v>2930</v>
      </c>
      <c r="X266" s="460">
        <v>20</v>
      </c>
      <c r="Y266" s="448"/>
      <c r="Z266" s="1301"/>
      <c r="AA266" s="464"/>
      <c r="AB266" s="1288"/>
      <c r="AC266" s="1291"/>
      <c r="AD266" s="1272"/>
      <c r="AE266" s="1274"/>
      <c r="AF266" s="1274"/>
      <c r="AG266" s="1276"/>
      <c r="AH266" s="1277"/>
    </row>
    <row r="267" spans="1:34" ht="13.5" customHeight="1">
      <c r="A267" s="431" t="s">
        <v>321</v>
      </c>
      <c r="B267" s="416" t="s">
        <v>314</v>
      </c>
      <c r="C267" s="417" t="s">
        <v>334</v>
      </c>
      <c r="D267" s="418">
        <v>30890</v>
      </c>
      <c r="E267" s="419">
        <v>38210</v>
      </c>
      <c r="F267" s="418">
        <v>27800</v>
      </c>
      <c r="G267" s="419">
        <v>35120</v>
      </c>
      <c r="H267" s="420">
        <v>290</v>
      </c>
      <c r="I267" s="421">
        <v>360</v>
      </c>
      <c r="J267" s="422" t="s">
        <v>731</v>
      </c>
      <c r="K267" s="420">
        <v>250</v>
      </c>
      <c r="L267" s="421">
        <v>320</v>
      </c>
      <c r="M267" s="422" t="s">
        <v>287</v>
      </c>
      <c r="N267" s="423">
        <v>7320</v>
      </c>
      <c r="O267" s="424">
        <v>70</v>
      </c>
      <c r="P267" s="462"/>
      <c r="Q267" s="462"/>
      <c r="R267" s="1278">
        <v>2200</v>
      </c>
      <c r="S267" s="1281">
        <v>2500</v>
      </c>
      <c r="T267" s="426" t="s">
        <v>288</v>
      </c>
      <c r="U267" s="427">
        <v>4800</v>
      </c>
      <c r="V267" s="428">
        <v>5400</v>
      </c>
      <c r="W267" s="425">
        <v>2740</v>
      </c>
      <c r="X267" s="429">
        <v>20</v>
      </c>
      <c r="Y267" s="1284">
        <v>4500</v>
      </c>
      <c r="Z267" s="1301"/>
      <c r="AA267" s="464"/>
      <c r="AB267" s="1286">
        <v>3170</v>
      </c>
      <c r="AC267" s="1289">
        <v>30</v>
      </c>
      <c r="AD267" s="1292" t="s">
        <v>290</v>
      </c>
      <c r="AE267" s="1294" t="s">
        <v>290</v>
      </c>
      <c r="AF267" s="1294" t="s">
        <v>290</v>
      </c>
      <c r="AG267" s="1297" t="s">
        <v>290</v>
      </c>
      <c r="AH267" s="1269" t="s">
        <v>296</v>
      </c>
    </row>
    <row r="268" spans="1:34" ht="13.5" customHeight="1">
      <c r="A268" s="431" t="s">
        <v>321</v>
      </c>
      <c r="B268" s="432" t="s">
        <v>314</v>
      </c>
      <c r="C268" s="433" t="s">
        <v>336</v>
      </c>
      <c r="D268" s="434">
        <v>38210</v>
      </c>
      <c r="E268" s="435">
        <v>97540</v>
      </c>
      <c r="F268" s="434">
        <v>35120</v>
      </c>
      <c r="G268" s="435">
        <v>94450</v>
      </c>
      <c r="H268" s="436">
        <v>360</v>
      </c>
      <c r="I268" s="437">
        <v>860</v>
      </c>
      <c r="J268" s="438" t="s">
        <v>731</v>
      </c>
      <c r="K268" s="436">
        <v>320</v>
      </c>
      <c r="L268" s="437">
        <v>830</v>
      </c>
      <c r="M268" s="438" t="s">
        <v>287</v>
      </c>
      <c r="N268" s="439">
        <v>7320</v>
      </c>
      <c r="O268" s="440">
        <v>70</v>
      </c>
      <c r="P268" s="462"/>
      <c r="Q268" s="462"/>
      <c r="R268" s="1279"/>
      <c r="S268" s="1282"/>
      <c r="T268" s="393" t="s">
        <v>292</v>
      </c>
      <c r="U268" s="442">
        <v>2600</v>
      </c>
      <c r="V268" s="443">
        <v>2900</v>
      </c>
      <c r="W268" s="441">
        <v>2740</v>
      </c>
      <c r="X268" s="444">
        <v>20</v>
      </c>
      <c r="Y268" s="1285"/>
      <c r="Z268" s="1301"/>
      <c r="AA268" s="464"/>
      <c r="AB268" s="1287"/>
      <c r="AC268" s="1290"/>
      <c r="AD268" s="1293"/>
      <c r="AE268" s="1295"/>
      <c r="AF268" s="1295"/>
      <c r="AG268" s="1298"/>
      <c r="AH268" s="1270"/>
    </row>
    <row r="269" spans="1:34" ht="13.5" customHeight="1">
      <c r="A269" s="431" t="s">
        <v>321</v>
      </c>
      <c r="B269" s="432" t="s">
        <v>314</v>
      </c>
      <c r="C269" s="433" t="s">
        <v>337</v>
      </c>
      <c r="D269" s="434">
        <v>97540</v>
      </c>
      <c r="E269" s="435">
        <v>170820</v>
      </c>
      <c r="F269" s="434">
        <v>94450</v>
      </c>
      <c r="G269" s="435">
        <v>167730</v>
      </c>
      <c r="H269" s="436">
        <v>860</v>
      </c>
      <c r="I269" s="437">
        <v>1590</v>
      </c>
      <c r="J269" s="438" t="s">
        <v>731</v>
      </c>
      <c r="K269" s="436">
        <v>830</v>
      </c>
      <c r="L269" s="437">
        <v>1560</v>
      </c>
      <c r="M269" s="438" t="s">
        <v>287</v>
      </c>
      <c r="N269" s="446"/>
      <c r="O269" s="447"/>
      <c r="P269" s="462"/>
      <c r="Q269" s="462"/>
      <c r="R269" s="1279"/>
      <c r="S269" s="1282"/>
      <c r="T269" s="393" t="s">
        <v>293</v>
      </c>
      <c r="U269" s="442">
        <v>2300</v>
      </c>
      <c r="V269" s="443">
        <v>2500</v>
      </c>
      <c r="W269" s="441">
        <v>2740</v>
      </c>
      <c r="X269" s="444">
        <v>20</v>
      </c>
      <c r="Y269" s="448"/>
      <c r="Z269" s="1301"/>
      <c r="AA269" s="464"/>
      <c r="AB269" s="1287"/>
      <c r="AC269" s="1290"/>
      <c r="AD269" s="1271">
        <v>0.02</v>
      </c>
      <c r="AE269" s="1273">
        <v>0.03</v>
      </c>
      <c r="AF269" s="1273">
        <v>0.05</v>
      </c>
      <c r="AG269" s="1275">
        <v>7.0000000000000007E-2</v>
      </c>
      <c r="AH269" s="1277">
        <v>0.98</v>
      </c>
    </row>
    <row r="270" spans="1:34" ht="13.5" customHeight="1">
      <c r="A270" s="431" t="s">
        <v>321</v>
      </c>
      <c r="B270" s="449" t="s">
        <v>314</v>
      </c>
      <c r="C270" s="450" t="s">
        <v>338</v>
      </c>
      <c r="D270" s="451">
        <v>170820</v>
      </c>
      <c r="E270" s="452"/>
      <c r="F270" s="451">
        <v>167730</v>
      </c>
      <c r="G270" s="452"/>
      <c r="H270" s="439">
        <v>1590</v>
      </c>
      <c r="I270" s="453"/>
      <c r="J270" s="454" t="s">
        <v>731</v>
      </c>
      <c r="K270" s="439">
        <v>1560</v>
      </c>
      <c r="L270" s="453"/>
      <c r="M270" s="454" t="s">
        <v>287</v>
      </c>
      <c r="N270" s="446"/>
      <c r="O270" s="455"/>
      <c r="P270" s="462"/>
      <c r="Q270" s="462"/>
      <c r="R270" s="1280"/>
      <c r="S270" s="1283"/>
      <c r="T270" s="456" t="s">
        <v>294</v>
      </c>
      <c r="U270" s="457">
        <v>2000</v>
      </c>
      <c r="V270" s="458">
        <v>2300</v>
      </c>
      <c r="W270" s="459">
        <v>2740</v>
      </c>
      <c r="X270" s="460">
        <v>20</v>
      </c>
      <c r="Y270" s="448"/>
      <c r="Z270" s="1301"/>
      <c r="AA270" s="464"/>
      <c r="AB270" s="1288"/>
      <c r="AC270" s="1291"/>
      <c r="AD270" s="1272"/>
      <c r="AE270" s="1274"/>
      <c r="AF270" s="1274"/>
      <c r="AG270" s="1276"/>
      <c r="AH270" s="1277"/>
    </row>
    <row r="271" spans="1:34" ht="13.5" customHeight="1">
      <c r="A271" s="431" t="s">
        <v>321</v>
      </c>
      <c r="B271" s="416" t="s">
        <v>315</v>
      </c>
      <c r="C271" s="417" t="s">
        <v>334</v>
      </c>
      <c r="D271" s="418">
        <v>30110</v>
      </c>
      <c r="E271" s="419">
        <v>37430</v>
      </c>
      <c r="F271" s="418">
        <v>27200</v>
      </c>
      <c r="G271" s="419">
        <v>34520</v>
      </c>
      <c r="H271" s="420">
        <v>280</v>
      </c>
      <c r="I271" s="421">
        <v>350</v>
      </c>
      <c r="J271" s="422" t="s">
        <v>731</v>
      </c>
      <c r="K271" s="420">
        <v>250</v>
      </c>
      <c r="L271" s="421">
        <v>320</v>
      </c>
      <c r="M271" s="422" t="s">
        <v>287</v>
      </c>
      <c r="N271" s="423">
        <v>7320</v>
      </c>
      <c r="O271" s="424">
        <v>70</v>
      </c>
      <c r="P271" s="462"/>
      <c r="Q271" s="462"/>
      <c r="R271" s="1278">
        <v>2400</v>
      </c>
      <c r="S271" s="1281">
        <v>2600</v>
      </c>
      <c r="T271" s="426" t="s">
        <v>288</v>
      </c>
      <c r="U271" s="427">
        <v>5400</v>
      </c>
      <c r="V271" s="428">
        <v>6000</v>
      </c>
      <c r="W271" s="425">
        <v>2580</v>
      </c>
      <c r="X271" s="429">
        <v>20</v>
      </c>
      <c r="Y271" s="1284">
        <v>4500</v>
      </c>
      <c r="Z271" s="1301"/>
      <c r="AA271" s="464"/>
      <c r="AB271" s="1286">
        <v>2980</v>
      </c>
      <c r="AC271" s="1289">
        <v>20</v>
      </c>
      <c r="AD271" s="1292" t="s">
        <v>290</v>
      </c>
      <c r="AE271" s="1294" t="s">
        <v>290</v>
      </c>
      <c r="AF271" s="1294" t="s">
        <v>290</v>
      </c>
      <c r="AG271" s="1297" t="s">
        <v>290</v>
      </c>
      <c r="AH271" s="1269" t="s">
        <v>296</v>
      </c>
    </row>
    <row r="272" spans="1:34" ht="13.5" customHeight="1">
      <c r="A272" s="431" t="s">
        <v>321</v>
      </c>
      <c r="B272" s="432" t="s">
        <v>315</v>
      </c>
      <c r="C272" s="433" t="s">
        <v>336</v>
      </c>
      <c r="D272" s="434">
        <v>37430</v>
      </c>
      <c r="E272" s="435">
        <v>96760</v>
      </c>
      <c r="F272" s="434">
        <v>34520</v>
      </c>
      <c r="G272" s="435">
        <v>93850</v>
      </c>
      <c r="H272" s="436">
        <v>350</v>
      </c>
      <c r="I272" s="437">
        <v>850</v>
      </c>
      <c r="J272" s="438" t="s">
        <v>731</v>
      </c>
      <c r="K272" s="436">
        <v>320</v>
      </c>
      <c r="L272" s="437">
        <v>820</v>
      </c>
      <c r="M272" s="438" t="s">
        <v>287</v>
      </c>
      <c r="N272" s="439">
        <v>7320</v>
      </c>
      <c r="O272" s="440">
        <v>70</v>
      </c>
      <c r="P272" s="462"/>
      <c r="Q272" s="462"/>
      <c r="R272" s="1279"/>
      <c r="S272" s="1282"/>
      <c r="T272" s="393" t="s">
        <v>292</v>
      </c>
      <c r="U272" s="442">
        <v>2900</v>
      </c>
      <c r="V272" s="443">
        <v>3300</v>
      </c>
      <c r="W272" s="441">
        <v>2580</v>
      </c>
      <c r="X272" s="444">
        <v>20</v>
      </c>
      <c r="Y272" s="1285"/>
      <c r="Z272" s="1301"/>
      <c r="AA272" s="464"/>
      <c r="AB272" s="1287"/>
      <c r="AC272" s="1290"/>
      <c r="AD272" s="1293"/>
      <c r="AE272" s="1295"/>
      <c r="AF272" s="1295"/>
      <c r="AG272" s="1298"/>
      <c r="AH272" s="1270"/>
    </row>
    <row r="273" spans="1:87" ht="13.5" customHeight="1">
      <c r="A273" s="431" t="s">
        <v>321</v>
      </c>
      <c r="B273" s="432" t="s">
        <v>315</v>
      </c>
      <c r="C273" s="433" t="s">
        <v>337</v>
      </c>
      <c r="D273" s="434">
        <v>96760</v>
      </c>
      <c r="E273" s="435">
        <v>170040</v>
      </c>
      <c r="F273" s="434">
        <v>93850</v>
      </c>
      <c r="G273" s="435">
        <v>167130</v>
      </c>
      <c r="H273" s="436">
        <v>850</v>
      </c>
      <c r="I273" s="437">
        <v>1580</v>
      </c>
      <c r="J273" s="438" t="s">
        <v>731</v>
      </c>
      <c r="K273" s="436">
        <v>820</v>
      </c>
      <c r="L273" s="437">
        <v>1550</v>
      </c>
      <c r="M273" s="438" t="s">
        <v>287</v>
      </c>
      <c r="N273" s="446"/>
      <c r="O273" s="447"/>
      <c r="P273" s="441"/>
      <c r="Q273" s="441"/>
      <c r="R273" s="1279"/>
      <c r="S273" s="1282"/>
      <c r="T273" s="393" t="s">
        <v>293</v>
      </c>
      <c r="U273" s="442">
        <v>2500</v>
      </c>
      <c r="V273" s="443">
        <v>2800</v>
      </c>
      <c r="W273" s="441">
        <v>2580</v>
      </c>
      <c r="X273" s="444">
        <v>20</v>
      </c>
      <c r="Y273" s="448"/>
      <c r="Z273" s="1301"/>
      <c r="AA273" s="464"/>
      <c r="AB273" s="1287"/>
      <c r="AC273" s="1290"/>
      <c r="AD273" s="1271">
        <v>0.02</v>
      </c>
      <c r="AE273" s="1273">
        <v>0.03</v>
      </c>
      <c r="AF273" s="1273">
        <v>0.05</v>
      </c>
      <c r="AG273" s="1275">
        <v>0.06</v>
      </c>
      <c r="AH273" s="1277">
        <v>0.99</v>
      </c>
    </row>
    <row r="274" spans="1:87" ht="13.5" customHeight="1">
      <c r="A274" s="431" t="s">
        <v>321</v>
      </c>
      <c r="B274" s="449" t="s">
        <v>315</v>
      </c>
      <c r="C274" s="450" t="s">
        <v>338</v>
      </c>
      <c r="D274" s="451">
        <v>170040</v>
      </c>
      <c r="E274" s="452"/>
      <c r="F274" s="451">
        <v>167130</v>
      </c>
      <c r="G274" s="452"/>
      <c r="H274" s="439">
        <v>1580</v>
      </c>
      <c r="I274" s="453"/>
      <c r="J274" s="454" t="s">
        <v>731</v>
      </c>
      <c r="K274" s="439">
        <v>1550</v>
      </c>
      <c r="L274" s="453"/>
      <c r="M274" s="454" t="s">
        <v>287</v>
      </c>
      <c r="N274" s="446"/>
      <c r="O274" s="455"/>
      <c r="P274" s="441"/>
      <c r="Q274" s="441"/>
      <c r="R274" s="1280"/>
      <c r="S274" s="1283"/>
      <c r="T274" s="456" t="s">
        <v>294</v>
      </c>
      <c r="U274" s="457">
        <v>2300</v>
      </c>
      <c r="V274" s="458">
        <v>2500</v>
      </c>
      <c r="W274" s="459">
        <v>2580</v>
      </c>
      <c r="X274" s="460">
        <v>20</v>
      </c>
      <c r="Y274" s="448"/>
      <c r="Z274" s="1301"/>
      <c r="AA274" s="464"/>
      <c r="AB274" s="1288"/>
      <c r="AC274" s="1291"/>
      <c r="AD274" s="1272"/>
      <c r="AE274" s="1274"/>
      <c r="AF274" s="1274"/>
      <c r="AG274" s="1276"/>
      <c r="AH274" s="1277"/>
    </row>
    <row r="275" spans="1:87" ht="13.5" customHeight="1">
      <c r="A275" s="431" t="s">
        <v>321</v>
      </c>
      <c r="B275" s="416" t="s">
        <v>316</v>
      </c>
      <c r="C275" s="417" t="s">
        <v>334</v>
      </c>
      <c r="D275" s="418">
        <v>29390</v>
      </c>
      <c r="E275" s="419">
        <v>36710</v>
      </c>
      <c r="F275" s="418">
        <v>26640</v>
      </c>
      <c r="G275" s="419">
        <v>33960</v>
      </c>
      <c r="H275" s="420">
        <v>270</v>
      </c>
      <c r="I275" s="421">
        <v>340</v>
      </c>
      <c r="J275" s="422" t="s">
        <v>731</v>
      </c>
      <c r="K275" s="420">
        <v>240</v>
      </c>
      <c r="L275" s="421">
        <v>310</v>
      </c>
      <c r="M275" s="422" t="s">
        <v>287</v>
      </c>
      <c r="N275" s="423">
        <v>7320</v>
      </c>
      <c r="O275" s="424">
        <v>70</v>
      </c>
      <c r="P275" s="441"/>
      <c r="Q275" s="441"/>
      <c r="R275" s="1278">
        <v>2300</v>
      </c>
      <c r="S275" s="1281">
        <v>2500</v>
      </c>
      <c r="T275" s="426" t="s">
        <v>288</v>
      </c>
      <c r="U275" s="427">
        <v>4800</v>
      </c>
      <c r="V275" s="428">
        <v>5400</v>
      </c>
      <c r="W275" s="425">
        <v>2440</v>
      </c>
      <c r="X275" s="429">
        <v>20</v>
      </c>
      <c r="Y275" s="1284">
        <v>4500</v>
      </c>
      <c r="Z275" s="1301"/>
      <c r="AA275" s="464"/>
      <c r="AB275" s="1286">
        <v>2820</v>
      </c>
      <c r="AC275" s="1289">
        <v>20</v>
      </c>
      <c r="AD275" s="1292" t="s">
        <v>290</v>
      </c>
      <c r="AE275" s="1294" t="s">
        <v>290</v>
      </c>
      <c r="AF275" s="1294" t="s">
        <v>290</v>
      </c>
      <c r="AG275" s="1297" t="s">
        <v>290</v>
      </c>
      <c r="AH275" s="1269" t="s">
        <v>296</v>
      </c>
    </row>
    <row r="276" spans="1:87" ht="13.5" customHeight="1">
      <c r="A276" s="431" t="s">
        <v>321</v>
      </c>
      <c r="B276" s="432" t="s">
        <v>317</v>
      </c>
      <c r="C276" s="433" t="s">
        <v>336</v>
      </c>
      <c r="D276" s="434">
        <v>36710</v>
      </c>
      <c r="E276" s="435">
        <v>96040</v>
      </c>
      <c r="F276" s="434">
        <v>33960</v>
      </c>
      <c r="G276" s="435">
        <v>93290</v>
      </c>
      <c r="H276" s="436">
        <v>340</v>
      </c>
      <c r="I276" s="437">
        <v>840</v>
      </c>
      <c r="J276" s="438" t="s">
        <v>731</v>
      </c>
      <c r="K276" s="436">
        <v>310</v>
      </c>
      <c r="L276" s="437">
        <v>820</v>
      </c>
      <c r="M276" s="438" t="s">
        <v>287</v>
      </c>
      <c r="N276" s="439">
        <v>7320</v>
      </c>
      <c r="O276" s="440">
        <v>70</v>
      </c>
      <c r="P276" s="441"/>
      <c r="Q276" s="441"/>
      <c r="R276" s="1279"/>
      <c r="S276" s="1282"/>
      <c r="T276" s="393" t="s">
        <v>292</v>
      </c>
      <c r="U276" s="442">
        <v>2600</v>
      </c>
      <c r="V276" s="443">
        <v>2900</v>
      </c>
      <c r="W276" s="441">
        <v>2440</v>
      </c>
      <c r="X276" s="444">
        <v>20</v>
      </c>
      <c r="Y276" s="1285"/>
      <c r="Z276" s="1301"/>
      <c r="AA276" s="464"/>
      <c r="AB276" s="1287"/>
      <c r="AC276" s="1290"/>
      <c r="AD276" s="1293"/>
      <c r="AE276" s="1295"/>
      <c r="AF276" s="1295"/>
      <c r="AG276" s="1298"/>
      <c r="AH276" s="1270"/>
    </row>
    <row r="277" spans="1:87" ht="13.5" customHeight="1">
      <c r="A277" s="431" t="s">
        <v>321</v>
      </c>
      <c r="B277" s="432" t="s">
        <v>316</v>
      </c>
      <c r="C277" s="433" t="s">
        <v>337</v>
      </c>
      <c r="D277" s="434">
        <v>96040</v>
      </c>
      <c r="E277" s="435">
        <v>169320</v>
      </c>
      <c r="F277" s="434">
        <v>93290</v>
      </c>
      <c r="G277" s="435">
        <v>166570</v>
      </c>
      <c r="H277" s="436">
        <v>840</v>
      </c>
      <c r="I277" s="437">
        <v>1570</v>
      </c>
      <c r="J277" s="438" t="s">
        <v>731</v>
      </c>
      <c r="K277" s="436">
        <v>820</v>
      </c>
      <c r="L277" s="437">
        <v>1550</v>
      </c>
      <c r="M277" s="438" t="s">
        <v>287</v>
      </c>
      <c r="N277" s="446"/>
      <c r="O277" s="447"/>
      <c r="P277" s="441"/>
      <c r="Q277" s="441"/>
      <c r="R277" s="1279"/>
      <c r="S277" s="1282"/>
      <c r="T277" s="393" t="s">
        <v>293</v>
      </c>
      <c r="U277" s="442">
        <v>2300</v>
      </c>
      <c r="V277" s="443">
        <v>2500</v>
      </c>
      <c r="W277" s="441">
        <v>2440</v>
      </c>
      <c r="X277" s="444">
        <v>20</v>
      </c>
      <c r="Y277" s="448"/>
      <c r="Z277" s="1301"/>
      <c r="AA277" s="464"/>
      <c r="AB277" s="1287"/>
      <c r="AC277" s="1290"/>
      <c r="AD277" s="1271">
        <v>0.02</v>
      </c>
      <c r="AE277" s="1273">
        <v>0.03</v>
      </c>
      <c r="AF277" s="1273">
        <v>0.05</v>
      </c>
      <c r="AG277" s="1275">
        <v>0.06</v>
      </c>
      <c r="AH277" s="1277">
        <v>0.99</v>
      </c>
    </row>
    <row r="278" spans="1:87" ht="13.5" customHeight="1">
      <c r="A278" s="463" t="s">
        <v>321</v>
      </c>
      <c r="B278" s="449" t="s">
        <v>316</v>
      </c>
      <c r="C278" s="450" t="s">
        <v>338</v>
      </c>
      <c r="D278" s="451">
        <v>169320</v>
      </c>
      <c r="E278" s="452"/>
      <c r="F278" s="451">
        <v>166570</v>
      </c>
      <c r="G278" s="452"/>
      <c r="H278" s="439">
        <v>1570</v>
      </c>
      <c r="I278" s="453"/>
      <c r="J278" s="454" t="s">
        <v>731</v>
      </c>
      <c r="K278" s="439">
        <v>1550</v>
      </c>
      <c r="L278" s="453"/>
      <c r="M278" s="454" t="s">
        <v>287</v>
      </c>
      <c r="N278" s="446"/>
      <c r="O278" s="465"/>
      <c r="P278" s="459"/>
      <c r="Q278" s="459"/>
      <c r="R278" s="1280"/>
      <c r="S278" s="1283"/>
      <c r="T278" s="456" t="s">
        <v>294</v>
      </c>
      <c r="U278" s="457">
        <v>2000</v>
      </c>
      <c r="V278" s="458">
        <v>2300</v>
      </c>
      <c r="W278" s="459">
        <v>2440</v>
      </c>
      <c r="X278" s="460">
        <v>20</v>
      </c>
      <c r="Y278" s="448"/>
      <c r="Z278" s="1301"/>
      <c r="AA278" s="403"/>
      <c r="AB278" s="1288"/>
      <c r="AC278" s="1291"/>
      <c r="AD278" s="1272"/>
      <c r="AE278" s="1274"/>
      <c r="AF278" s="1274"/>
      <c r="AG278" s="1276"/>
      <c r="AH278" s="1296"/>
    </row>
    <row r="279" spans="1:87" s="89" customFormat="1" ht="13.5" customHeight="1">
      <c r="A279" s="416" t="s">
        <v>322</v>
      </c>
      <c r="B279" s="416" t="s">
        <v>286</v>
      </c>
      <c r="C279" s="417" t="s">
        <v>334</v>
      </c>
      <c r="D279" s="418">
        <v>116500</v>
      </c>
      <c r="E279" s="419">
        <v>123710</v>
      </c>
      <c r="F279" s="418">
        <v>92090</v>
      </c>
      <c r="G279" s="419">
        <v>99300</v>
      </c>
      <c r="H279" s="420">
        <v>1140</v>
      </c>
      <c r="I279" s="421">
        <v>1210</v>
      </c>
      <c r="J279" s="422" t="s">
        <v>731</v>
      </c>
      <c r="K279" s="420">
        <v>900</v>
      </c>
      <c r="L279" s="421">
        <v>970</v>
      </c>
      <c r="M279" s="422" t="s">
        <v>287</v>
      </c>
      <c r="N279" s="423">
        <v>7210</v>
      </c>
      <c r="O279" s="424">
        <v>70</v>
      </c>
      <c r="P279" s="425"/>
      <c r="Q279" s="425"/>
      <c r="R279" s="1278">
        <v>7200</v>
      </c>
      <c r="S279" s="1281">
        <v>7900</v>
      </c>
      <c r="T279" s="426" t="s">
        <v>288</v>
      </c>
      <c r="U279" s="427">
        <v>15800</v>
      </c>
      <c r="V279" s="428">
        <v>17600</v>
      </c>
      <c r="W279" s="425">
        <v>21630</v>
      </c>
      <c r="X279" s="429">
        <v>210</v>
      </c>
      <c r="Y279" s="1284">
        <v>4500</v>
      </c>
      <c r="Z279" s="1301" t="s">
        <v>289</v>
      </c>
      <c r="AA279" s="430"/>
      <c r="AB279" s="1286">
        <v>24940</v>
      </c>
      <c r="AC279" s="1289">
        <v>240</v>
      </c>
      <c r="AD279" s="1292" t="s">
        <v>290</v>
      </c>
      <c r="AE279" s="1294" t="s">
        <v>290</v>
      </c>
      <c r="AF279" s="1294" t="s">
        <v>290</v>
      </c>
      <c r="AG279" s="1297" t="s">
        <v>290</v>
      </c>
      <c r="AH279" s="1269" t="s">
        <v>296</v>
      </c>
      <c r="AI279" s="88"/>
      <c r="AJ279" s="88"/>
      <c r="AK279" s="88"/>
      <c r="AL279" s="88"/>
      <c r="AM279" s="88"/>
      <c r="AN279" s="88"/>
      <c r="AO279" s="88"/>
      <c r="AP279" s="88"/>
      <c r="AQ279" s="88"/>
      <c r="AR279" s="88"/>
      <c r="AS279" s="88"/>
      <c r="AT279" s="88"/>
      <c r="AU279" s="88"/>
      <c r="AV279" s="88"/>
      <c r="AW279" s="88"/>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c r="BV279" s="94"/>
      <c r="BW279" s="94"/>
      <c r="BX279" s="94"/>
      <c r="BY279" s="94"/>
      <c r="BZ279" s="94"/>
      <c r="CA279" s="94"/>
      <c r="CB279" s="94"/>
      <c r="CC279" s="94"/>
      <c r="CD279" s="94"/>
      <c r="CE279" s="94"/>
      <c r="CF279" s="94"/>
      <c r="CG279" s="94"/>
      <c r="CH279" s="94"/>
      <c r="CI279" s="94"/>
    </row>
    <row r="280" spans="1:87" s="89" customFormat="1" ht="13.5" customHeight="1">
      <c r="A280" s="431" t="s">
        <v>322</v>
      </c>
      <c r="B280" s="432" t="s">
        <v>286</v>
      </c>
      <c r="C280" s="433" t="s">
        <v>336</v>
      </c>
      <c r="D280" s="434">
        <v>123710</v>
      </c>
      <c r="E280" s="435">
        <v>182210</v>
      </c>
      <c r="F280" s="434">
        <v>99300</v>
      </c>
      <c r="G280" s="435">
        <v>157800</v>
      </c>
      <c r="H280" s="436">
        <v>1210</v>
      </c>
      <c r="I280" s="437">
        <v>1710</v>
      </c>
      <c r="J280" s="438" t="s">
        <v>731</v>
      </c>
      <c r="K280" s="436">
        <v>970</v>
      </c>
      <c r="L280" s="437">
        <v>1460</v>
      </c>
      <c r="M280" s="438" t="s">
        <v>287</v>
      </c>
      <c r="N280" s="439">
        <v>7210</v>
      </c>
      <c r="O280" s="440">
        <v>70</v>
      </c>
      <c r="P280" s="441"/>
      <c r="Q280" s="441"/>
      <c r="R280" s="1279"/>
      <c r="S280" s="1282"/>
      <c r="T280" s="393" t="s">
        <v>292</v>
      </c>
      <c r="U280" s="442">
        <v>8700</v>
      </c>
      <c r="V280" s="443">
        <v>9700</v>
      </c>
      <c r="W280" s="441">
        <v>21630</v>
      </c>
      <c r="X280" s="444">
        <v>210</v>
      </c>
      <c r="Y280" s="1285"/>
      <c r="Z280" s="1301"/>
      <c r="AA280" s="445"/>
      <c r="AB280" s="1287"/>
      <c r="AC280" s="1290"/>
      <c r="AD280" s="1293"/>
      <c r="AE280" s="1295"/>
      <c r="AF280" s="1295"/>
      <c r="AG280" s="1298"/>
      <c r="AH280" s="1270"/>
      <c r="AI280" s="88"/>
      <c r="AJ280" s="88"/>
      <c r="AK280" s="88"/>
      <c r="AL280" s="88"/>
      <c r="AM280" s="88"/>
      <c r="AN280" s="88"/>
      <c r="AO280" s="88"/>
      <c r="AP280" s="88"/>
      <c r="AQ280" s="88"/>
      <c r="AR280" s="88"/>
      <c r="AS280" s="88"/>
      <c r="AT280" s="88"/>
      <c r="AU280" s="88"/>
      <c r="AV280" s="88"/>
      <c r="AW280" s="88"/>
    </row>
    <row r="281" spans="1:87" s="89" customFormat="1" ht="13.5" customHeight="1">
      <c r="A281" s="431" t="s">
        <v>322</v>
      </c>
      <c r="B281" s="432" t="s">
        <v>286</v>
      </c>
      <c r="C281" s="433" t="s">
        <v>337</v>
      </c>
      <c r="D281" s="434">
        <v>182210</v>
      </c>
      <c r="E281" s="435">
        <v>254330</v>
      </c>
      <c r="F281" s="434">
        <v>157800</v>
      </c>
      <c r="G281" s="435">
        <v>229920</v>
      </c>
      <c r="H281" s="436">
        <v>1710</v>
      </c>
      <c r="I281" s="437">
        <v>2430</v>
      </c>
      <c r="J281" s="438" t="s">
        <v>731</v>
      </c>
      <c r="K281" s="436">
        <v>1460</v>
      </c>
      <c r="L281" s="437">
        <v>2180</v>
      </c>
      <c r="M281" s="438" t="s">
        <v>287</v>
      </c>
      <c r="N281" s="446"/>
      <c r="O281" s="447"/>
      <c r="P281" s="441"/>
      <c r="Q281" s="441"/>
      <c r="R281" s="1279"/>
      <c r="S281" s="1282"/>
      <c r="T281" s="393" t="s">
        <v>293</v>
      </c>
      <c r="U281" s="442">
        <v>7600</v>
      </c>
      <c r="V281" s="443">
        <v>8400</v>
      </c>
      <c r="W281" s="441">
        <v>21630</v>
      </c>
      <c r="X281" s="444">
        <v>210</v>
      </c>
      <c r="Y281" s="448"/>
      <c r="Z281" s="1301"/>
      <c r="AA281" s="445"/>
      <c r="AB281" s="1287"/>
      <c r="AC281" s="1290"/>
      <c r="AD281" s="1271">
        <v>0.01</v>
      </c>
      <c r="AE281" s="1273">
        <v>0.03</v>
      </c>
      <c r="AF281" s="1273">
        <v>0.04</v>
      </c>
      <c r="AG281" s="1275">
        <v>0.05</v>
      </c>
      <c r="AH281" s="1277">
        <v>0.79</v>
      </c>
      <c r="AI281" s="88"/>
      <c r="AJ281" s="88"/>
      <c r="AK281" s="88"/>
      <c r="AL281" s="88"/>
      <c r="AM281" s="88"/>
      <c r="AN281" s="88"/>
      <c r="AO281" s="88"/>
      <c r="AP281" s="88"/>
      <c r="AQ281" s="88"/>
      <c r="AR281" s="88"/>
      <c r="AS281" s="88"/>
      <c r="AT281" s="88"/>
      <c r="AU281" s="88"/>
      <c r="AV281" s="88"/>
      <c r="AW281" s="88"/>
    </row>
    <row r="282" spans="1:87" s="89" customFormat="1" ht="13.5" customHeight="1">
      <c r="A282" s="431" t="s">
        <v>322</v>
      </c>
      <c r="B282" s="449" t="s">
        <v>286</v>
      </c>
      <c r="C282" s="450" t="s">
        <v>338</v>
      </c>
      <c r="D282" s="451">
        <v>254330</v>
      </c>
      <c r="E282" s="452"/>
      <c r="F282" s="451">
        <v>229920</v>
      </c>
      <c r="G282" s="452"/>
      <c r="H282" s="439">
        <v>2430</v>
      </c>
      <c r="I282" s="453"/>
      <c r="J282" s="454" t="s">
        <v>731</v>
      </c>
      <c r="K282" s="439">
        <v>2180</v>
      </c>
      <c r="L282" s="453"/>
      <c r="M282" s="454" t="s">
        <v>287</v>
      </c>
      <c r="N282" s="446"/>
      <c r="O282" s="455"/>
      <c r="P282" s="441"/>
      <c r="Q282" s="441"/>
      <c r="R282" s="1280"/>
      <c r="S282" s="1283"/>
      <c r="T282" s="456" t="s">
        <v>294</v>
      </c>
      <c r="U282" s="457">
        <v>6800</v>
      </c>
      <c r="V282" s="458">
        <v>7500</v>
      </c>
      <c r="W282" s="459">
        <v>21630</v>
      </c>
      <c r="X282" s="460">
        <v>210</v>
      </c>
      <c r="Y282" s="448"/>
      <c r="Z282" s="1301"/>
      <c r="AA282" s="445"/>
      <c r="AB282" s="1288"/>
      <c r="AC282" s="1291"/>
      <c r="AD282" s="1272"/>
      <c r="AE282" s="1274"/>
      <c r="AF282" s="1274"/>
      <c r="AG282" s="1276"/>
      <c r="AH282" s="1277"/>
      <c r="AI282" s="88"/>
      <c r="AJ282" s="88"/>
      <c r="AK282" s="88"/>
      <c r="AL282" s="88"/>
      <c r="AM282" s="88"/>
      <c r="AN282" s="88"/>
      <c r="AO282" s="88"/>
      <c r="AP282" s="88"/>
      <c r="AQ282" s="88"/>
      <c r="AR282" s="88"/>
      <c r="AS282" s="88"/>
      <c r="AT282" s="88"/>
      <c r="AU282" s="88"/>
      <c r="AV282" s="88"/>
      <c r="AW282" s="88"/>
    </row>
    <row r="283" spans="1:87" s="89" customFormat="1" ht="13.5" customHeight="1">
      <c r="A283" s="431" t="s">
        <v>322</v>
      </c>
      <c r="B283" s="416" t="s">
        <v>295</v>
      </c>
      <c r="C283" s="417" t="s">
        <v>334</v>
      </c>
      <c r="D283" s="418">
        <v>84020</v>
      </c>
      <c r="E283" s="419">
        <v>91230</v>
      </c>
      <c r="F283" s="418">
        <v>67750</v>
      </c>
      <c r="G283" s="419">
        <v>74960</v>
      </c>
      <c r="H283" s="420">
        <v>820</v>
      </c>
      <c r="I283" s="421">
        <v>890</v>
      </c>
      <c r="J283" s="422" t="s">
        <v>731</v>
      </c>
      <c r="K283" s="420">
        <v>650</v>
      </c>
      <c r="L283" s="421">
        <v>720</v>
      </c>
      <c r="M283" s="422" t="s">
        <v>287</v>
      </c>
      <c r="N283" s="423">
        <v>7210</v>
      </c>
      <c r="O283" s="424">
        <v>70</v>
      </c>
      <c r="P283" s="441"/>
      <c r="Q283" s="441"/>
      <c r="R283" s="1278">
        <v>5000</v>
      </c>
      <c r="S283" s="1281">
        <v>5500</v>
      </c>
      <c r="T283" s="426" t="s">
        <v>288</v>
      </c>
      <c r="U283" s="427">
        <v>10900</v>
      </c>
      <c r="V283" s="428">
        <v>12200</v>
      </c>
      <c r="W283" s="425">
        <v>14420</v>
      </c>
      <c r="X283" s="429">
        <v>140</v>
      </c>
      <c r="Y283" s="1284">
        <v>4500</v>
      </c>
      <c r="Z283" s="1301"/>
      <c r="AA283" s="445"/>
      <c r="AB283" s="1286">
        <v>16620</v>
      </c>
      <c r="AC283" s="1289">
        <v>160</v>
      </c>
      <c r="AD283" s="1292" t="s">
        <v>290</v>
      </c>
      <c r="AE283" s="1294" t="s">
        <v>290</v>
      </c>
      <c r="AF283" s="1294" t="s">
        <v>290</v>
      </c>
      <c r="AG283" s="1297" t="s">
        <v>290</v>
      </c>
      <c r="AH283" s="1269" t="s">
        <v>296</v>
      </c>
      <c r="AI283" s="88"/>
      <c r="AJ283" s="88"/>
      <c r="AK283" s="88"/>
      <c r="AL283" s="88"/>
      <c r="AM283" s="88"/>
      <c r="AN283" s="88"/>
      <c r="AO283" s="88"/>
      <c r="AP283" s="88"/>
      <c r="AQ283" s="88"/>
      <c r="AR283" s="88"/>
      <c r="AS283" s="88"/>
      <c r="AT283" s="88"/>
      <c r="AU283" s="88"/>
      <c r="AV283" s="88"/>
      <c r="AW283" s="88"/>
    </row>
    <row r="284" spans="1:87" s="89" customFormat="1" ht="13.5" customHeight="1">
      <c r="A284" s="431" t="s">
        <v>322</v>
      </c>
      <c r="B284" s="432" t="s">
        <v>297</v>
      </c>
      <c r="C284" s="433" t="s">
        <v>336</v>
      </c>
      <c r="D284" s="434">
        <v>91230</v>
      </c>
      <c r="E284" s="435">
        <v>149730</v>
      </c>
      <c r="F284" s="434">
        <v>74960</v>
      </c>
      <c r="G284" s="435">
        <v>133460</v>
      </c>
      <c r="H284" s="436">
        <v>890</v>
      </c>
      <c r="I284" s="437">
        <v>1380</v>
      </c>
      <c r="J284" s="438" t="s">
        <v>731</v>
      </c>
      <c r="K284" s="436">
        <v>720</v>
      </c>
      <c r="L284" s="437">
        <v>1220</v>
      </c>
      <c r="M284" s="438" t="s">
        <v>287</v>
      </c>
      <c r="N284" s="439">
        <v>7210</v>
      </c>
      <c r="O284" s="440">
        <v>70</v>
      </c>
      <c r="P284" s="441"/>
      <c r="Q284" s="441"/>
      <c r="R284" s="1279"/>
      <c r="S284" s="1282"/>
      <c r="T284" s="393" t="s">
        <v>292</v>
      </c>
      <c r="U284" s="442">
        <v>6000</v>
      </c>
      <c r="V284" s="443">
        <v>6700</v>
      </c>
      <c r="W284" s="441">
        <v>14420</v>
      </c>
      <c r="X284" s="444">
        <v>140</v>
      </c>
      <c r="Y284" s="1285"/>
      <c r="Z284" s="1301"/>
      <c r="AA284" s="445"/>
      <c r="AB284" s="1287"/>
      <c r="AC284" s="1290"/>
      <c r="AD284" s="1293"/>
      <c r="AE284" s="1295"/>
      <c r="AF284" s="1295"/>
      <c r="AG284" s="1298"/>
      <c r="AH284" s="1270"/>
      <c r="AI284" s="88"/>
      <c r="AJ284" s="88"/>
      <c r="AK284" s="88"/>
      <c r="AL284" s="88"/>
      <c r="AM284" s="88"/>
      <c r="AN284" s="88"/>
      <c r="AO284" s="88"/>
      <c r="AP284" s="88"/>
      <c r="AQ284" s="88"/>
      <c r="AR284" s="88"/>
      <c r="AS284" s="88"/>
      <c r="AT284" s="88"/>
      <c r="AU284" s="88"/>
      <c r="AV284" s="88"/>
      <c r="AW284" s="88"/>
    </row>
    <row r="285" spans="1:87" s="89" customFormat="1" ht="13.5" customHeight="1">
      <c r="A285" s="431" t="s">
        <v>322</v>
      </c>
      <c r="B285" s="432" t="s">
        <v>297</v>
      </c>
      <c r="C285" s="433" t="s">
        <v>337</v>
      </c>
      <c r="D285" s="434">
        <v>149730</v>
      </c>
      <c r="E285" s="435">
        <v>221850</v>
      </c>
      <c r="F285" s="434">
        <v>133460</v>
      </c>
      <c r="G285" s="435">
        <v>205580</v>
      </c>
      <c r="H285" s="436">
        <v>1380</v>
      </c>
      <c r="I285" s="437">
        <v>2100</v>
      </c>
      <c r="J285" s="438" t="s">
        <v>731</v>
      </c>
      <c r="K285" s="436">
        <v>1220</v>
      </c>
      <c r="L285" s="437">
        <v>1940</v>
      </c>
      <c r="M285" s="438" t="s">
        <v>287</v>
      </c>
      <c r="N285" s="446"/>
      <c r="O285" s="447"/>
      <c r="P285" s="461"/>
      <c r="Q285" s="461"/>
      <c r="R285" s="1279"/>
      <c r="S285" s="1282"/>
      <c r="T285" s="393" t="s">
        <v>293</v>
      </c>
      <c r="U285" s="442">
        <v>5200</v>
      </c>
      <c r="V285" s="443">
        <v>5800</v>
      </c>
      <c r="W285" s="441">
        <v>14420</v>
      </c>
      <c r="X285" s="444">
        <v>140</v>
      </c>
      <c r="Y285" s="448"/>
      <c r="Z285" s="1301"/>
      <c r="AA285" s="445"/>
      <c r="AB285" s="1287"/>
      <c r="AC285" s="1290"/>
      <c r="AD285" s="1271">
        <v>0.01</v>
      </c>
      <c r="AE285" s="1273">
        <v>0.03</v>
      </c>
      <c r="AF285" s="1273">
        <v>0.04</v>
      </c>
      <c r="AG285" s="1275">
        <v>0.05</v>
      </c>
      <c r="AH285" s="1277">
        <v>0.87</v>
      </c>
      <c r="AI285" s="88"/>
      <c r="AJ285" s="88"/>
      <c r="AK285" s="88"/>
      <c r="AL285" s="88"/>
      <c r="AM285" s="88"/>
      <c r="AN285" s="88"/>
      <c r="AO285" s="88"/>
      <c r="AP285" s="88"/>
      <c r="AQ285" s="88"/>
      <c r="AR285" s="88"/>
      <c r="AS285" s="88"/>
      <c r="AT285" s="88"/>
      <c r="AU285" s="88"/>
      <c r="AV285" s="88"/>
      <c r="AW285" s="88"/>
    </row>
    <row r="286" spans="1:87" s="89" customFormat="1" ht="13.5" customHeight="1">
      <c r="A286" s="431" t="s">
        <v>322</v>
      </c>
      <c r="B286" s="449" t="s">
        <v>297</v>
      </c>
      <c r="C286" s="450" t="s">
        <v>338</v>
      </c>
      <c r="D286" s="451">
        <v>221850</v>
      </c>
      <c r="E286" s="452"/>
      <c r="F286" s="451">
        <v>205580</v>
      </c>
      <c r="G286" s="452"/>
      <c r="H286" s="439">
        <v>2100</v>
      </c>
      <c r="I286" s="453"/>
      <c r="J286" s="454" t="s">
        <v>731</v>
      </c>
      <c r="K286" s="439">
        <v>1940</v>
      </c>
      <c r="L286" s="453"/>
      <c r="M286" s="454" t="s">
        <v>287</v>
      </c>
      <c r="N286" s="446"/>
      <c r="O286" s="455"/>
      <c r="P286" s="461"/>
      <c r="Q286" s="461"/>
      <c r="R286" s="1280"/>
      <c r="S286" s="1283"/>
      <c r="T286" s="456" t="s">
        <v>294</v>
      </c>
      <c r="U286" s="457">
        <v>4700</v>
      </c>
      <c r="V286" s="458">
        <v>5200</v>
      </c>
      <c r="W286" s="459">
        <v>14420</v>
      </c>
      <c r="X286" s="460">
        <v>140</v>
      </c>
      <c r="Y286" s="448"/>
      <c r="Z286" s="1301"/>
      <c r="AA286" s="445"/>
      <c r="AB286" s="1288"/>
      <c r="AC286" s="1291"/>
      <c r="AD286" s="1272"/>
      <c r="AE286" s="1274"/>
      <c r="AF286" s="1274"/>
      <c r="AG286" s="1276"/>
      <c r="AH286" s="1277"/>
      <c r="AI286" s="88"/>
      <c r="AJ286" s="88"/>
      <c r="AK286" s="88"/>
      <c r="AL286" s="88"/>
      <c r="AM286" s="88"/>
      <c r="AN286" s="88"/>
      <c r="AO286" s="88"/>
      <c r="AP286" s="88"/>
      <c r="AQ286" s="88"/>
      <c r="AR286" s="88"/>
      <c r="AS286" s="88"/>
      <c r="AT286" s="88"/>
      <c r="AU286" s="88"/>
      <c r="AV286" s="88"/>
      <c r="AW286" s="88"/>
    </row>
    <row r="287" spans="1:87" ht="13.5" customHeight="1">
      <c r="A287" s="431" t="s">
        <v>322</v>
      </c>
      <c r="B287" s="416" t="s">
        <v>298</v>
      </c>
      <c r="C287" s="417" t="s">
        <v>334</v>
      </c>
      <c r="D287" s="418">
        <v>67970</v>
      </c>
      <c r="E287" s="419">
        <v>75180</v>
      </c>
      <c r="F287" s="418">
        <v>55770</v>
      </c>
      <c r="G287" s="419">
        <v>62980</v>
      </c>
      <c r="H287" s="420">
        <v>660</v>
      </c>
      <c r="I287" s="421">
        <v>730</v>
      </c>
      <c r="J287" s="422" t="s">
        <v>731</v>
      </c>
      <c r="K287" s="420">
        <v>530</v>
      </c>
      <c r="L287" s="421">
        <v>600</v>
      </c>
      <c r="M287" s="422" t="s">
        <v>287</v>
      </c>
      <c r="N287" s="423">
        <v>7210</v>
      </c>
      <c r="O287" s="424">
        <v>70</v>
      </c>
      <c r="P287" s="461"/>
      <c r="Q287" s="461"/>
      <c r="R287" s="1278">
        <v>4400</v>
      </c>
      <c r="S287" s="1281">
        <v>4800</v>
      </c>
      <c r="T287" s="426" t="s">
        <v>288</v>
      </c>
      <c r="U287" s="427">
        <v>9800</v>
      </c>
      <c r="V287" s="428">
        <v>10900</v>
      </c>
      <c r="W287" s="425">
        <v>10810</v>
      </c>
      <c r="X287" s="429">
        <v>100</v>
      </c>
      <c r="Y287" s="1284">
        <v>4500</v>
      </c>
      <c r="Z287" s="1301"/>
      <c r="AA287" s="445"/>
      <c r="AB287" s="1286">
        <v>12470</v>
      </c>
      <c r="AC287" s="1289">
        <v>120</v>
      </c>
      <c r="AD287" s="1292" t="s">
        <v>290</v>
      </c>
      <c r="AE287" s="1294" t="s">
        <v>290</v>
      </c>
      <c r="AF287" s="1294" t="s">
        <v>290</v>
      </c>
      <c r="AG287" s="1297" t="s">
        <v>290</v>
      </c>
      <c r="AH287" s="1269" t="s">
        <v>296</v>
      </c>
      <c r="AY287" s="89"/>
      <c r="AZ287" s="89"/>
      <c r="BA287" s="89"/>
      <c r="BB287" s="89"/>
      <c r="BC287" s="89"/>
      <c r="BD287" s="89"/>
      <c r="BE287" s="89"/>
      <c r="BF287" s="89"/>
      <c r="BG287" s="89"/>
      <c r="BH287" s="89"/>
      <c r="BI287" s="89"/>
      <c r="BJ287" s="89"/>
      <c r="BK287" s="89"/>
      <c r="BL287" s="89"/>
      <c r="BM287" s="89"/>
      <c r="BN287" s="89"/>
      <c r="BO287" s="89"/>
      <c r="BP287" s="89"/>
      <c r="BQ287" s="89"/>
      <c r="BR287" s="89"/>
      <c r="BS287" s="89"/>
      <c r="BT287" s="89"/>
      <c r="BU287" s="89"/>
      <c r="BV287" s="89"/>
      <c r="BW287" s="89"/>
      <c r="BX287" s="89"/>
      <c r="BY287" s="89"/>
      <c r="BZ287" s="89"/>
      <c r="CA287" s="89"/>
      <c r="CB287" s="89"/>
      <c r="CC287" s="89"/>
      <c r="CD287" s="89"/>
      <c r="CE287" s="89"/>
      <c r="CF287" s="89"/>
      <c r="CG287" s="89"/>
      <c r="CH287" s="89"/>
      <c r="CI287" s="89"/>
    </row>
    <row r="288" spans="1:87" ht="13.5" customHeight="1">
      <c r="A288" s="431" t="s">
        <v>322</v>
      </c>
      <c r="B288" s="432" t="s">
        <v>299</v>
      </c>
      <c r="C288" s="433" t="s">
        <v>336</v>
      </c>
      <c r="D288" s="434">
        <v>75180</v>
      </c>
      <c r="E288" s="435">
        <v>133680</v>
      </c>
      <c r="F288" s="434">
        <v>62980</v>
      </c>
      <c r="G288" s="435">
        <v>121480</v>
      </c>
      <c r="H288" s="436">
        <v>730</v>
      </c>
      <c r="I288" s="437">
        <v>1220</v>
      </c>
      <c r="J288" s="438" t="s">
        <v>731</v>
      </c>
      <c r="K288" s="436">
        <v>600</v>
      </c>
      <c r="L288" s="437">
        <v>1100</v>
      </c>
      <c r="M288" s="438" t="s">
        <v>287</v>
      </c>
      <c r="N288" s="439">
        <v>7210</v>
      </c>
      <c r="O288" s="440">
        <v>70</v>
      </c>
      <c r="P288" s="461"/>
      <c r="Q288" s="461"/>
      <c r="R288" s="1279"/>
      <c r="S288" s="1282"/>
      <c r="T288" s="393" t="s">
        <v>292</v>
      </c>
      <c r="U288" s="442">
        <v>5400</v>
      </c>
      <c r="V288" s="443">
        <v>6000</v>
      </c>
      <c r="W288" s="441">
        <v>10810</v>
      </c>
      <c r="X288" s="444">
        <v>100</v>
      </c>
      <c r="Y288" s="1285"/>
      <c r="Z288" s="1301"/>
      <c r="AA288" s="445"/>
      <c r="AB288" s="1287"/>
      <c r="AC288" s="1290"/>
      <c r="AD288" s="1293"/>
      <c r="AE288" s="1295"/>
      <c r="AF288" s="1295"/>
      <c r="AG288" s="1298"/>
      <c r="AH288" s="1270"/>
    </row>
    <row r="289" spans="1:34" ht="13.5" customHeight="1">
      <c r="A289" s="431" t="s">
        <v>322</v>
      </c>
      <c r="B289" s="432" t="s">
        <v>299</v>
      </c>
      <c r="C289" s="433" t="s">
        <v>337</v>
      </c>
      <c r="D289" s="434">
        <v>133680</v>
      </c>
      <c r="E289" s="435">
        <v>205800</v>
      </c>
      <c r="F289" s="434">
        <v>121480</v>
      </c>
      <c r="G289" s="435">
        <v>193600</v>
      </c>
      <c r="H289" s="436">
        <v>1220</v>
      </c>
      <c r="I289" s="437">
        <v>1940</v>
      </c>
      <c r="J289" s="438" t="s">
        <v>731</v>
      </c>
      <c r="K289" s="436">
        <v>1100</v>
      </c>
      <c r="L289" s="437">
        <v>1820</v>
      </c>
      <c r="M289" s="438" t="s">
        <v>287</v>
      </c>
      <c r="N289" s="446"/>
      <c r="O289" s="447"/>
      <c r="P289" s="461"/>
      <c r="Q289" s="461"/>
      <c r="R289" s="1279"/>
      <c r="S289" s="1282"/>
      <c r="T289" s="393" t="s">
        <v>293</v>
      </c>
      <c r="U289" s="442">
        <v>4700</v>
      </c>
      <c r="V289" s="443">
        <v>5200</v>
      </c>
      <c r="W289" s="441">
        <v>10810</v>
      </c>
      <c r="X289" s="444">
        <v>100</v>
      </c>
      <c r="Y289" s="448"/>
      <c r="Z289" s="1301"/>
      <c r="AA289" s="445"/>
      <c r="AB289" s="1287"/>
      <c r="AC289" s="1290"/>
      <c r="AD289" s="1271">
        <v>0.01</v>
      </c>
      <c r="AE289" s="1273">
        <v>0.03</v>
      </c>
      <c r="AF289" s="1273">
        <v>0.04</v>
      </c>
      <c r="AG289" s="1275">
        <v>0.05</v>
      </c>
      <c r="AH289" s="1277">
        <v>0.96</v>
      </c>
    </row>
    <row r="290" spans="1:34" ht="13.5" customHeight="1">
      <c r="A290" s="431" t="s">
        <v>322</v>
      </c>
      <c r="B290" s="449" t="s">
        <v>299</v>
      </c>
      <c r="C290" s="450" t="s">
        <v>338</v>
      </c>
      <c r="D290" s="451">
        <v>205800</v>
      </c>
      <c r="E290" s="452"/>
      <c r="F290" s="451">
        <v>193600</v>
      </c>
      <c r="G290" s="452"/>
      <c r="H290" s="439">
        <v>1940</v>
      </c>
      <c r="I290" s="453"/>
      <c r="J290" s="454" t="s">
        <v>731</v>
      </c>
      <c r="K290" s="439">
        <v>1820</v>
      </c>
      <c r="L290" s="453"/>
      <c r="M290" s="454" t="s">
        <v>287</v>
      </c>
      <c r="N290" s="446"/>
      <c r="O290" s="455"/>
      <c r="P290" s="461"/>
      <c r="Q290" s="461"/>
      <c r="R290" s="1280"/>
      <c r="S290" s="1283"/>
      <c r="T290" s="456" t="s">
        <v>294</v>
      </c>
      <c r="U290" s="457">
        <v>4200</v>
      </c>
      <c r="V290" s="458">
        <v>4600</v>
      </c>
      <c r="W290" s="459">
        <v>10810</v>
      </c>
      <c r="X290" s="460">
        <v>100</v>
      </c>
      <c r="Y290" s="448"/>
      <c r="Z290" s="1301"/>
      <c r="AA290" s="445"/>
      <c r="AB290" s="1288"/>
      <c r="AC290" s="1291"/>
      <c r="AD290" s="1272"/>
      <c r="AE290" s="1274"/>
      <c r="AF290" s="1274"/>
      <c r="AG290" s="1276"/>
      <c r="AH290" s="1277"/>
    </row>
    <row r="291" spans="1:34" ht="13.5" customHeight="1">
      <c r="A291" s="431" t="s">
        <v>322</v>
      </c>
      <c r="B291" s="416" t="s">
        <v>300</v>
      </c>
      <c r="C291" s="417" t="s">
        <v>334</v>
      </c>
      <c r="D291" s="418">
        <v>63590</v>
      </c>
      <c r="E291" s="419">
        <v>70800</v>
      </c>
      <c r="F291" s="418">
        <v>53830</v>
      </c>
      <c r="G291" s="419">
        <v>61040</v>
      </c>
      <c r="H291" s="420">
        <v>610</v>
      </c>
      <c r="I291" s="421">
        <v>680</v>
      </c>
      <c r="J291" s="422" t="s">
        <v>731</v>
      </c>
      <c r="K291" s="420">
        <v>520</v>
      </c>
      <c r="L291" s="421">
        <v>590</v>
      </c>
      <c r="M291" s="422" t="s">
        <v>287</v>
      </c>
      <c r="N291" s="423">
        <v>7210</v>
      </c>
      <c r="O291" s="424">
        <v>70</v>
      </c>
      <c r="P291" s="1300"/>
      <c r="Q291" s="1300"/>
      <c r="R291" s="1278">
        <v>4000</v>
      </c>
      <c r="S291" s="1281">
        <v>4400</v>
      </c>
      <c r="T291" s="426" t="s">
        <v>288</v>
      </c>
      <c r="U291" s="427">
        <v>8800</v>
      </c>
      <c r="V291" s="428">
        <v>9800</v>
      </c>
      <c r="W291" s="425">
        <v>8650</v>
      </c>
      <c r="X291" s="429">
        <v>80</v>
      </c>
      <c r="Y291" s="1284">
        <v>4500</v>
      </c>
      <c r="Z291" s="1301"/>
      <c r="AA291" s="445"/>
      <c r="AB291" s="1286">
        <v>9970</v>
      </c>
      <c r="AC291" s="1289">
        <v>90</v>
      </c>
      <c r="AD291" s="1292" t="s">
        <v>290</v>
      </c>
      <c r="AE291" s="1294" t="s">
        <v>290</v>
      </c>
      <c r="AF291" s="1294" t="s">
        <v>290</v>
      </c>
      <c r="AG291" s="1297" t="s">
        <v>290</v>
      </c>
      <c r="AH291" s="1269" t="s">
        <v>296</v>
      </c>
    </row>
    <row r="292" spans="1:34" ht="13.5" customHeight="1">
      <c r="A292" s="431" t="s">
        <v>322</v>
      </c>
      <c r="B292" s="432" t="s">
        <v>301</v>
      </c>
      <c r="C292" s="433" t="s">
        <v>336</v>
      </c>
      <c r="D292" s="434">
        <v>70800</v>
      </c>
      <c r="E292" s="435">
        <v>129300</v>
      </c>
      <c r="F292" s="434">
        <v>61040</v>
      </c>
      <c r="G292" s="435">
        <v>119540</v>
      </c>
      <c r="H292" s="436">
        <v>680</v>
      </c>
      <c r="I292" s="437">
        <v>1180</v>
      </c>
      <c r="J292" s="438" t="s">
        <v>731</v>
      </c>
      <c r="K292" s="436">
        <v>590</v>
      </c>
      <c r="L292" s="437">
        <v>1080</v>
      </c>
      <c r="M292" s="438" t="s">
        <v>287</v>
      </c>
      <c r="N292" s="439">
        <v>7210</v>
      </c>
      <c r="O292" s="440">
        <v>70</v>
      </c>
      <c r="P292" s="1300"/>
      <c r="Q292" s="1300"/>
      <c r="R292" s="1279"/>
      <c r="S292" s="1282"/>
      <c r="T292" s="393" t="s">
        <v>292</v>
      </c>
      <c r="U292" s="442">
        <v>4800</v>
      </c>
      <c r="V292" s="443">
        <v>5400</v>
      </c>
      <c r="W292" s="441">
        <v>8650</v>
      </c>
      <c r="X292" s="444">
        <v>80</v>
      </c>
      <c r="Y292" s="1285"/>
      <c r="Z292" s="1301"/>
      <c r="AA292" s="445"/>
      <c r="AB292" s="1287"/>
      <c r="AC292" s="1290"/>
      <c r="AD292" s="1293"/>
      <c r="AE292" s="1295"/>
      <c r="AF292" s="1295"/>
      <c r="AG292" s="1298"/>
      <c r="AH292" s="1270"/>
    </row>
    <row r="293" spans="1:34" ht="13.5" customHeight="1">
      <c r="A293" s="431" t="s">
        <v>322</v>
      </c>
      <c r="B293" s="432" t="s">
        <v>301</v>
      </c>
      <c r="C293" s="433" t="s">
        <v>337</v>
      </c>
      <c r="D293" s="434">
        <v>129300</v>
      </c>
      <c r="E293" s="435">
        <v>201420</v>
      </c>
      <c r="F293" s="434">
        <v>119540</v>
      </c>
      <c r="G293" s="435">
        <v>191660</v>
      </c>
      <c r="H293" s="436">
        <v>1180</v>
      </c>
      <c r="I293" s="437">
        <v>1900</v>
      </c>
      <c r="J293" s="438" t="s">
        <v>731</v>
      </c>
      <c r="K293" s="436">
        <v>1080</v>
      </c>
      <c r="L293" s="437">
        <v>1800</v>
      </c>
      <c r="M293" s="438" t="s">
        <v>287</v>
      </c>
      <c r="N293" s="446"/>
      <c r="O293" s="447"/>
      <c r="P293" s="1300"/>
      <c r="Q293" s="1300"/>
      <c r="R293" s="1279"/>
      <c r="S293" s="1282"/>
      <c r="T293" s="393" t="s">
        <v>293</v>
      </c>
      <c r="U293" s="442">
        <v>4200</v>
      </c>
      <c r="V293" s="443">
        <v>4700</v>
      </c>
      <c r="W293" s="441">
        <v>8650</v>
      </c>
      <c r="X293" s="444">
        <v>80</v>
      </c>
      <c r="Y293" s="448"/>
      <c r="Z293" s="1301"/>
      <c r="AA293" s="445"/>
      <c r="AB293" s="1287"/>
      <c r="AC293" s="1290"/>
      <c r="AD293" s="1271">
        <v>0.02</v>
      </c>
      <c r="AE293" s="1273">
        <v>0.03</v>
      </c>
      <c r="AF293" s="1273">
        <v>0.05</v>
      </c>
      <c r="AG293" s="1275">
        <v>0.06</v>
      </c>
      <c r="AH293" s="1277">
        <v>0.92</v>
      </c>
    </row>
    <row r="294" spans="1:34" ht="13.5" customHeight="1">
      <c r="A294" s="431" t="s">
        <v>322</v>
      </c>
      <c r="B294" s="449" t="s">
        <v>301</v>
      </c>
      <c r="C294" s="450" t="s">
        <v>338</v>
      </c>
      <c r="D294" s="451">
        <v>201420</v>
      </c>
      <c r="E294" s="452"/>
      <c r="F294" s="451">
        <v>191660</v>
      </c>
      <c r="G294" s="452"/>
      <c r="H294" s="439">
        <v>1900</v>
      </c>
      <c r="I294" s="453"/>
      <c r="J294" s="454" t="s">
        <v>731</v>
      </c>
      <c r="K294" s="439">
        <v>1800</v>
      </c>
      <c r="L294" s="453"/>
      <c r="M294" s="454" t="s">
        <v>287</v>
      </c>
      <c r="N294" s="446"/>
      <c r="O294" s="455"/>
      <c r="P294" s="441"/>
      <c r="Q294" s="441"/>
      <c r="R294" s="1280"/>
      <c r="S294" s="1283"/>
      <c r="T294" s="456" t="s">
        <v>294</v>
      </c>
      <c r="U294" s="457">
        <v>3800</v>
      </c>
      <c r="V294" s="458">
        <v>4200</v>
      </c>
      <c r="W294" s="459">
        <v>8650</v>
      </c>
      <c r="X294" s="460">
        <v>80</v>
      </c>
      <c r="Y294" s="448"/>
      <c r="Z294" s="1301"/>
      <c r="AA294" s="445"/>
      <c r="AB294" s="1288"/>
      <c r="AC294" s="1291"/>
      <c r="AD294" s="1272"/>
      <c r="AE294" s="1274"/>
      <c r="AF294" s="1274"/>
      <c r="AG294" s="1276"/>
      <c r="AH294" s="1277"/>
    </row>
    <row r="295" spans="1:34" ht="13.5" customHeight="1">
      <c r="A295" s="431" t="s">
        <v>322</v>
      </c>
      <c r="B295" s="416" t="s">
        <v>303</v>
      </c>
      <c r="C295" s="417" t="s">
        <v>334</v>
      </c>
      <c r="D295" s="418">
        <v>55730</v>
      </c>
      <c r="E295" s="419">
        <v>62940</v>
      </c>
      <c r="F295" s="418">
        <v>47590</v>
      </c>
      <c r="G295" s="419">
        <v>54800</v>
      </c>
      <c r="H295" s="420">
        <v>530</v>
      </c>
      <c r="I295" s="421">
        <v>600</v>
      </c>
      <c r="J295" s="422" t="s">
        <v>731</v>
      </c>
      <c r="K295" s="420">
        <v>450</v>
      </c>
      <c r="L295" s="421">
        <v>520</v>
      </c>
      <c r="M295" s="422" t="s">
        <v>287</v>
      </c>
      <c r="N295" s="423">
        <v>7210</v>
      </c>
      <c r="O295" s="424">
        <v>70</v>
      </c>
      <c r="P295" s="441"/>
      <c r="Q295" s="441"/>
      <c r="R295" s="1278">
        <v>3300</v>
      </c>
      <c r="S295" s="1281">
        <v>3600</v>
      </c>
      <c r="T295" s="426" t="s">
        <v>288</v>
      </c>
      <c r="U295" s="427">
        <v>7200</v>
      </c>
      <c r="V295" s="428">
        <v>8100</v>
      </c>
      <c r="W295" s="425">
        <v>7210</v>
      </c>
      <c r="X295" s="429">
        <v>70</v>
      </c>
      <c r="Y295" s="1284">
        <v>4500</v>
      </c>
      <c r="Z295" s="1301"/>
      <c r="AA295" s="445"/>
      <c r="AB295" s="1286">
        <v>8310</v>
      </c>
      <c r="AC295" s="1289">
        <v>80</v>
      </c>
      <c r="AD295" s="1292" t="s">
        <v>290</v>
      </c>
      <c r="AE295" s="1294" t="s">
        <v>290</v>
      </c>
      <c r="AF295" s="1294" t="s">
        <v>290</v>
      </c>
      <c r="AG295" s="1297" t="s">
        <v>290</v>
      </c>
      <c r="AH295" s="1269" t="s">
        <v>296</v>
      </c>
    </row>
    <row r="296" spans="1:34" ht="13.5" customHeight="1">
      <c r="A296" s="431" t="s">
        <v>322</v>
      </c>
      <c r="B296" s="431" t="s">
        <v>303</v>
      </c>
      <c r="C296" s="433" t="s">
        <v>336</v>
      </c>
      <c r="D296" s="434">
        <v>62940</v>
      </c>
      <c r="E296" s="435">
        <v>121440</v>
      </c>
      <c r="F296" s="434">
        <v>54800</v>
      </c>
      <c r="G296" s="435">
        <v>113300</v>
      </c>
      <c r="H296" s="436">
        <v>600</v>
      </c>
      <c r="I296" s="437">
        <v>1100</v>
      </c>
      <c r="J296" s="438" t="s">
        <v>731</v>
      </c>
      <c r="K296" s="436">
        <v>520</v>
      </c>
      <c r="L296" s="437">
        <v>1020</v>
      </c>
      <c r="M296" s="438" t="s">
        <v>287</v>
      </c>
      <c r="N296" s="439">
        <v>7210</v>
      </c>
      <c r="O296" s="440">
        <v>70</v>
      </c>
      <c r="P296" s="462"/>
      <c r="Q296" s="462"/>
      <c r="R296" s="1279"/>
      <c r="S296" s="1282"/>
      <c r="T296" s="393" t="s">
        <v>292</v>
      </c>
      <c r="U296" s="442">
        <v>4000</v>
      </c>
      <c r="V296" s="443">
        <v>4400</v>
      </c>
      <c r="W296" s="441">
        <v>7210</v>
      </c>
      <c r="X296" s="444">
        <v>70</v>
      </c>
      <c r="Y296" s="1285"/>
      <c r="Z296" s="1301"/>
      <c r="AA296" s="445"/>
      <c r="AB296" s="1287"/>
      <c r="AC296" s="1290"/>
      <c r="AD296" s="1293"/>
      <c r="AE296" s="1295"/>
      <c r="AF296" s="1295"/>
      <c r="AG296" s="1298"/>
      <c r="AH296" s="1270"/>
    </row>
    <row r="297" spans="1:34" ht="13.5" customHeight="1">
      <c r="A297" s="431" t="s">
        <v>322</v>
      </c>
      <c r="B297" s="431" t="s">
        <v>303</v>
      </c>
      <c r="C297" s="433" t="s">
        <v>337</v>
      </c>
      <c r="D297" s="434">
        <v>121440</v>
      </c>
      <c r="E297" s="435">
        <v>193560</v>
      </c>
      <c r="F297" s="434">
        <v>113300</v>
      </c>
      <c r="G297" s="435">
        <v>185420</v>
      </c>
      <c r="H297" s="436">
        <v>1100</v>
      </c>
      <c r="I297" s="437">
        <v>1820</v>
      </c>
      <c r="J297" s="438" t="s">
        <v>731</v>
      </c>
      <c r="K297" s="436">
        <v>1020</v>
      </c>
      <c r="L297" s="437">
        <v>1740</v>
      </c>
      <c r="M297" s="438" t="s">
        <v>287</v>
      </c>
      <c r="N297" s="446"/>
      <c r="O297" s="447"/>
      <c r="P297" s="441"/>
      <c r="Q297" s="441"/>
      <c r="R297" s="1279"/>
      <c r="S297" s="1282"/>
      <c r="T297" s="393" t="s">
        <v>293</v>
      </c>
      <c r="U297" s="442">
        <v>3500</v>
      </c>
      <c r="V297" s="443">
        <v>3800</v>
      </c>
      <c r="W297" s="441">
        <v>7210</v>
      </c>
      <c r="X297" s="444">
        <v>70</v>
      </c>
      <c r="Y297" s="448"/>
      <c r="Z297" s="1301"/>
      <c r="AA297" s="445"/>
      <c r="AB297" s="1287"/>
      <c r="AC297" s="1290"/>
      <c r="AD297" s="1271">
        <v>0.02</v>
      </c>
      <c r="AE297" s="1273">
        <v>0.03</v>
      </c>
      <c r="AF297" s="1273">
        <v>0.05</v>
      </c>
      <c r="AG297" s="1275">
        <v>0.06</v>
      </c>
      <c r="AH297" s="1277">
        <v>0.9</v>
      </c>
    </row>
    <row r="298" spans="1:34" ht="13.5" customHeight="1">
      <c r="A298" s="431" t="s">
        <v>322</v>
      </c>
      <c r="B298" s="463" t="s">
        <v>303</v>
      </c>
      <c r="C298" s="450" t="s">
        <v>338</v>
      </c>
      <c r="D298" s="451">
        <v>193560</v>
      </c>
      <c r="E298" s="452"/>
      <c r="F298" s="451">
        <v>185420</v>
      </c>
      <c r="G298" s="452"/>
      <c r="H298" s="439">
        <v>1820</v>
      </c>
      <c r="I298" s="453"/>
      <c r="J298" s="454" t="s">
        <v>731</v>
      </c>
      <c r="K298" s="439">
        <v>1740</v>
      </c>
      <c r="L298" s="453"/>
      <c r="M298" s="454" t="s">
        <v>287</v>
      </c>
      <c r="N298" s="446"/>
      <c r="O298" s="455"/>
      <c r="P298" s="441"/>
      <c r="Q298" s="441"/>
      <c r="R298" s="1280"/>
      <c r="S298" s="1283"/>
      <c r="T298" s="456" t="s">
        <v>294</v>
      </c>
      <c r="U298" s="457">
        <v>3100</v>
      </c>
      <c r="V298" s="458">
        <v>3400</v>
      </c>
      <c r="W298" s="459">
        <v>7210</v>
      </c>
      <c r="X298" s="460">
        <v>70</v>
      </c>
      <c r="Y298" s="448"/>
      <c r="Z298" s="1301"/>
      <c r="AA298" s="445"/>
      <c r="AB298" s="1288"/>
      <c r="AC298" s="1291"/>
      <c r="AD298" s="1272"/>
      <c r="AE298" s="1274"/>
      <c r="AF298" s="1274"/>
      <c r="AG298" s="1276"/>
      <c r="AH298" s="1277"/>
    </row>
    <row r="299" spans="1:34" ht="13.5" customHeight="1">
      <c r="A299" s="431" t="s">
        <v>322</v>
      </c>
      <c r="B299" s="416" t="s">
        <v>304</v>
      </c>
      <c r="C299" s="417" t="s">
        <v>334</v>
      </c>
      <c r="D299" s="418">
        <v>50190</v>
      </c>
      <c r="E299" s="419">
        <v>57400</v>
      </c>
      <c r="F299" s="418">
        <v>43210</v>
      </c>
      <c r="G299" s="419">
        <v>50420</v>
      </c>
      <c r="H299" s="420">
        <v>480</v>
      </c>
      <c r="I299" s="421">
        <v>550</v>
      </c>
      <c r="J299" s="422" t="s">
        <v>731</v>
      </c>
      <c r="K299" s="420">
        <v>410</v>
      </c>
      <c r="L299" s="421">
        <v>480</v>
      </c>
      <c r="M299" s="422" t="s">
        <v>287</v>
      </c>
      <c r="N299" s="423">
        <v>7210</v>
      </c>
      <c r="O299" s="424">
        <v>70</v>
      </c>
      <c r="P299" s="462"/>
      <c r="Q299" s="462"/>
      <c r="R299" s="1278">
        <v>2800</v>
      </c>
      <c r="S299" s="1281">
        <v>3100</v>
      </c>
      <c r="T299" s="426" t="s">
        <v>288</v>
      </c>
      <c r="U299" s="427">
        <v>6300</v>
      </c>
      <c r="V299" s="428">
        <v>7100</v>
      </c>
      <c r="W299" s="425">
        <v>6180</v>
      </c>
      <c r="X299" s="429">
        <v>60</v>
      </c>
      <c r="Y299" s="1284">
        <v>4500</v>
      </c>
      <c r="Z299" s="1301"/>
      <c r="AA299" s="445"/>
      <c r="AB299" s="1286">
        <v>7120</v>
      </c>
      <c r="AC299" s="1289">
        <v>70</v>
      </c>
      <c r="AD299" s="1292" t="s">
        <v>290</v>
      </c>
      <c r="AE299" s="1294" t="s">
        <v>290</v>
      </c>
      <c r="AF299" s="1294" t="s">
        <v>290</v>
      </c>
      <c r="AG299" s="1297" t="s">
        <v>290</v>
      </c>
      <c r="AH299" s="1269" t="s">
        <v>296</v>
      </c>
    </row>
    <row r="300" spans="1:34" ht="13.5" customHeight="1">
      <c r="A300" s="431" t="s">
        <v>322</v>
      </c>
      <c r="B300" s="432" t="s">
        <v>304</v>
      </c>
      <c r="C300" s="433" t="s">
        <v>336</v>
      </c>
      <c r="D300" s="434">
        <v>57400</v>
      </c>
      <c r="E300" s="435">
        <v>115900</v>
      </c>
      <c r="F300" s="434">
        <v>50420</v>
      </c>
      <c r="G300" s="435">
        <v>108920</v>
      </c>
      <c r="H300" s="436">
        <v>550</v>
      </c>
      <c r="I300" s="437">
        <v>1040</v>
      </c>
      <c r="J300" s="438" t="s">
        <v>731</v>
      </c>
      <c r="K300" s="436">
        <v>480</v>
      </c>
      <c r="L300" s="437">
        <v>970</v>
      </c>
      <c r="M300" s="438" t="s">
        <v>287</v>
      </c>
      <c r="N300" s="439">
        <v>7210</v>
      </c>
      <c r="O300" s="440">
        <v>70</v>
      </c>
      <c r="P300" s="441"/>
      <c r="Q300" s="441"/>
      <c r="R300" s="1279"/>
      <c r="S300" s="1282"/>
      <c r="T300" s="393" t="s">
        <v>292</v>
      </c>
      <c r="U300" s="442">
        <v>3500</v>
      </c>
      <c r="V300" s="443">
        <v>3900</v>
      </c>
      <c r="W300" s="441">
        <v>6180</v>
      </c>
      <c r="X300" s="444">
        <v>60</v>
      </c>
      <c r="Y300" s="1285"/>
      <c r="Z300" s="1301"/>
      <c r="AA300" s="445"/>
      <c r="AB300" s="1287"/>
      <c r="AC300" s="1290"/>
      <c r="AD300" s="1293"/>
      <c r="AE300" s="1295"/>
      <c r="AF300" s="1295"/>
      <c r="AG300" s="1298"/>
      <c r="AH300" s="1270"/>
    </row>
    <row r="301" spans="1:34" ht="13.5" customHeight="1">
      <c r="A301" s="431" t="s">
        <v>322</v>
      </c>
      <c r="B301" s="432" t="s">
        <v>304</v>
      </c>
      <c r="C301" s="433" t="s">
        <v>337</v>
      </c>
      <c r="D301" s="434">
        <v>115900</v>
      </c>
      <c r="E301" s="435">
        <v>188020</v>
      </c>
      <c r="F301" s="434">
        <v>108920</v>
      </c>
      <c r="G301" s="435">
        <v>181040</v>
      </c>
      <c r="H301" s="436">
        <v>1040</v>
      </c>
      <c r="I301" s="437">
        <v>1760</v>
      </c>
      <c r="J301" s="438" t="s">
        <v>731</v>
      </c>
      <c r="K301" s="436">
        <v>970</v>
      </c>
      <c r="L301" s="437">
        <v>1690</v>
      </c>
      <c r="M301" s="438" t="s">
        <v>287</v>
      </c>
      <c r="N301" s="446"/>
      <c r="O301" s="447"/>
      <c r="P301" s="441"/>
      <c r="Q301" s="441"/>
      <c r="R301" s="1279"/>
      <c r="S301" s="1282"/>
      <c r="T301" s="393" t="s">
        <v>293</v>
      </c>
      <c r="U301" s="442">
        <v>3000</v>
      </c>
      <c r="V301" s="443">
        <v>3400</v>
      </c>
      <c r="W301" s="441">
        <v>6180</v>
      </c>
      <c r="X301" s="444">
        <v>60</v>
      </c>
      <c r="Y301" s="448"/>
      <c r="Z301" s="1301"/>
      <c r="AA301" s="445"/>
      <c r="AB301" s="1287"/>
      <c r="AC301" s="1290"/>
      <c r="AD301" s="1271">
        <v>0.02</v>
      </c>
      <c r="AE301" s="1273">
        <v>0.03</v>
      </c>
      <c r="AF301" s="1273">
        <v>0.05</v>
      </c>
      <c r="AG301" s="1275">
        <v>0.06</v>
      </c>
      <c r="AH301" s="1277">
        <v>0.92</v>
      </c>
    </row>
    <row r="302" spans="1:34" ht="13.5" customHeight="1">
      <c r="A302" s="431" t="s">
        <v>322</v>
      </c>
      <c r="B302" s="449" t="s">
        <v>304</v>
      </c>
      <c r="C302" s="450" t="s">
        <v>338</v>
      </c>
      <c r="D302" s="451">
        <v>188020</v>
      </c>
      <c r="E302" s="452"/>
      <c r="F302" s="451">
        <v>181040</v>
      </c>
      <c r="G302" s="452"/>
      <c r="H302" s="439">
        <v>1760</v>
      </c>
      <c r="I302" s="453"/>
      <c r="J302" s="454" t="s">
        <v>731</v>
      </c>
      <c r="K302" s="439">
        <v>1690</v>
      </c>
      <c r="L302" s="453"/>
      <c r="M302" s="454" t="s">
        <v>287</v>
      </c>
      <c r="N302" s="446"/>
      <c r="O302" s="455"/>
      <c r="P302" s="462"/>
      <c r="Q302" s="462"/>
      <c r="R302" s="1280"/>
      <c r="S302" s="1283"/>
      <c r="T302" s="456" t="s">
        <v>294</v>
      </c>
      <c r="U302" s="457">
        <v>2700</v>
      </c>
      <c r="V302" s="458">
        <v>3000</v>
      </c>
      <c r="W302" s="459">
        <v>6180</v>
      </c>
      <c r="X302" s="460">
        <v>60</v>
      </c>
      <c r="Y302" s="448"/>
      <c r="Z302" s="1301"/>
      <c r="AA302" s="445"/>
      <c r="AB302" s="1288"/>
      <c r="AC302" s="1291"/>
      <c r="AD302" s="1272"/>
      <c r="AE302" s="1274"/>
      <c r="AF302" s="1274"/>
      <c r="AG302" s="1276"/>
      <c r="AH302" s="1277"/>
    </row>
    <row r="303" spans="1:34" ht="13.5" customHeight="1">
      <c r="A303" s="431" t="s">
        <v>322</v>
      </c>
      <c r="B303" s="416" t="s">
        <v>305</v>
      </c>
      <c r="C303" s="417" t="s">
        <v>334</v>
      </c>
      <c r="D303" s="418">
        <v>46090</v>
      </c>
      <c r="E303" s="419">
        <v>53300</v>
      </c>
      <c r="F303" s="418">
        <v>39980</v>
      </c>
      <c r="G303" s="419">
        <v>47190</v>
      </c>
      <c r="H303" s="420">
        <v>440</v>
      </c>
      <c r="I303" s="421">
        <v>510</v>
      </c>
      <c r="J303" s="422" t="s">
        <v>731</v>
      </c>
      <c r="K303" s="420">
        <v>380</v>
      </c>
      <c r="L303" s="421">
        <v>450</v>
      </c>
      <c r="M303" s="422" t="s">
        <v>287</v>
      </c>
      <c r="N303" s="423">
        <v>7210</v>
      </c>
      <c r="O303" s="424">
        <v>70</v>
      </c>
      <c r="P303" s="441"/>
      <c r="Q303" s="441"/>
      <c r="R303" s="1278">
        <v>3200</v>
      </c>
      <c r="S303" s="1281">
        <v>3600</v>
      </c>
      <c r="T303" s="426" t="s">
        <v>288</v>
      </c>
      <c r="U303" s="427">
        <v>7100</v>
      </c>
      <c r="V303" s="428">
        <v>7900</v>
      </c>
      <c r="W303" s="425">
        <v>5400</v>
      </c>
      <c r="X303" s="429">
        <v>50</v>
      </c>
      <c r="Y303" s="1284">
        <v>4500</v>
      </c>
      <c r="Z303" s="1301"/>
      <c r="AA303" s="445"/>
      <c r="AB303" s="1286">
        <v>6230</v>
      </c>
      <c r="AC303" s="1289">
        <v>60</v>
      </c>
      <c r="AD303" s="1292" t="s">
        <v>290</v>
      </c>
      <c r="AE303" s="1294" t="s">
        <v>290</v>
      </c>
      <c r="AF303" s="1294" t="s">
        <v>290</v>
      </c>
      <c r="AG303" s="1297" t="s">
        <v>290</v>
      </c>
      <c r="AH303" s="1269" t="s">
        <v>296</v>
      </c>
    </row>
    <row r="304" spans="1:34" ht="13.5" customHeight="1">
      <c r="A304" s="431" t="s">
        <v>322</v>
      </c>
      <c r="B304" s="432" t="s">
        <v>305</v>
      </c>
      <c r="C304" s="433" t="s">
        <v>336</v>
      </c>
      <c r="D304" s="434">
        <v>53300</v>
      </c>
      <c r="E304" s="435">
        <v>111800</v>
      </c>
      <c r="F304" s="434">
        <v>47190</v>
      </c>
      <c r="G304" s="435">
        <v>105690</v>
      </c>
      <c r="H304" s="436">
        <v>510</v>
      </c>
      <c r="I304" s="437">
        <v>1000</v>
      </c>
      <c r="J304" s="438" t="s">
        <v>731</v>
      </c>
      <c r="K304" s="436">
        <v>450</v>
      </c>
      <c r="L304" s="437">
        <v>940</v>
      </c>
      <c r="M304" s="438" t="s">
        <v>287</v>
      </c>
      <c r="N304" s="439">
        <v>7210</v>
      </c>
      <c r="O304" s="440">
        <v>70</v>
      </c>
      <c r="P304" s="441"/>
      <c r="Q304" s="441"/>
      <c r="R304" s="1279"/>
      <c r="S304" s="1282"/>
      <c r="T304" s="393" t="s">
        <v>292</v>
      </c>
      <c r="U304" s="442">
        <v>3900</v>
      </c>
      <c r="V304" s="443">
        <v>4300</v>
      </c>
      <c r="W304" s="441">
        <v>5400</v>
      </c>
      <c r="X304" s="444">
        <v>50</v>
      </c>
      <c r="Y304" s="1285"/>
      <c r="Z304" s="1301"/>
      <c r="AA304" s="445"/>
      <c r="AB304" s="1287"/>
      <c r="AC304" s="1290"/>
      <c r="AD304" s="1293"/>
      <c r="AE304" s="1295"/>
      <c r="AF304" s="1295"/>
      <c r="AG304" s="1298"/>
      <c r="AH304" s="1270"/>
    </row>
    <row r="305" spans="1:34" ht="13.5" customHeight="1">
      <c r="A305" s="431" t="s">
        <v>322</v>
      </c>
      <c r="B305" s="432" t="s">
        <v>305</v>
      </c>
      <c r="C305" s="433" t="s">
        <v>337</v>
      </c>
      <c r="D305" s="434">
        <v>111800</v>
      </c>
      <c r="E305" s="435">
        <v>183920</v>
      </c>
      <c r="F305" s="434">
        <v>105690</v>
      </c>
      <c r="G305" s="435">
        <v>177810</v>
      </c>
      <c r="H305" s="436">
        <v>1000</v>
      </c>
      <c r="I305" s="437">
        <v>1720</v>
      </c>
      <c r="J305" s="438" t="s">
        <v>731</v>
      </c>
      <c r="K305" s="436">
        <v>940</v>
      </c>
      <c r="L305" s="437">
        <v>1660</v>
      </c>
      <c r="M305" s="438" t="s">
        <v>287</v>
      </c>
      <c r="N305" s="446"/>
      <c r="O305" s="447"/>
      <c r="P305" s="462"/>
      <c r="Q305" s="462"/>
      <c r="R305" s="1279"/>
      <c r="S305" s="1282"/>
      <c r="T305" s="393" t="s">
        <v>293</v>
      </c>
      <c r="U305" s="442">
        <v>3400</v>
      </c>
      <c r="V305" s="443">
        <v>3800</v>
      </c>
      <c r="W305" s="441">
        <v>5400</v>
      </c>
      <c r="X305" s="444">
        <v>50</v>
      </c>
      <c r="Y305" s="448"/>
      <c r="Z305" s="1301"/>
      <c r="AA305" s="462"/>
      <c r="AB305" s="1287"/>
      <c r="AC305" s="1290"/>
      <c r="AD305" s="1271">
        <v>0.02</v>
      </c>
      <c r="AE305" s="1273">
        <v>0.03</v>
      </c>
      <c r="AF305" s="1273">
        <v>0.05</v>
      </c>
      <c r="AG305" s="1275">
        <v>0.06</v>
      </c>
      <c r="AH305" s="1277">
        <v>0.89</v>
      </c>
    </row>
    <row r="306" spans="1:34" ht="13.5" customHeight="1">
      <c r="A306" s="431" t="s">
        <v>322</v>
      </c>
      <c r="B306" s="449" t="s">
        <v>305</v>
      </c>
      <c r="C306" s="450" t="s">
        <v>338</v>
      </c>
      <c r="D306" s="451">
        <v>183920</v>
      </c>
      <c r="E306" s="452"/>
      <c r="F306" s="451">
        <v>177810</v>
      </c>
      <c r="G306" s="452"/>
      <c r="H306" s="439">
        <v>1720</v>
      </c>
      <c r="I306" s="453"/>
      <c r="J306" s="454" t="s">
        <v>731</v>
      </c>
      <c r="K306" s="439">
        <v>1660</v>
      </c>
      <c r="L306" s="453"/>
      <c r="M306" s="454" t="s">
        <v>287</v>
      </c>
      <c r="N306" s="446"/>
      <c r="O306" s="455"/>
      <c r="P306" s="441"/>
      <c r="Q306" s="441"/>
      <c r="R306" s="1280"/>
      <c r="S306" s="1283"/>
      <c r="T306" s="456" t="s">
        <v>294</v>
      </c>
      <c r="U306" s="457">
        <v>3000</v>
      </c>
      <c r="V306" s="458">
        <v>3400</v>
      </c>
      <c r="W306" s="459">
        <v>5400</v>
      </c>
      <c r="X306" s="460">
        <v>50</v>
      </c>
      <c r="Y306" s="448"/>
      <c r="Z306" s="1301"/>
      <c r="AA306" s="462"/>
      <c r="AB306" s="1288"/>
      <c r="AC306" s="1291"/>
      <c r="AD306" s="1272"/>
      <c r="AE306" s="1274"/>
      <c r="AF306" s="1274"/>
      <c r="AG306" s="1276"/>
      <c r="AH306" s="1277"/>
    </row>
    <row r="307" spans="1:34" ht="13.5" customHeight="1">
      <c r="A307" s="431" t="s">
        <v>322</v>
      </c>
      <c r="B307" s="416" t="s">
        <v>306</v>
      </c>
      <c r="C307" s="417" t="s">
        <v>334</v>
      </c>
      <c r="D307" s="418">
        <v>42850</v>
      </c>
      <c r="E307" s="419">
        <v>50060</v>
      </c>
      <c r="F307" s="418">
        <v>37420</v>
      </c>
      <c r="G307" s="419">
        <v>44630</v>
      </c>
      <c r="H307" s="420">
        <v>410</v>
      </c>
      <c r="I307" s="421">
        <v>480</v>
      </c>
      <c r="J307" s="422" t="s">
        <v>731</v>
      </c>
      <c r="K307" s="420">
        <v>350</v>
      </c>
      <c r="L307" s="421">
        <v>420</v>
      </c>
      <c r="M307" s="422" t="s">
        <v>287</v>
      </c>
      <c r="N307" s="423">
        <v>7210</v>
      </c>
      <c r="O307" s="424">
        <v>70</v>
      </c>
      <c r="P307" s="441"/>
      <c r="Q307" s="441"/>
      <c r="R307" s="1278">
        <v>2900</v>
      </c>
      <c r="S307" s="1281">
        <v>3200</v>
      </c>
      <c r="T307" s="426" t="s">
        <v>288</v>
      </c>
      <c r="U307" s="427">
        <v>6300</v>
      </c>
      <c r="V307" s="428">
        <v>7100</v>
      </c>
      <c r="W307" s="425">
        <v>4800</v>
      </c>
      <c r="X307" s="429">
        <v>40</v>
      </c>
      <c r="Y307" s="1284">
        <v>4500</v>
      </c>
      <c r="Z307" s="1301"/>
      <c r="AA307" s="462"/>
      <c r="AB307" s="1286">
        <v>5540</v>
      </c>
      <c r="AC307" s="1289">
        <v>50</v>
      </c>
      <c r="AD307" s="1292" t="s">
        <v>290</v>
      </c>
      <c r="AE307" s="1294" t="s">
        <v>290</v>
      </c>
      <c r="AF307" s="1294" t="s">
        <v>290</v>
      </c>
      <c r="AG307" s="1297" t="s">
        <v>290</v>
      </c>
      <c r="AH307" s="1269" t="s">
        <v>296</v>
      </c>
    </row>
    <row r="308" spans="1:34" ht="13.5" customHeight="1">
      <c r="A308" s="431" t="s">
        <v>322</v>
      </c>
      <c r="B308" s="432" t="s">
        <v>306</v>
      </c>
      <c r="C308" s="433" t="s">
        <v>336</v>
      </c>
      <c r="D308" s="434">
        <v>50060</v>
      </c>
      <c r="E308" s="435">
        <v>108560</v>
      </c>
      <c r="F308" s="434">
        <v>44630</v>
      </c>
      <c r="G308" s="435">
        <v>103130</v>
      </c>
      <c r="H308" s="436">
        <v>480</v>
      </c>
      <c r="I308" s="437">
        <v>970</v>
      </c>
      <c r="J308" s="438" t="s">
        <v>731</v>
      </c>
      <c r="K308" s="436">
        <v>420</v>
      </c>
      <c r="L308" s="437">
        <v>910</v>
      </c>
      <c r="M308" s="438" t="s">
        <v>287</v>
      </c>
      <c r="N308" s="439">
        <v>7210</v>
      </c>
      <c r="O308" s="440">
        <v>70</v>
      </c>
      <c r="P308" s="462"/>
      <c r="Q308" s="462"/>
      <c r="R308" s="1279"/>
      <c r="S308" s="1282"/>
      <c r="T308" s="393" t="s">
        <v>292</v>
      </c>
      <c r="U308" s="442">
        <v>3500</v>
      </c>
      <c r="V308" s="443">
        <v>3900</v>
      </c>
      <c r="W308" s="441">
        <v>4800</v>
      </c>
      <c r="X308" s="444">
        <v>40</v>
      </c>
      <c r="Y308" s="1285"/>
      <c r="Z308" s="1301"/>
      <c r="AA308" s="462"/>
      <c r="AB308" s="1287"/>
      <c r="AC308" s="1290"/>
      <c r="AD308" s="1293"/>
      <c r="AE308" s="1295"/>
      <c r="AF308" s="1295"/>
      <c r="AG308" s="1298"/>
      <c r="AH308" s="1270"/>
    </row>
    <row r="309" spans="1:34" ht="13.5" customHeight="1">
      <c r="A309" s="431" t="s">
        <v>322</v>
      </c>
      <c r="B309" s="432" t="s">
        <v>306</v>
      </c>
      <c r="C309" s="433" t="s">
        <v>337</v>
      </c>
      <c r="D309" s="434">
        <v>108560</v>
      </c>
      <c r="E309" s="435">
        <v>180680</v>
      </c>
      <c r="F309" s="434">
        <v>103130</v>
      </c>
      <c r="G309" s="435">
        <v>175250</v>
      </c>
      <c r="H309" s="436">
        <v>970</v>
      </c>
      <c r="I309" s="437">
        <v>1690</v>
      </c>
      <c r="J309" s="438" t="s">
        <v>731</v>
      </c>
      <c r="K309" s="436">
        <v>910</v>
      </c>
      <c r="L309" s="437">
        <v>1630</v>
      </c>
      <c r="M309" s="438" t="s">
        <v>287</v>
      </c>
      <c r="N309" s="446"/>
      <c r="O309" s="447"/>
      <c r="P309" s="441"/>
      <c r="Q309" s="441"/>
      <c r="R309" s="1279"/>
      <c r="S309" s="1282"/>
      <c r="T309" s="393" t="s">
        <v>293</v>
      </c>
      <c r="U309" s="442">
        <v>3000</v>
      </c>
      <c r="V309" s="443">
        <v>3400</v>
      </c>
      <c r="W309" s="441">
        <v>4800</v>
      </c>
      <c r="X309" s="444">
        <v>40</v>
      </c>
      <c r="Y309" s="448"/>
      <c r="Z309" s="1301"/>
      <c r="AA309" s="464"/>
      <c r="AB309" s="1287"/>
      <c r="AC309" s="1290"/>
      <c r="AD309" s="1271">
        <v>0.02</v>
      </c>
      <c r="AE309" s="1273">
        <v>0.03</v>
      </c>
      <c r="AF309" s="1273">
        <v>0.05</v>
      </c>
      <c r="AG309" s="1275">
        <v>0.06</v>
      </c>
      <c r="AH309" s="1277">
        <v>0.91</v>
      </c>
    </row>
    <row r="310" spans="1:34" ht="13.5" customHeight="1">
      <c r="A310" s="431" t="s">
        <v>322</v>
      </c>
      <c r="B310" s="449" t="s">
        <v>306</v>
      </c>
      <c r="C310" s="450" t="s">
        <v>338</v>
      </c>
      <c r="D310" s="451">
        <v>180680</v>
      </c>
      <c r="E310" s="452"/>
      <c r="F310" s="451">
        <v>175250</v>
      </c>
      <c r="G310" s="452"/>
      <c r="H310" s="439">
        <v>1690</v>
      </c>
      <c r="I310" s="453"/>
      <c r="J310" s="454" t="s">
        <v>731</v>
      </c>
      <c r="K310" s="439">
        <v>1630</v>
      </c>
      <c r="L310" s="453"/>
      <c r="M310" s="454" t="s">
        <v>287</v>
      </c>
      <c r="N310" s="446"/>
      <c r="O310" s="455"/>
      <c r="P310" s="441"/>
      <c r="Q310" s="441"/>
      <c r="R310" s="1280"/>
      <c r="S310" s="1283"/>
      <c r="T310" s="456" t="s">
        <v>294</v>
      </c>
      <c r="U310" s="457">
        <v>2700</v>
      </c>
      <c r="V310" s="458">
        <v>3000</v>
      </c>
      <c r="W310" s="459">
        <v>4800</v>
      </c>
      <c r="X310" s="460">
        <v>40</v>
      </c>
      <c r="Y310" s="448"/>
      <c r="Z310" s="1301"/>
      <c r="AA310" s="464"/>
      <c r="AB310" s="1288"/>
      <c r="AC310" s="1291"/>
      <c r="AD310" s="1272"/>
      <c r="AE310" s="1274"/>
      <c r="AF310" s="1274"/>
      <c r="AG310" s="1276"/>
      <c r="AH310" s="1277"/>
    </row>
    <row r="311" spans="1:34" ht="13.5" customHeight="1">
      <c r="A311" s="431" t="s">
        <v>322</v>
      </c>
      <c r="B311" s="416" t="s">
        <v>307</v>
      </c>
      <c r="C311" s="417" t="s">
        <v>334</v>
      </c>
      <c r="D311" s="418">
        <v>37110</v>
      </c>
      <c r="E311" s="419">
        <v>44320</v>
      </c>
      <c r="F311" s="418">
        <v>32230</v>
      </c>
      <c r="G311" s="419">
        <v>39440</v>
      </c>
      <c r="H311" s="420">
        <v>350</v>
      </c>
      <c r="I311" s="421">
        <v>420</v>
      </c>
      <c r="J311" s="422" t="s">
        <v>731</v>
      </c>
      <c r="K311" s="420">
        <v>300</v>
      </c>
      <c r="L311" s="421">
        <v>370</v>
      </c>
      <c r="M311" s="422" t="s">
        <v>287</v>
      </c>
      <c r="N311" s="423">
        <v>7210</v>
      </c>
      <c r="O311" s="424">
        <v>70</v>
      </c>
      <c r="P311" s="462"/>
      <c r="Q311" s="462"/>
      <c r="R311" s="1278">
        <v>2600</v>
      </c>
      <c r="S311" s="1281">
        <v>2800</v>
      </c>
      <c r="T311" s="426" t="s">
        <v>288</v>
      </c>
      <c r="U311" s="427">
        <v>5500</v>
      </c>
      <c r="V311" s="428">
        <v>6200</v>
      </c>
      <c r="W311" s="425">
        <v>4320</v>
      </c>
      <c r="X311" s="429">
        <v>40</v>
      </c>
      <c r="Y311" s="1284">
        <v>4500</v>
      </c>
      <c r="Z311" s="1301"/>
      <c r="AA311" s="1300" t="s">
        <v>319</v>
      </c>
      <c r="AB311" s="1286">
        <v>4980</v>
      </c>
      <c r="AC311" s="1289">
        <v>40</v>
      </c>
      <c r="AD311" s="1292" t="s">
        <v>290</v>
      </c>
      <c r="AE311" s="1294" t="s">
        <v>290</v>
      </c>
      <c r="AF311" s="1294" t="s">
        <v>290</v>
      </c>
      <c r="AG311" s="1297" t="s">
        <v>290</v>
      </c>
      <c r="AH311" s="1269" t="s">
        <v>296</v>
      </c>
    </row>
    <row r="312" spans="1:34" ht="13.5" customHeight="1">
      <c r="A312" s="431" t="s">
        <v>322</v>
      </c>
      <c r="B312" s="432" t="s">
        <v>307</v>
      </c>
      <c r="C312" s="433" t="s">
        <v>336</v>
      </c>
      <c r="D312" s="434">
        <v>44320</v>
      </c>
      <c r="E312" s="435">
        <v>102820</v>
      </c>
      <c r="F312" s="434">
        <v>39440</v>
      </c>
      <c r="G312" s="435">
        <v>97940</v>
      </c>
      <c r="H312" s="436">
        <v>420</v>
      </c>
      <c r="I312" s="437">
        <v>910</v>
      </c>
      <c r="J312" s="438" t="s">
        <v>731</v>
      </c>
      <c r="K312" s="436">
        <v>370</v>
      </c>
      <c r="L312" s="437">
        <v>860</v>
      </c>
      <c r="M312" s="438" t="s">
        <v>287</v>
      </c>
      <c r="N312" s="439">
        <v>7210</v>
      </c>
      <c r="O312" s="440">
        <v>70</v>
      </c>
      <c r="P312" s="441"/>
      <c r="Q312" s="441"/>
      <c r="R312" s="1279"/>
      <c r="S312" s="1282"/>
      <c r="T312" s="393" t="s">
        <v>292</v>
      </c>
      <c r="U312" s="442">
        <v>3000</v>
      </c>
      <c r="V312" s="443">
        <v>3400</v>
      </c>
      <c r="W312" s="441">
        <v>4320</v>
      </c>
      <c r="X312" s="444">
        <v>40</v>
      </c>
      <c r="Y312" s="1285"/>
      <c r="Z312" s="1301"/>
      <c r="AA312" s="1300"/>
      <c r="AB312" s="1287"/>
      <c r="AC312" s="1290"/>
      <c r="AD312" s="1293"/>
      <c r="AE312" s="1295"/>
      <c r="AF312" s="1295"/>
      <c r="AG312" s="1298"/>
      <c r="AH312" s="1270"/>
    </row>
    <row r="313" spans="1:34" ht="13.5" customHeight="1">
      <c r="A313" s="431" t="s">
        <v>322</v>
      </c>
      <c r="B313" s="432" t="s">
        <v>307</v>
      </c>
      <c r="C313" s="433" t="s">
        <v>337</v>
      </c>
      <c r="D313" s="434">
        <v>102820</v>
      </c>
      <c r="E313" s="435">
        <v>174940</v>
      </c>
      <c r="F313" s="434">
        <v>97940</v>
      </c>
      <c r="G313" s="435">
        <v>170060</v>
      </c>
      <c r="H313" s="436">
        <v>910</v>
      </c>
      <c r="I313" s="437">
        <v>1630</v>
      </c>
      <c r="J313" s="438" t="s">
        <v>731</v>
      </c>
      <c r="K313" s="436">
        <v>860</v>
      </c>
      <c r="L313" s="437">
        <v>1580</v>
      </c>
      <c r="M313" s="438" t="s">
        <v>287</v>
      </c>
      <c r="N313" s="446"/>
      <c r="O313" s="447"/>
      <c r="P313" s="441"/>
      <c r="Q313" s="441"/>
      <c r="R313" s="1279"/>
      <c r="S313" s="1282"/>
      <c r="T313" s="393" t="s">
        <v>293</v>
      </c>
      <c r="U313" s="442">
        <v>2600</v>
      </c>
      <c r="V313" s="443">
        <v>2900</v>
      </c>
      <c r="W313" s="441">
        <v>4320</v>
      </c>
      <c r="X313" s="444">
        <v>40</v>
      </c>
      <c r="Y313" s="448"/>
      <c r="Z313" s="1301"/>
      <c r="AA313" s="1299">
        <v>0.1</v>
      </c>
      <c r="AB313" s="1287"/>
      <c r="AC313" s="1290"/>
      <c r="AD313" s="1271">
        <v>0.02</v>
      </c>
      <c r="AE313" s="1273">
        <v>0.03</v>
      </c>
      <c r="AF313" s="1273">
        <v>0.05</v>
      </c>
      <c r="AG313" s="1275">
        <v>0.06</v>
      </c>
      <c r="AH313" s="1277">
        <v>0.96</v>
      </c>
    </row>
    <row r="314" spans="1:34" ht="13.5" customHeight="1">
      <c r="A314" s="431" t="s">
        <v>322</v>
      </c>
      <c r="B314" s="449" t="s">
        <v>307</v>
      </c>
      <c r="C314" s="450" t="s">
        <v>338</v>
      </c>
      <c r="D314" s="451">
        <v>174940</v>
      </c>
      <c r="E314" s="452"/>
      <c r="F314" s="451">
        <v>170060</v>
      </c>
      <c r="G314" s="452"/>
      <c r="H314" s="439">
        <v>1630</v>
      </c>
      <c r="I314" s="453"/>
      <c r="J314" s="454" t="s">
        <v>731</v>
      </c>
      <c r="K314" s="439">
        <v>1580</v>
      </c>
      <c r="L314" s="453"/>
      <c r="M314" s="454" t="s">
        <v>287</v>
      </c>
      <c r="N314" s="446"/>
      <c r="O314" s="455"/>
      <c r="P314" s="462"/>
      <c r="Q314" s="462"/>
      <c r="R314" s="1280"/>
      <c r="S314" s="1283"/>
      <c r="T314" s="456" t="s">
        <v>294</v>
      </c>
      <c r="U314" s="457">
        <v>2400</v>
      </c>
      <c r="V314" s="458">
        <v>2600</v>
      </c>
      <c r="W314" s="459">
        <v>4320</v>
      </c>
      <c r="X314" s="460">
        <v>40</v>
      </c>
      <c r="Y314" s="448"/>
      <c r="Z314" s="1301"/>
      <c r="AA314" s="1299"/>
      <c r="AB314" s="1288"/>
      <c r="AC314" s="1291"/>
      <c r="AD314" s="1272"/>
      <c r="AE314" s="1274"/>
      <c r="AF314" s="1274"/>
      <c r="AG314" s="1276"/>
      <c r="AH314" s="1277"/>
    </row>
    <row r="315" spans="1:34" ht="13.5" customHeight="1">
      <c r="A315" s="431" t="s">
        <v>322</v>
      </c>
      <c r="B315" s="416" t="s">
        <v>309</v>
      </c>
      <c r="C315" s="417" t="s">
        <v>334</v>
      </c>
      <c r="D315" s="418">
        <v>35320</v>
      </c>
      <c r="E315" s="419">
        <v>42530</v>
      </c>
      <c r="F315" s="418">
        <v>30880</v>
      </c>
      <c r="G315" s="419">
        <v>38090</v>
      </c>
      <c r="H315" s="420">
        <v>330</v>
      </c>
      <c r="I315" s="421">
        <v>400</v>
      </c>
      <c r="J315" s="422" t="s">
        <v>731</v>
      </c>
      <c r="K315" s="420">
        <v>290</v>
      </c>
      <c r="L315" s="421">
        <v>360</v>
      </c>
      <c r="M315" s="422" t="s">
        <v>287</v>
      </c>
      <c r="N315" s="423">
        <v>7210</v>
      </c>
      <c r="O315" s="424">
        <v>70</v>
      </c>
      <c r="P315" s="441"/>
      <c r="Q315" s="441"/>
      <c r="R315" s="1278">
        <v>2800</v>
      </c>
      <c r="S315" s="1281">
        <v>3100</v>
      </c>
      <c r="T315" s="426" t="s">
        <v>288</v>
      </c>
      <c r="U315" s="427">
        <v>6100</v>
      </c>
      <c r="V315" s="428">
        <v>6800</v>
      </c>
      <c r="W315" s="425">
        <v>3930</v>
      </c>
      <c r="X315" s="429">
        <v>30</v>
      </c>
      <c r="Y315" s="1284">
        <v>4500</v>
      </c>
      <c r="Z315" s="1301"/>
      <c r="AA315" s="464"/>
      <c r="AB315" s="1286">
        <v>4530</v>
      </c>
      <c r="AC315" s="1289">
        <v>40</v>
      </c>
      <c r="AD315" s="1292" t="s">
        <v>290</v>
      </c>
      <c r="AE315" s="1294" t="s">
        <v>290</v>
      </c>
      <c r="AF315" s="1294" t="s">
        <v>290</v>
      </c>
      <c r="AG315" s="1297" t="s">
        <v>290</v>
      </c>
      <c r="AH315" s="1269" t="s">
        <v>296</v>
      </c>
    </row>
    <row r="316" spans="1:34" ht="13.5" customHeight="1">
      <c r="A316" s="431" t="s">
        <v>322</v>
      </c>
      <c r="B316" s="432" t="s">
        <v>309</v>
      </c>
      <c r="C316" s="433" t="s">
        <v>336</v>
      </c>
      <c r="D316" s="434">
        <v>42530</v>
      </c>
      <c r="E316" s="435">
        <v>101030</v>
      </c>
      <c r="F316" s="434">
        <v>38090</v>
      </c>
      <c r="G316" s="435">
        <v>96590</v>
      </c>
      <c r="H316" s="436">
        <v>400</v>
      </c>
      <c r="I316" s="437">
        <v>890</v>
      </c>
      <c r="J316" s="438" t="s">
        <v>731</v>
      </c>
      <c r="K316" s="436">
        <v>360</v>
      </c>
      <c r="L316" s="437">
        <v>850</v>
      </c>
      <c r="M316" s="438" t="s">
        <v>287</v>
      </c>
      <c r="N316" s="439">
        <v>7210</v>
      </c>
      <c r="O316" s="440">
        <v>70</v>
      </c>
      <c r="P316" s="441"/>
      <c r="Q316" s="441"/>
      <c r="R316" s="1279"/>
      <c r="S316" s="1282"/>
      <c r="T316" s="393" t="s">
        <v>292</v>
      </c>
      <c r="U316" s="442">
        <v>3300</v>
      </c>
      <c r="V316" s="443">
        <v>3700</v>
      </c>
      <c r="W316" s="441">
        <v>3930</v>
      </c>
      <c r="X316" s="444">
        <v>30</v>
      </c>
      <c r="Y316" s="1285"/>
      <c r="Z316" s="1301"/>
      <c r="AA316" s="464"/>
      <c r="AB316" s="1287"/>
      <c r="AC316" s="1290"/>
      <c r="AD316" s="1293"/>
      <c r="AE316" s="1295"/>
      <c r="AF316" s="1295"/>
      <c r="AG316" s="1298"/>
      <c r="AH316" s="1270"/>
    </row>
    <row r="317" spans="1:34" ht="13.5" customHeight="1">
      <c r="A317" s="431" t="s">
        <v>322</v>
      </c>
      <c r="B317" s="432" t="s">
        <v>309</v>
      </c>
      <c r="C317" s="433" t="s">
        <v>337</v>
      </c>
      <c r="D317" s="434">
        <v>101030</v>
      </c>
      <c r="E317" s="435">
        <v>173150</v>
      </c>
      <c r="F317" s="434">
        <v>96590</v>
      </c>
      <c r="G317" s="435">
        <v>168710</v>
      </c>
      <c r="H317" s="436">
        <v>890</v>
      </c>
      <c r="I317" s="437">
        <v>1610</v>
      </c>
      <c r="J317" s="438" t="s">
        <v>731</v>
      </c>
      <c r="K317" s="436">
        <v>850</v>
      </c>
      <c r="L317" s="437">
        <v>1570</v>
      </c>
      <c r="M317" s="438" t="s">
        <v>287</v>
      </c>
      <c r="N317" s="446"/>
      <c r="O317" s="447"/>
      <c r="P317" s="462"/>
      <c r="Q317" s="462"/>
      <c r="R317" s="1279"/>
      <c r="S317" s="1282"/>
      <c r="T317" s="393" t="s">
        <v>293</v>
      </c>
      <c r="U317" s="442">
        <v>2900</v>
      </c>
      <c r="V317" s="443">
        <v>3200</v>
      </c>
      <c r="W317" s="441">
        <v>3930</v>
      </c>
      <c r="X317" s="444">
        <v>30</v>
      </c>
      <c r="Y317" s="448"/>
      <c r="Z317" s="1301"/>
      <c r="AA317" s="464"/>
      <c r="AB317" s="1287"/>
      <c r="AC317" s="1290"/>
      <c r="AD317" s="1271">
        <v>0.02</v>
      </c>
      <c r="AE317" s="1273">
        <v>0.03</v>
      </c>
      <c r="AF317" s="1273">
        <v>0.05</v>
      </c>
      <c r="AG317" s="1275">
        <v>0.06</v>
      </c>
      <c r="AH317" s="1277">
        <v>0.95</v>
      </c>
    </row>
    <row r="318" spans="1:34" ht="13.5" customHeight="1">
      <c r="A318" s="431" t="s">
        <v>322</v>
      </c>
      <c r="B318" s="449" t="s">
        <v>309</v>
      </c>
      <c r="C318" s="450" t="s">
        <v>338</v>
      </c>
      <c r="D318" s="451">
        <v>173150</v>
      </c>
      <c r="E318" s="452"/>
      <c r="F318" s="451">
        <v>168710</v>
      </c>
      <c r="G318" s="452"/>
      <c r="H318" s="439">
        <v>1610</v>
      </c>
      <c r="I318" s="453"/>
      <c r="J318" s="454" t="s">
        <v>731</v>
      </c>
      <c r="K318" s="439">
        <v>1570</v>
      </c>
      <c r="L318" s="453"/>
      <c r="M318" s="454" t="s">
        <v>287</v>
      </c>
      <c r="N318" s="446"/>
      <c r="O318" s="455"/>
      <c r="P318" s="441"/>
      <c r="Q318" s="441"/>
      <c r="R318" s="1280"/>
      <c r="S318" s="1283"/>
      <c r="T318" s="456" t="s">
        <v>294</v>
      </c>
      <c r="U318" s="457">
        <v>2600</v>
      </c>
      <c r="V318" s="458">
        <v>2900</v>
      </c>
      <c r="W318" s="459">
        <v>3930</v>
      </c>
      <c r="X318" s="460">
        <v>30</v>
      </c>
      <c r="Y318" s="448"/>
      <c r="Z318" s="1301"/>
      <c r="AA318" s="464"/>
      <c r="AB318" s="1288"/>
      <c r="AC318" s="1291"/>
      <c r="AD318" s="1272"/>
      <c r="AE318" s="1274"/>
      <c r="AF318" s="1274"/>
      <c r="AG318" s="1276"/>
      <c r="AH318" s="1277"/>
    </row>
    <row r="319" spans="1:34" ht="13.5" customHeight="1">
      <c r="A319" s="431" t="s">
        <v>322</v>
      </c>
      <c r="B319" s="416" t="s">
        <v>310</v>
      </c>
      <c r="C319" s="417" t="s">
        <v>334</v>
      </c>
      <c r="D319" s="418">
        <v>33780</v>
      </c>
      <c r="E319" s="419">
        <v>40990</v>
      </c>
      <c r="F319" s="418">
        <v>29720</v>
      </c>
      <c r="G319" s="419">
        <v>36930</v>
      </c>
      <c r="H319" s="420">
        <v>310</v>
      </c>
      <c r="I319" s="421">
        <v>380</v>
      </c>
      <c r="J319" s="422" t="s">
        <v>731</v>
      </c>
      <c r="K319" s="420">
        <v>270</v>
      </c>
      <c r="L319" s="421">
        <v>340</v>
      </c>
      <c r="M319" s="422" t="s">
        <v>287</v>
      </c>
      <c r="N319" s="423">
        <v>7210</v>
      </c>
      <c r="O319" s="424">
        <v>70</v>
      </c>
      <c r="P319" s="441"/>
      <c r="Q319" s="441"/>
      <c r="R319" s="1278">
        <v>2600</v>
      </c>
      <c r="S319" s="1281">
        <v>2800</v>
      </c>
      <c r="T319" s="426" t="s">
        <v>288</v>
      </c>
      <c r="U319" s="427">
        <v>5500</v>
      </c>
      <c r="V319" s="428">
        <v>6200</v>
      </c>
      <c r="W319" s="425">
        <v>3600</v>
      </c>
      <c r="X319" s="429">
        <v>30</v>
      </c>
      <c r="Y319" s="1284">
        <v>4500</v>
      </c>
      <c r="Z319" s="1301"/>
      <c r="AA319" s="464"/>
      <c r="AB319" s="1286">
        <v>4150</v>
      </c>
      <c r="AC319" s="1289">
        <v>40</v>
      </c>
      <c r="AD319" s="1292" t="s">
        <v>290</v>
      </c>
      <c r="AE319" s="1294" t="s">
        <v>290</v>
      </c>
      <c r="AF319" s="1294" t="s">
        <v>290</v>
      </c>
      <c r="AG319" s="1297" t="s">
        <v>290</v>
      </c>
      <c r="AH319" s="1269" t="s">
        <v>296</v>
      </c>
    </row>
    <row r="320" spans="1:34" ht="13.5" customHeight="1">
      <c r="A320" s="431" t="s">
        <v>322</v>
      </c>
      <c r="B320" s="432" t="s">
        <v>310</v>
      </c>
      <c r="C320" s="433" t="s">
        <v>336</v>
      </c>
      <c r="D320" s="434">
        <v>40990</v>
      </c>
      <c r="E320" s="435">
        <v>99490</v>
      </c>
      <c r="F320" s="434">
        <v>36930</v>
      </c>
      <c r="G320" s="435">
        <v>95430</v>
      </c>
      <c r="H320" s="436">
        <v>380</v>
      </c>
      <c r="I320" s="437">
        <v>880</v>
      </c>
      <c r="J320" s="438" t="s">
        <v>731</v>
      </c>
      <c r="K320" s="436">
        <v>340</v>
      </c>
      <c r="L320" s="437">
        <v>840</v>
      </c>
      <c r="M320" s="438" t="s">
        <v>287</v>
      </c>
      <c r="N320" s="439">
        <v>7210</v>
      </c>
      <c r="O320" s="440">
        <v>70</v>
      </c>
      <c r="P320" s="462"/>
      <c r="Q320" s="462"/>
      <c r="R320" s="1279"/>
      <c r="S320" s="1282"/>
      <c r="T320" s="393" t="s">
        <v>292</v>
      </c>
      <c r="U320" s="442">
        <v>3000</v>
      </c>
      <c r="V320" s="443">
        <v>3400</v>
      </c>
      <c r="W320" s="441">
        <v>3600</v>
      </c>
      <c r="X320" s="444">
        <v>30</v>
      </c>
      <c r="Y320" s="1285"/>
      <c r="Z320" s="1301"/>
      <c r="AA320" s="464"/>
      <c r="AB320" s="1287"/>
      <c r="AC320" s="1290"/>
      <c r="AD320" s="1293"/>
      <c r="AE320" s="1295"/>
      <c r="AF320" s="1295"/>
      <c r="AG320" s="1298"/>
      <c r="AH320" s="1270"/>
    </row>
    <row r="321" spans="1:34" ht="13.5" customHeight="1">
      <c r="A321" s="431" t="s">
        <v>322</v>
      </c>
      <c r="B321" s="432" t="s">
        <v>310</v>
      </c>
      <c r="C321" s="433" t="s">
        <v>337</v>
      </c>
      <c r="D321" s="434">
        <v>99490</v>
      </c>
      <c r="E321" s="435">
        <v>171610</v>
      </c>
      <c r="F321" s="434">
        <v>95430</v>
      </c>
      <c r="G321" s="435">
        <v>167550</v>
      </c>
      <c r="H321" s="436">
        <v>880</v>
      </c>
      <c r="I321" s="437">
        <v>1600</v>
      </c>
      <c r="J321" s="438" t="s">
        <v>731</v>
      </c>
      <c r="K321" s="436">
        <v>840</v>
      </c>
      <c r="L321" s="437">
        <v>1560</v>
      </c>
      <c r="M321" s="438" t="s">
        <v>287</v>
      </c>
      <c r="N321" s="446"/>
      <c r="O321" s="447"/>
      <c r="P321" s="441"/>
      <c r="Q321" s="441"/>
      <c r="R321" s="1279"/>
      <c r="S321" s="1282"/>
      <c r="T321" s="393" t="s">
        <v>293</v>
      </c>
      <c r="U321" s="442">
        <v>2600</v>
      </c>
      <c r="V321" s="443">
        <v>2900</v>
      </c>
      <c r="W321" s="441">
        <v>3600</v>
      </c>
      <c r="X321" s="444">
        <v>30</v>
      </c>
      <c r="Y321" s="448"/>
      <c r="Z321" s="1301"/>
      <c r="AA321" s="464"/>
      <c r="AB321" s="1287"/>
      <c r="AC321" s="1290"/>
      <c r="AD321" s="1271">
        <v>0.02</v>
      </c>
      <c r="AE321" s="1273">
        <v>0.03</v>
      </c>
      <c r="AF321" s="1273">
        <v>0.05</v>
      </c>
      <c r="AG321" s="1275">
        <v>0.06</v>
      </c>
      <c r="AH321" s="1277">
        <v>0.95</v>
      </c>
    </row>
    <row r="322" spans="1:34" ht="13.5" customHeight="1">
      <c r="A322" s="431" t="s">
        <v>322</v>
      </c>
      <c r="B322" s="449" t="s">
        <v>310</v>
      </c>
      <c r="C322" s="450" t="s">
        <v>338</v>
      </c>
      <c r="D322" s="451">
        <v>171610</v>
      </c>
      <c r="E322" s="452"/>
      <c r="F322" s="451">
        <v>167550</v>
      </c>
      <c r="G322" s="452"/>
      <c r="H322" s="439">
        <v>1600</v>
      </c>
      <c r="I322" s="453"/>
      <c r="J322" s="454" t="s">
        <v>731</v>
      </c>
      <c r="K322" s="439">
        <v>1560</v>
      </c>
      <c r="L322" s="453"/>
      <c r="M322" s="454" t="s">
        <v>287</v>
      </c>
      <c r="N322" s="446"/>
      <c r="O322" s="455"/>
      <c r="P322" s="441"/>
      <c r="Q322" s="441"/>
      <c r="R322" s="1280"/>
      <c r="S322" s="1283"/>
      <c r="T322" s="456" t="s">
        <v>294</v>
      </c>
      <c r="U322" s="457">
        <v>2400</v>
      </c>
      <c r="V322" s="458">
        <v>2600</v>
      </c>
      <c r="W322" s="459">
        <v>3600</v>
      </c>
      <c r="X322" s="460">
        <v>30</v>
      </c>
      <c r="Y322" s="448"/>
      <c r="Z322" s="1301"/>
      <c r="AA322" s="464"/>
      <c r="AB322" s="1288"/>
      <c r="AC322" s="1291"/>
      <c r="AD322" s="1272"/>
      <c r="AE322" s="1274"/>
      <c r="AF322" s="1274"/>
      <c r="AG322" s="1276"/>
      <c r="AH322" s="1277"/>
    </row>
    <row r="323" spans="1:34" ht="13.5" customHeight="1">
      <c r="A323" s="431" t="s">
        <v>322</v>
      </c>
      <c r="B323" s="416" t="s">
        <v>311</v>
      </c>
      <c r="C323" s="417" t="s">
        <v>334</v>
      </c>
      <c r="D323" s="418">
        <v>32490</v>
      </c>
      <c r="E323" s="419">
        <v>39700</v>
      </c>
      <c r="F323" s="418">
        <v>28730</v>
      </c>
      <c r="G323" s="419">
        <v>35940</v>
      </c>
      <c r="H323" s="420">
        <v>300</v>
      </c>
      <c r="I323" s="421">
        <v>370</v>
      </c>
      <c r="J323" s="422" t="s">
        <v>731</v>
      </c>
      <c r="K323" s="420">
        <v>260</v>
      </c>
      <c r="L323" s="421">
        <v>330</v>
      </c>
      <c r="M323" s="422" t="s">
        <v>287</v>
      </c>
      <c r="N323" s="423">
        <v>7210</v>
      </c>
      <c r="O323" s="424">
        <v>70</v>
      </c>
      <c r="P323" s="462"/>
      <c r="Q323" s="462"/>
      <c r="R323" s="1278">
        <v>2400</v>
      </c>
      <c r="S323" s="1281">
        <v>2600</v>
      </c>
      <c r="T323" s="426" t="s">
        <v>288</v>
      </c>
      <c r="U323" s="427">
        <v>5100</v>
      </c>
      <c r="V323" s="428">
        <v>5700</v>
      </c>
      <c r="W323" s="425">
        <v>3320</v>
      </c>
      <c r="X323" s="429">
        <v>30</v>
      </c>
      <c r="Y323" s="1284">
        <v>4500</v>
      </c>
      <c r="Z323" s="1301"/>
      <c r="AA323" s="464"/>
      <c r="AB323" s="1286">
        <v>3830</v>
      </c>
      <c r="AC323" s="1289">
        <v>30</v>
      </c>
      <c r="AD323" s="1292" t="s">
        <v>290</v>
      </c>
      <c r="AE323" s="1294" t="s">
        <v>290</v>
      </c>
      <c r="AF323" s="1294" t="s">
        <v>290</v>
      </c>
      <c r="AG323" s="1297" t="s">
        <v>290</v>
      </c>
      <c r="AH323" s="1269" t="s">
        <v>296</v>
      </c>
    </row>
    <row r="324" spans="1:34" ht="13.5" customHeight="1">
      <c r="A324" s="431" t="s">
        <v>322</v>
      </c>
      <c r="B324" s="432" t="s">
        <v>311</v>
      </c>
      <c r="C324" s="433" t="s">
        <v>336</v>
      </c>
      <c r="D324" s="434">
        <v>39700</v>
      </c>
      <c r="E324" s="435">
        <v>98200</v>
      </c>
      <c r="F324" s="434">
        <v>35940</v>
      </c>
      <c r="G324" s="435">
        <v>94440</v>
      </c>
      <c r="H324" s="436">
        <v>370</v>
      </c>
      <c r="I324" s="437">
        <v>860</v>
      </c>
      <c r="J324" s="438" t="s">
        <v>731</v>
      </c>
      <c r="K324" s="436">
        <v>330</v>
      </c>
      <c r="L324" s="437">
        <v>830</v>
      </c>
      <c r="M324" s="438" t="s">
        <v>287</v>
      </c>
      <c r="N324" s="439">
        <v>7210</v>
      </c>
      <c r="O324" s="440">
        <v>70</v>
      </c>
      <c r="P324" s="441"/>
      <c r="Q324" s="441"/>
      <c r="R324" s="1279"/>
      <c r="S324" s="1282"/>
      <c r="T324" s="393" t="s">
        <v>292</v>
      </c>
      <c r="U324" s="442">
        <v>2800</v>
      </c>
      <c r="V324" s="443">
        <v>3100</v>
      </c>
      <c r="W324" s="441">
        <v>3320</v>
      </c>
      <c r="X324" s="444">
        <v>30</v>
      </c>
      <c r="Y324" s="1285"/>
      <c r="Z324" s="1301"/>
      <c r="AA324" s="464"/>
      <c r="AB324" s="1287"/>
      <c r="AC324" s="1290"/>
      <c r="AD324" s="1293"/>
      <c r="AE324" s="1295"/>
      <c r="AF324" s="1295"/>
      <c r="AG324" s="1298"/>
      <c r="AH324" s="1270"/>
    </row>
    <row r="325" spans="1:34" ht="13.5" customHeight="1">
      <c r="A325" s="431" t="s">
        <v>322</v>
      </c>
      <c r="B325" s="432" t="s">
        <v>311</v>
      </c>
      <c r="C325" s="433" t="s">
        <v>337</v>
      </c>
      <c r="D325" s="434">
        <v>98200</v>
      </c>
      <c r="E325" s="435">
        <v>170320</v>
      </c>
      <c r="F325" s="434">
        <v>94440</v>
      </c>
      <c r="G325" s="435">
        <v>166560</v>
      </c>
      <c r="H325" s="436">
        <v>860</v>
      </c>
      <c r="I325" s="437">
        <v>1580</v>
      </c>
      <c r="J325" s="438" t="s">
        <v>731</v>
      </c>
      <c r="K325" s="436">
        <v>830</v>
      </c>
      <c r="L325" s="437">
        <v>1550</v>
      </c>
      <c r="M325" s="438" t="s">
        <v>287</v>
      </c>
      <c r="N325" s="446"/>
      <c r="O325" s="447"/>
      <c r="P325" s="441"/>
      <c r="Q325" s="441"/>
      <c r="R325" s="1279"/>
      <c r="S325" s="1282"/>
      <c r="T325" s="393" t="s">
        <v>293</v>
      </c>
      <c r="U325" s="442">
        <v>2400</v>
      </c>
      <c r="V325" s="443">
        <v>2700</v>
      </c>
      <c r="W325" s="441">
        <v>3320</v>
      </c>
      <c r="X325" s="444">
        <v>30</v>
      </c>
      <c r="Y325" s="448"/>
      <c r="Z325" s="1301"/>
      <c r="AA325" s="464"/>
      <c r="AB325" s="1287"/>
      <c r="AC325" s="1290"/>
      <c r="AD325" s="1271">
        <v>0.02</v>
      </c>
      <c r="AE325" s="1273">
        <v>0.03</v>
      </c>
      <c r="AF325" s="1273">
        <v>0.05</v>
      </c>
      <c r="AG325" s="1275">
        <v>0.06</v>
      </c>
      <c r="AH325" s="1277">
        <v>0.97</v>
      </c>
    </row>
    <row r="326" spans="1:34" ht="13.5" customHeight="1">
      <c r="A326" s="431" t="s">
        <v>322</v>
      </c>
      <c r="B326" s="449" t="s">
        <v>311</v>
      </c>
      <c r="C326" s="450" t="s">
        <v>338</v>
      </c>
      <c r="D326" s="451">
        <v>170320</v>
      </c>
      <c r="E326" s="452"/>
      <c r="F326" s="451">
        <v>166560</v>
      </c>
      <c r="G326" s="452"/>
      <c r="H326" s="439">
        <v>1580</v>
      </c>
      <c r="I326" s="453"/>
      <c r="J326" s="454" t="s">
        <v>731</v>
      </c>
      <c r="K326" s="439">
        <v>1550</v>
      </c>
      <c r="L326" s="453"/>
      <c r="M326" s="454" t="s">
        <v>287</v>
      </c>
      <c r="N326" s="446"/>
      <c r="O326" s="455"/>
      <c r="P326" s="462"/>
      <c r="Q326" s="462"/>
      <c r="R326" s="1280"/>
      <c r="S326" s="1283"/>
      <c r="T326" s="456" t="s">
        <v>294</v>
      </c>
      <c r="U326" s="457">
        <v>2200</v>
      </c>
      <c r="V326" s="458">
        <v>2400</v>
      </c>
      <c r="W326" s="459">
        <v>3320</v>
      </c>
      <c r="X326" s="460">
        <v>30</v>
      </c>
      <c r="Y326" s="448"/>
      <c r="Z326" s="1301"/>
      <c r="AA326" s="464"/>
      <c r="AB326" s="1288"/>
      <c r="AC326" s="1291"/>
      <c r="AD326" s="1272"/>
      <c r="AE326" s="1274"/>
      <c r="AF326" s="1274"/>
      <c r="AG326" s="1276"/>
      <c r="AH326" s="1277"/>
    </row>
    <row r="327" spans="1:34" ht="13.5" customHeight="1">
      <c r="A327" s="431" t="s">
        <v>322</v>
      </c>
      <c r="B327" s="416" t="s">
        <v>312</v>
      </c>
      <c r="C327" s="417" t="s">
        <v>334</v>
      </c>
      <c r="D327" s="418">
        <v>31410</v>
      </c>
      <c r="E327" s="419">
        <v>38620</v>
      </c>
      <c r="F327" s="418">
        <v>27920</v>
      </c>
      <c r="G327" s="419">
        <v>35130</v>
      </c>
      <c r="H327" s="420">
        <v>290</v>
      </c>
      <c r="I327" s="421">
        <v>360</v>
      </c>
      <c r="J327" s="422" t="s">
        <v>731</v>
      </c>
      <c r="K327" s="420">
        <v>260</v>
      </c>
      <c r="L327" s="421">
        <v>330</v>
      </c>
      <c r="M327" s="422" t="s">
        <v>287</v>
      </c>
      <c r="N327" s="423">
        <v>7210</v>
      </c>
      <c r="O327" s="424">
        <v>70</v>
      </c>
      <c r="P327" s="441"/>
      <c r="Q327" s="441"/>
      <c r="R327" s="1278">
        <v>2600</v>
      </c>
      <c r="S327" s="1281">
        <v>2800</v>
      </c>
      <c r="T327" s="426" t="s">
        <v>288</v>
      </c>
      <c r="U327" s="427">
        <v>5500</v>
      </c>
      <c r="V327" s="428">
        <v>6200</v>
      </c>
      <c r="W327" s="425">
        <v>3090</v>
      </c>
      <c r="X327" s="429">
        <v>30</v>
      </c>
      <c r="Y327" s="1284">
        <v>4500</v>
      </c>
      <c r="Z327" s="1301"/>
      <c r="AA327" s="464"/>
      <c r="AB327" s="1286">
        <v>3560</v>
      </c>
      <c r="AC327" s="1289">
        <v>30</v>
      </c>
      <c r="AD327" s="1292" t="s">
        <v>290</v>
      </c>
      <c r="AE327" s="1294" t="s">
        <v>290</v>
      </c>
      <c r="AF327" s="1294" t="s">
        <v>290</v>
      </c>
      <c r="AG327" s="1297" t="s">
        <v>290</v>
      </c>
      <c r="AH327" s="1269" t="s">
        <v>296</v>
      </c>
    </row>
    <row r="328" spans="1:34" ht="13.5" customHeight="1">
      <c r="A328" s="431" t="s">
        <v>322</v>
      </c>
      <c r="B328" s="432" t="s">
        <v>312</v>
      </c>
      <c r="C328" s="433" t="s">
        <v>336</v>
      </c>
      <c r="D328" s="434">
        <v>38620</v>
      </c>
      <c r="E328" s="435">
        <v>97120</v>
      </c>
      <c r="F328" s="434">
        <v>35130</v>
      </c>
      <c r="G328" s="435">
        <v>93630</v>
      </c>
      <c r="H328" s="436">
        <v>360</v>
      </c>
      <c r="I328" s="437">
        <v>850</v>
      </c>
      <c r="J328" s="438" t="s">
        <v>731</v>
      </c>
      <c r="K328" s="436">
        <v>330</v>
      </c>
      <c r="L328" s="437">
        <v>820</v>
      </c>
      <c r="M328" s="438" t="s">
        <v>287</v>
      </c>
      <c r="N328" s="439">
        <v>7210</v>
      </c>
      <c r="O328" s="440">
        <v>70</v>
      </c>
      <c r="P328" s="441"/>
      <c r="Q328" s="441"/>
      <c r="R328" s="1279"/>
      <c r="S328" s="1282"/>
      <c r="T328" s="393" t="s">
        <v>292</v>
      </c>
      <c r="U328" s="442">
        <v>3000</v>
      </c>
      <c r="V328" s="443">
        <v>3400</v>
      </c>
      <c r="W328" s="441">
        <v>3090</v>
      </c>
      <c r="X328" s="444">
        <v>30</v>
      </c>
      <c r="Y328" s="1285"/>
      <c r="Z328" s="1301"/>
      <c r="AA328" s="464"/>
      <c r="AB328" s="1287"/>
      <c r="AC328" s="1290"/>
      <c r="AD328" s="1293"/>
      <c r="AE328" s="1295"/>
      <c r="AF328" s="1295"/>
      <c r="AG328" s="1298"/>
      <c r="AH328" s="1270"/>
    </row>
    <row r="329" spans="1:34" ht="13.5" customHeight="1">
      <c r="A329" s="431" t="s">
        <v>322</v>
      </c>
      <c r="B329" s="432" t="s">
        <v>312</v>
      </c>
      <c r="C329" s="433" t="s">
        <v>337</v>
      </c>
      <c r="D329" s="434">
        <v>97120</v>
      </c>
      <c r="E329" s="435">
        <v>169240</v>
      </c>
      <c r="F329" s="434">
        <v>93630</v>
      </c>
      <c r="G329" s="435">
        <v>165750</v>
      </c>
      <c r="H329" s="436">
        <v>850</v>
      </c>
      <c r="I329" s="437">
        <v>1570</v>
      </c>
      <c r="J329" s="438" t="s">
        <v>731</v>
      </c>
      <c r="K329" s="436">
        <v>820</v>
      </c>
      <c r="L329" s="437">
        <v>1540</v>
      </c>
      <c r="M329" s="438" t="s">
        <v>287</v>
      </c>
      <c r="N329" s="446"/>
      <c r="O329" s="447"/>
      <c r="P329" s="462"/>
      <c r="Q329" s="462"/>
      <c r="R329" s="1279"/>
      <c r="S329" s="1282"/>
      <c r="T329" s="393" t="s">
        <v>293</v>
      </c>
      <c r="U329" s="442">
        <v>2600</v>
      </c>
      <c r="V329" s="443">
        <v>2900</v>
      </c>
      <c r="W329" s="441">
        <v>3090</v>
      </c>
      <c r="X329" s="444">
        <v>30</v>
      </c>
      <c r="Y329" s="448"/>
      <c r="Z329" s="1301"/>
      <c r="AA329" s="464"/>
      <c r="AB329" s="1287"/>
      <c r="AC329" s="1290"/>
      <c r="AD329" s="1271">
        <v>0.02</v>
      </c>
      <c r="AE329" s="1273">
        <v>0.03</v>
      </c>
      <c r="AF329" s="1273">
        <v>0.05</v>
      </c>
      <c r="AG329" s="1275">
        <v>0.06</v>
      </c>
      <c r="AH329" s="1277">
        <v>0.98</v>
      </c>
    </row>
    <row r="330" spans="1:34" ht="13.5" customHeight="1">
      <c r="A330" s="431" t="s">
        <v>322</v>
      </c>
      <c r="B330" s="449" t="s">
        <v>312</v>
      </c>
      <c r="C330" s="450" t="s">
        <v>338</v>
      </c>
      <c r="D330" s="451">
        <v>169240</v>
      </c>
      <c r="E330" s="452"/>
      <c r="F330" s="451">
        <v>165750</v>
      </c>
      <c r="G330" s="452"/>
      <c r="H330" s="439">
        <v>1570</v>
      </c>
      <c r="I330" s="453"/>
      <c r="J330" s="454" t="s">
        <v>731</v>
      </c>
      <c r="K330" s="439">
        <v>1540</v>
      </c>
      <c r="L330" s="453"/>
      <c r="M330" s="454" t="s">
        <v>287</v>
      </c>
      <c r="N330" s="446"/>
      <c r="O330" s="455"/>
      <c r="P330" s="441"/>
      <c r="Q330" s="441"/>
      <c r="R330" s="1280"/>
      <c r="S330" s="1283"/>
      <c r="T330" s="456" t="s">
        <v>294</v>
      </c>
      <c r="U330" s="457">
        <v>2400</v>
      </c>
      <c r="V330" s="458">
        <v>2600</v>
      </c>
      <c r="W330" s="459">
        <v>3090</v>
      </c>
      <c r="X330" s="460">
        <v>30</v>
      </c>
      <c r="Y330" s="448"/>
      <c r="Z330" s="1301"/>
      <c r="AA330" s="464"/>
      <c r="AB330" s="1288"/>
      <c r="AC330" s="1291"/>
      <c r="AD330" s="1272"/>
      <c r="AE330" s="1274"/>
      <c r="AF330" s="1274"/>
      <c r="AG330" s="1276"/>
      <c r="AH330" s="1277"/>
    </row>
    <row r="331" spans="1:34" ht="13.5" customHeight="1">
      <c r="A331" s="431" t="s">
        <v>322</v>
      </c>
      <c r="B331" s="416" t="s">
        <v>313</v>
      </c>
      <c r="C331" s="417" t="s">
        <v>334</v>
      </c>
      <c r="D331" s="418">
        <v>30450</v>
      </c>
      <c r="E331" s="419">
        <v>37660</v>
      </c>
      <c r="F331" s="418">
        <v>27200</v>
      </c>
      <c r="G331" s="419">
        <v>34410</v>
      </c>
      <c r="H331" s="420">
        <v>280</v>
      </c>
      <c r="I331" s="421">
        <v>350</v>
      </c>
      <c r="J331" s="422" t="s">
        <v>731</v>
      </c>
      <c r="K331" s="420">
        <v>250</v>
      </c>
      <c r="L331" s="421">
        <v>320</v>
      </c>
      <c r="M331" s="422" t="s">
        <v>287</v>
      </c>
      <c r="N331" s="423">
        <v>7210</v>
      </c>
      <c r="O331" s="424">
        <v>70</v>
      </c>
      <c r="P331" s="441"/>
      <c r="Q331" s="441"/>
      <c r="R331" s="1278">
        <v>2400</v>
      </c>
      <c r="S331" s="1281">
        <v>2600</v>
      </c>
      <c r="T331" s="426" t="s">
        <v>288</v>
      </c>
      <c r="U331" s="427">
        <v>5400</v>
      </c>
      <c r="V331" s="428">
        <v>6000</v>
      </c>
      <c r="W331" s="425">
        <v>2880</v>
      </c>
      <c r="X331" s="429">
        <v>20</v>
      </c>
      <c r="Y331" s="1284">
        <v>4500</v>
      </c>
      <c r="Z331" s="1301"/>
      <c r="AA331" s="464"/>
      <c r="AB331" s="1286">
        <v>3320</v>
      </c>
      <c r="AC331" s="1289">
        <v>30</v>
      </c>
      <c r="AD331" s="1292" t="s">
        <v>290</v>
      </c>
      <c r="AE331" s="1294" t="s">
        <v>290</v>
      </c>
      <c r="AF331" s="1294" t="s">
        <v>290</v>
      </c>
      <c r="AG331" s="1297" t="s">
        <v>290</v>
      </c>
      <c r="AH331" s="1269" t="s">
        <v>296</v>
      </c>
    </row>
    <row r="332" spans="1:34" ht="13.5" customHeight="1">
      <c r="A332" s="431" t="s">
        <v>322</v>
      </c>
      <c r="B332" s="432" t="s">
        <v>313</v>
      </c>
      <c r="C332" s="433" t="s">
        <v>336</v>
      </c>
      <c r="D332" s="434">
        <v>37660</v>
      </c>
      <c r="E332" s="435">
        <v>96160</v>
      </c>
      <c r="F332" s="434">
        <v>34410</v>
      </c>
      <c r="G332" s="435">
        <v>92910</v>
      </c>
      <c r="H332" s="436">
        <v>350</v>
      </c>
      <c r="I332" s="437">
        <v>840</v>
      </c>
      <c r="J332" s="438" t="s">
        <v>731</v>
      </c>
      <c r="K332" s="436">
        <v>320</v>
      </c>
      <c r="L332" s="437">
        <v>810</v>
      </c>
      <c r="M332" s="438" t="s">
        <v>287</v>
      </c>
      <c r="N332" s="439">
        <v>7210</v>
      </c>
      <c r="O332" s="440">
        <v>70</v>
      </c>
      <c r="P332" s="462"/>
      <c r="Q332" s="462"/>
      <c r="R332" s="1279"/>
      <c r="S332" s="1282"/>
      <c r="T332" s="393" t="s">
        <v>292</v>
      </c>
      <c r="U332" s="442">
        <v>2900</v>
      </c>
      <c r="V332" s="443">
        <v>3300</v>
      </c>
      <c r="W332" s="441">
        <v>2880</v>
      </c>
      <c r="X332" s="444">
        <v>20</v>
      </c>
      <c r="Y332" s="1285"/>
      <c r="Z332" s="1301"/>
      <c r="AA332" s="464"/>
      <c r="AB332" s="1287"/>
      <c r="AC332" s="1290"/>
      <c r="AD332" s="1293"/>
      <c r="AE332" s="1295"/>
      <c r="AF332" s="1295"/>
      <c r="AG332" s="1298"/>
      <c r="AH332" s="1270"/>
    </row>
    <row r="333" spans="1:34" ht="13.5" customHeight="1">
      <c r="A333" s="431" t="s">
        <v>322</v>
      </c>
      <c r="B333" s="432" t="s">
        <v>313</v>
      </c>
      <c r="C333" s="433" t="s">
        <v>337</v>
      </c>
      <c r="D333" s="434">
        <v>96160</v>
      </c>
      <c r="E333" s="435">
        <v>168280</v>
      </c>
      <c r="F333" s="434">
        <v>92910</v>
      </c>
      <c r="G333" s="435">
        <v>165030</v>
      </c>
      <c r="H333" s="436">
        <v>840</v>
      </c>
      <c r="I333" s="437">
        <v>1560</v>
      </c>
      <c r="J333" s="438" t="s">
        <v>731</v>
      </c>
      <c r="K333" s="436">
        <v>810</v>
      </c>
      <c r="L333" s="437">
        <v>1530</v>
      </c>
      <c r="M333" s="438" t="s">
        <v>287</v>
      </c>
      <c r="N333" s="446"/>
      <c r="O333" s="447"/>
      <c r="P333" s="441"/>
      <c r="Q333" s="441"/>
      <c r="R333" s="1279"/>
      <c r="S333" s="1282"/>
      <c r="T333" s="393" t="s">
        <v>293</v>
      </c>
      <c r="U333" s="442">
        <v>2500</v>
      </c>
      <c r="V333" s="443">
        <v>2800</v>
      </c>
      <c r="W333" s="441">
        <v>2880</v>
      </c>
      <c r="X333" s="444">
        <v>20</v>
      </c>
      <c r="Y333" s="448"/>
      <c r="Z333" s="1301"/>
      <c r="AA333" s="464"/>
      <c r="AB333" s="1287"/>
      <c r="AC333" s="1290"/>
      <c r="AD333" s="1271">
        <v>0.02</v>
      </c>
      <c r="AE333" s="1273">
        <v>0.03</v>
      </c>
      <c r="AF333" s="1273">
        <v>0.05</v>
      </c>
      <c r="AG333" s="1275">
        <v>0.06</v>
      </c>
      <c r="AH333" s="1277">
        <v>0.98</v>
      </c>
    </row>
    <row r="334" spans="1:34" ht="13.5" customHeight="1">
      <c r="A334" s="431" t="s">
        <v>322</v>
      </c>
      <c r="B334" s="449" t="s">
        <v>313</v>
      </c>
      <c r="C334" s="450" t="s">
        <v>338</v>
      </c>
      <c r="D334" s="451">
        <v>168280</v>
      </c>
      <c r="E334" s="452"/>
      <c r="F334" s="451">
        <v>165030</v>
      </c>
      <c r="G334" s="452"/>
      <c r="H334" s="439">
        <v>1560</v>
      </c>
      <c r="I334" s="453"/>
      <c r="J334" s="454" t="s">
        <v>731</v>
      </c>
      <c r="K334" s="439">
        <v>1530</v>
      </c>
      <c r="L334" s="453"/>
      <c r="M334" s="454" t="s">
        <v>287</v>
      </c>
      <c r="N334" s="446"/>
      <c r="O334" s="455"/>
      <c r="P334" s="441"/>
      <c r="Q334" s="441"/>
      <c r="R334" s="1280"/>
      <c r="S334" s="1283"/>
      <c r="T334" s="456" t="s">
        <v>294</v>
      </c>
      <c r="U334" s="457">
        <v>2300</v>
      </c>
      <c r="V334" s="458">
        <v>2500</v>
      </c>
      <c r="W334" s="459">
        <v>2880</v>
      </c>
      <c r="X334" s="460">
        <v>20</v>
      </c>
      <c r="Y334" s="448"/>
      <c r="Z334" s="1301"/>
      <c r="AA334" s="464"/>
      <c r="AB334" s="1288"/>
      <c r="AC334" s="1291"/>
      <c r="AD334" s="1272"/>
      <c r="AE334" s="1274"/>
      <c r="AF334" s="1274"/>
      <c r="AG334" s="1276"/>
      <c r="AH334" s="1277"/>
    </row>
    <row r="335" spans="1:34" ht="13.5" customHeight="1">
      <c r="A335" s="431" t="s">
        <v>322</v>
      </c>
      <c r="B335" s="416" t="s">
        <v>314</v>
      </c>
      <c r="C335" s="417" t="s">
        <v>334</v>
      </c>
      <c r="D335" s="418">
        <v>30480</v>
      </c>
      <c r="E335" s="419">
        <v>37690</v>
      </c>
      <c r="F335" s="418">
        <v>27430</v>
      </c>
      <c r="G335" s="419">
        <v>34640</v>
      </c>
      <c r="H335" s="420">
        <v>280</v>
      </c>
      <c r="I335" s="421">
        <v>350</v>
      </c>
      <c r="J335" s="422" t="s">
        <v>731</v>
      </c>
      <c r="K335" s="420">
        <v>250</v>
      </c>
      <c r="L335" s="421">
        <v>320</v>
      </c>
      <c r="M335" s="422" t="s">
        <v>287</v>
      </c>
      <c r="N335" s="423">
        <v>7210</v>
      </c>
      <c r="O335" s="424">
        <v>70</v>
      </c>
      <c r="P335" s="462"/>
      <c r="Q335" s="462"/>
      <c r="R335" s="1278">
        <v>2200</v>
      </c>
      <c r="S335" s="1281">
        <v>2500</v>
      </c>
      <c r="T335" s="426" t="s">
        <v>288</v>
      </c>
      <c r="U335" s="427">
        <v>4800</v>
      </c>
      <c r="V335" s="428">
        <v>5400</v>
      </c>
      <c r="W335" s="425">
        <v>2700</v>
      </c>
      <c r="X335" s="429">
        <v>20</v>
      </c>
      <c r="Y335" s="1284">
        <v>4500</v>
      </c>
      <c r="Z335" s="1301"/>
      <c r="AA335" s="464"/>
      <c r="AB335" s="1286">
        <v>3110</v>
      </c>
      <c r="AC335" s="1289">
        <v>30</v>
      </c>
      <c r="AD335" s="1292" t="s">
        <v>290</v>
      </c>
      <c r="AE335" s="1294" t="s">
        <v>290</v>
      </c>
      <c r="AF335" s="1294" t="s">
        <v>290</v>
      </c>
      <c r="AG335" s="1297" t="s">
        <v>290</v>
      </c>
      <c r="AH335" s="1269" t="s">
        <v>296</v>
      </c>
    </row>
    <row r="336" spans="1:34" ht="13.5" customHeight="1">
      <c r="A336" s="431" t="s">
        <v>322</v>
      </c>
      <c r="B336" s="432" t="s">
        <v>314</v>
      </c>
      <c r="C336" s="433" t="s">
        <v>336</v>
      </c>
      <c r="D336" s="434">
        <v>37690</v>
      </c>
      <c r="E336" s="435">
        <v>96190</v>
      </c>
      <c r="F336" s="434">
        <v>34640</v>
      </c>
      <c r="G336" s="435">
        <v>93140</v>
      </c>
      <c r="H336" s="436">
        <v>350</v>
      </c>
      <c r="I336" s="437">
        <v>840</v>
      </c>
      <c r="J336" s="438" t="s">
        <v>731</v>
      </c>
      <c r="K336" s="436">
        <v>320</v>
      </c>
      <c r="L336" s="437">
        <v>810</v>
      </c>
      <c r="M336" s="438" t="s">
        <v>287</v>
      </c>
      <c r="N336" s="439">
        <v>7210</v>
      </c>
      <c r="O336" s="440">
        <v>70</v>
      </c>
      <c r="P336" s="462"/>
      <c r="Q336" s="462"/>
      <c r="R336" s="1279"/>
      <c r="S336" s="1282"/>
      <c r="T336" s="393" t="s">
        <v>292</v>
      </c>
      <c r="U336" s="442">
        <v>2600</v>
      </c>
      <c r="V336" s="443">
        <v>2900</v>
      </c>
      <c r="W336" s="441">
        <v>2700</v>
      </c>
      <c r="X336" s="444">
        <v>20</v>
      </c>
      <c r="Y336" s="1285"/>
      <c r="Z336" s="1301"/>
      <c r="AA336" s="464"/>
      <c r="AB336" s="1287"/>
      <c r="AC336" s="1290"/>
      <c r="AD336" s="1293"/>
      <c r="AE336" s="1295"/>
      <c r="AF336" s="1295"/>
      <c r="AG336" s="1298"/>
      <c r="AH336" s="1270"/>
    </row>
    <row r="337" spans="1:87" ht="13.5" customHeight="1">
      <c r="A337" s="431" t="s">
        <v>322</v>
      </c>
      <c r="B337" s="432" t="s">
        <v>314</v>
      </c>
      <c r="C337" s="433" t="s">
        <v>337</v>
      </c>
      <c r="D337" s="434">
        <v>96190</v>
      </c>
      <c r="E337" s="435">
        <v>168310</v>
      </c>
      <c r="F337" s="434">
        <v>93140</v>
      </c>
      <c r="G337" s="435">
        <v>165260</v>
      </c>
      <c r="H337" s="436">
        <v>840</v>
      </c>
      <c r="I337" s="437">
        <v>1560</v>
      </c>
      <c r="J337" s="438" t="s">
        <v>731</v>
      </c>
      <c r="K337" s="436">
        <v>810</v>
      </c>
      <c r="L337" s="437">
        <v>1530</v>
      </c>
      <c r="M337" s="438" t="s">
        <v>287</v>
      </c>
      <c r="N337" s="446"/>
      <c r="O337" s="447"/>
      <c r="P337" s="462"/>
      <c r="Q337" s="462"/>
      <c r="R337" s="1279"/>
      <c r="S337" s="1282"/>
      <c r="T337" s="393" t="s">
        <v>293</v>
      </c>
      <c r="U337" s="442">
        <v>2300</v>
      </c>
      <c r="V337" s="443">
        <v>2500</v>
      </c>
      <c r="W337" s="441">
        <v>2700</v>
      </c>
      <c r="X337" s="444">
        <v>20</v>
      </c>
      <c r="Y337" s="448"/>
      <c r="Z337" s="1301"/>
      <c r="AA337" s="464"/>
      <c r="AB337" s="1287"/>
      <c r="AC337" s="1290"/>
      <c r="AD337" s="1271">
        <v>0.02</v>
      </c>
      <c r="AE337" s="1273">
        <v>0.03</v>
      </c>
      <c r="AF337" s="1273">
        <v>0.05</v>
      </c>
      <c r="AG337" s="1275">
        <v>0.06</v>
      </c>
      <c r="AH337" s="1277">
        <v>0.98</v>
      </c>
    </row>
    <row r="338" spans="1:87" ht="13.5" customHeight="1">
      <c r="A338" s="431" t="s">
        <v>322</v>
      </c>
      <c r="B338" s="449" t="s">
        <v>314</v>
      </c>
      <c r="C338" s="450" t="s">
        <v>338</v>
      </c>
      <c r="D338" s="451">
        <v>168310</v>
      </c>
      <c r="E338" s="452"/>
      <c r="F338" s="451">
        <v>165260</v>
      </c>
      <c r="G338" s="452"/>
      <c r="H338" s="439">
        <v>1560</v>
      </c>
      <c r="I338" s="453"/>
      <c r="J338" s="454" t="s">
        <v>731</v>
      </c>
      <c r="K338" s="439">
        <v>1530</v>
      </c>
      <c r="L338" s="453"/>
      <c r="M338" s="454" t="s">
        <v>287</v>
      </c>
      <c r="N338" s="446"/>
      <c r="O338" s="455"/>
      <c r="P338" s="462"/>
      <c r="Q338" s="462"/>
      <c r="R338" s="1280"/>
      <c r="S338" s="1283"/>
      <c r="T338" s="456" t="s">
        <v>294</v>
      </c>
      <c r="U338" s="457">
        <v>2000</v>
      </c>
      <c r="V338" s="458">
        <v>2300</v>
      </c>
      <c r="W338" s="459">
        <v>2700</v>
      </c>
      <c r="X338" s="460">
        <v>20</v>
      </c>
      <c r="Y338" s="448"/>
      <c r="Z338" s="1301"/>
      <c r="AA338" s="464"/>
      <c r="AB338" s="1288"/>
      <c r="AC338" s="1291"/>
      <c r="AD338" s="1272"/>
      <c r="AE338" s="1274"/>
      <c r="AF338" s="1274"/>
      <c r="AG338" s="1276"/>
      <c r="AH338" s="1277"/>
    </row>
    <row r="339" spans="1:87" ht="13.5" customHeight="1">
      <c r="A339" s="431" t="s">
        <v>322</v>
      </c>
      <c r="B339" s="416" t="s">
        <v>315</v>
      </c>
      <c r="C339" s="417" t="s">
        <v>334</v>
      </c>
      <c r="D339" s="418">
        <v>29710</v>
      </c>
      <c r="E339" s="419">
        <v>36920</v>
      </c>
      <c r="F339" s="418">
        <v>26830</v>
      </c>
      <c r="G339" s="419">
        <v>34040</v>
      </c>
      <c r="H339" s="420">
        <v>270</v>
      </c>
      <c r="I339" s="421">
        <v>340</v>
      </c>
      <c r="J339" s="422" t="s">
        <v>731</v>
      </c>
      <c r="K339" s="420">
        <v>250</v>
      </c>
      <c r="L339" s="421">
        <v>320</v>
      </c>
      <c r="M339" s="422" t="s">
        <v>287</v>
      </c>
      <c r="N339" s="423">
        <v>7210</v>
      </c>
      <c r="O339" s="424">
        <v>70</v>
      </c>
      <c r="P339" s="462"/>
      <c r="Q339" s="462"/>
      <c r="R339" s="1278">
        <v>2400</v>
      </c>
      <c r="S339" s="1281">
        <v>2600</v>
      </c>
      <c r="T339" s="426" t="s">
        <v>288</v>
      </c>
      <c r="U339" s="427">
        <v>5400</v>
      </c>
      <c r="V339" s="428">
        <v>6000</v>
      </c>
      <c r="W339" s="425">
        <v>2540</v>
      </c>
      <c r="X339" s="429">
        <v>20</v>
      </c>
      <c r="Y339" s="1284">
        <v>4500</v>
      </c>
      <c r="Z339" s="1301"/>
      <c r="AA339" s="464"/>
      <c r="AB339" s="1286">
        <v>2930</v>
      </c>
      <c r="AC339" s="1289">
        <v>20</v>
      </c>
      <c r="AD339" s="1292" t="s">
        <v>290</v>
      </c>
      <c r="AE339" s="1294" t="s">
        <v>290</v>
      </c>
      <c r="AF339" s="1294" t="s">
        <v>290</v>
      </c>
      <c r="AG339" s="1297" t="s">
        <v>290</v>
      </c>
      <c r="AH339" s="1269" t="s">
        <v>296</v>
      </c>
    </row>
    <row r="340" spans="1:87" ht="13.5" customHeight="1">
      <c r="A340" s="431" t="s">
        <v>322</v>
      </c>
      <c r="B340" s="432" t="s">
        <v>315</v>
      </c>
      <c r="C340" s="433" t="s">
        <v>336</v>
      </c>
      <c r="D340" s="434">
        <v>36920</v>
      </c>
      <c r="E340" s="435">
        <v>95420</v>
      </c>
      <c r="F340" s="434">
        <v>34040</v>
      </c>
      <c r="G340" s="435">
        <v>92540</v>
      </c>
      <c r="H340" s="436">
        <v>340</v>
      </c>
      <c r="I340" s="437">
        <v>840</v>
      </c>
      <c r="J340" s="438" t="s">
        <v>731</v>
      </c>
      <c r="K340" s="436">
        <v>320</v>
      </c>
      <c r="L340" s="437">
        <v>810</v>
      </c>
      <c r="M340" s="438" t="s">
        <v>287</v>
      </c>
      <c r="N340" s="439">
        <v>7210</v>
      </c>
      <c r="O340" s="440">
        <v>70</v>
      </c>
      <c r="P340" s="462"/>
      <c r="Q340" s="462"/>
      <c r="R340" s="1279"/>
      <c r="S340" s="1282"/>
      <c r="T340" s="393" t="s">
        <v>292</v>
      </c>
      <c r="U340" s="442">
        <v>2900</v>
      </c>
      <c r="V340" s="443">
        <v>3300</v>
      </c>
      <c r="W340" s="441">
        <v>2540</v>
      </c>
      <c r="X340" s="444">
        <v>20</v>
      </c>
      <c r="Y340" s="1285"/>
      <c r="Z340" s="1301"/>
      <c r="AA340" s="464"/>
      <c r="AB340" s="1287"/>
      <c r="AC340" s="1290"/>
      <c r="AD340" s="1293"/>
      <c r="AE340" s="1295"/>
      <c r="AF340" s="1295"/>
      <c r="AG340" s="1298"/>
      <c r="AH340" s="1270"/>
    </row>
    <row r="341" spans="1:87" ht="13.5" customHeight="1">
      <c r="A341" s="431" t="s">
        <v>322</v>
      </c>
      <c r="B341" s="432" t="s">
        <v>315</v>
      </c>
      <c r="C341" s="433" t="s">
        <v>337</v>
      </c>
      <c r="D341" s="434">
        <v>95420</v>
      </c>
      <c r="E341" s="435">
        <v>167540</v>
      </c>
      <c r="F341" s="434">
        <v>92540</v>
      </c>
      <c r="G341" s="435">
        <v>164660</v>
      </c>
      <c r="H341" s="436">
        <v>840</v>
      </c>
      <c r="I341" s="437">
        <v>1560</v>
      </c>
      <c r="J341" s="438" t="s">
        <v>731</v>
      </c>
      <c r="K341" s="436">
        <v>810</v>
      </c>
      <c r="L341" s="437">
        <v>1530</v>
      </c>
      <c r="M341" s="438" t="s">
        <v>287</v>
      </c>
      <c r="N341" s="446"/>
      <c r="O341" s="447"/>
      <c r="P341" s="441"/>
      <c r="Q341" s="441"/>
      <c r="R341" s="1279"/>
      <c r="S341" s="1282"/>
      <c r="T341" s="393" t="s">
        <v>293</v>
      </c>
      <c r="U341" s="442">
        <v>2500</v>
      </c>
      <c r="V341" s="443">
        <v>2800</v>
      </c>
      <c r="W341" s="441">
        <v>2540</v>
      </c>
      <c r="X341" s="444">
        <v>20</v>
      </c>
      <c r="Y341" s="448"/>
      <c r="Z341" s="1301"/>
      <c r="AA341" s="464"/>
      <c r="AB341" s="1287"/>
      <c r="AC341" s="1290"/>
      <c r="AD341" s="1271">
        <v>0.02</v>
      </c>
      <c r="AE341" s="1273">
        <v>0.03</v>
      </c>
      <c r="AF341" s="1273">
        <v>0.05</v>
      </c>
      <c r="AG341" s="1275">
        <v>7.0000000000000007E-2</v>
      </c>
      <c r="AH341" s="1277">
        <v>0.99</v>
      </c>
    </row>
    <row r="342" spans="1:87" ht="13.5" customHeight="1">
      <c r="A342" s="431" t="s">
        <v>322</v>
      </c>
      <c r="B342" s="449" t="s">
        <v>315</v>
      </c>
      <c r="C342" s="450" t="s">
        <v>338</v>
      </c>
      <c r="D342" s="451">
        <v>167540</v>
      </c>
      <c r="E342" s="452"/>
      <c r="F342" s="451">
        <v>164660</v>
      </c>
      <c r="G342" s="452"/>
      <c r="H342" s="439">
        <v>1560</v>
      </c>
      <c r="I342" s="453"/>
      <c r="J342" s="454" t="s">
        <v>731</v>
      </c>
      <c r="K342" s="439">
        <v>1530</v>
      </c>
      <c r="L342" s="453"/>
      <c r="M342" s="454" t="s">
        <v>287</v>
      </c>
      <c r="N342" s="446"/>
      <c r="O342" s="455"/>
      <c r="P342" s="441"/>
      <c r="Q342" s="441"/>
      <c r="R342" s="1280"/>
      <c r="S342" s="1283"/>
      <c r="T342" s="456" t="s">
        <v>294</v>
      </c>
      <c r="U342" s="457">
        <v>2300</v>
      </c>
      <c r="V342" s="458">
        <v>2500</v>
      </c>
      <c r="W342" s="459">
        <v>2540</v>
      </c>
      <c r="X342" s="460">
        <v>20</v>
      </c>
      <c r="Y342" s="448"/>
      <c r="Z342" s="1301"/>
      <c r="AA342" s="464"/>
      <c r="AB342" s="1288"/>
      <c r="AC342" s="1291"/>
      <c r="AD342" s="1272"/>
      <c r="AE342" s="1274"/>
      <c r="AF342" s="1274"/>
      <c r="AG342" s="1276"/>
      <c r="AH342" s="1277"/>
    </row>
    <row r="343" spans="1:87" ht="13.5" customHeight="1">
      <c r="A343" s="431" t="s">
        <v>322</v>
      </c>
      <c r="B343" s="416" t="s">
        <v>316</v>
      </c>
      <c r="C343" s="417" t="s">
        <v>334</v>
      </c>
      <c r="D343" s="418">
        <v>29000</v>
      </c>
      <c r="E343" s="419">
        <v>36210</v>
      </c>
      <c r="F343" s="418">
        <v>26290</v>
      </c>
      <c r="G343" s="419">
        <v>33500</v>
      </c>
      <c r="H343" s="420">
        <v>270</v>
      </c>
      <c r="I343" s="421">
        <v>340</v>
      </c>
      <c r="J343" s="422" t="s">
        <v>731</v>
      </c>
      <c r="K343" s="420">
        <v>240</v>
      </c>
      <c r="L343" s="421">
        <v>310</v>
      </c>
      <c r="M343" s="422" t="s">
        <v>287</v>
      </c>
      <c r="N343" s="423">
        <v>7210</v>
      </c>
      <c r="O343" s="424">
        <v>70</v>
      </c>
      <c r="P343" s="441"/>
      <c r="Q343" s="441"/>
      <c r="R343" s="1278">
        <v>2300</v>
      </c>
      <c r="S343" s="1281">
        <v>2500</v>
      </c>
      <c r="T343" s="426" t="s">
        <v>288</v>
      </c>
      <c r="U343" s="427">
        <v>4800</v>
      </c>
      <c r="V343" s="428">
        <v>5400</v>
      </c>
      <c r="W343" s="425">
        <v>2400</v>
      </c>
      <c r="X343" s="429">
        <v>20</v>
      </c>
      <c r="Y343" s="1284">
        <v>4500</v>
      </c>
      <c r="Z343" s="1301"/>
      <c r="AA343" s="464"/>
      <c r="AB343" s="1286">
        <v>2770</v>
      </c>
      <c r="AC343" s="1289">
        <v>20</v>
      </c>
      <c r="AD343" s="1292" t="s">
        <v>290</v>
      </c>
      <c r="AE343" s="1294" t="s">
        <v>290</v>
      </c>
      <c r="AF343" s="1294" t="s">
        <v>290</v>
      </c>
      <c r="AG343" s="1297" t="s">
        <v>290</v>
      </c>
      <c r="AH343" s="1269" t="s">
        <v>296</v>
      </c>
    </row>
    <row r="344" spans="1:87" ht="13.5" customHeight="1">
      <c r="A344" s="431" t="s">
        <v>322</v>
      </c>
      <c r="B344" s="432" t="s">
        <v>317</v>
      </c>
      <c r="C344" s="433" t="s">
        <v>336</v>
      </c>
      <c r="D344" s="434">
        <v>36210</v>
      </c>
      <c r="E344" s="435">
        <v>94710</v>
      </c>
      <c r="F344" s="434">
        <v>33500</v>
      </c>
      <c r="G344" s="435">
        <v>92000</v>
      </c>
      <c r="H344" s="436">
        <v>340</v>
      </c>
      <c r="I344" s="437">
        <v>830</v>
      </c>
      <c r="J344" s="438" t="s">
        <v>731</v>
      </c>
      <c r="K344" s="436">
        <v>310</v>
      </c>
      <c r="L344" s="437">
        <v>800</v>
      </c>
      <c r="M344" s="438" t="s">
        <v>287</v>
      </c>
      <c r="N344" s="439">
        <v>7210</v>
      </c>
      <c r="O344" s="440">
        <v>70</v>
      </c>
      <c r="P344" s="441"/>
      <c r="Q344" s="441"/>
      <c r="R344" s="1279"/>
      <c r="S344" s="1282"/>
      <c r="T344" s="393" t="s">
        <v>292</v>
      </c>
      <c r="U344" s="442">
        <v>2600</v>
      </c>
      <c r="V344" s="443">
        <v>2900</v>
      </c>
      <c r="W344" s="441">
        <v>2400</v>
      </c>
      <c r="X344" s="444">
        <v>20</v>
      </c>
      <c r="Y344" s="1285"/>
      <c r="Z344" s="1301"/>
      <c r="AA344" s="464"/>
      <c r="AB344" s="1287"/>
      <c r="AC344" s="1290"/>
      <c r="AD344" s="1293"/>
      <c r="AE344" s="1295"/>
      <c r="AF344" s="1295"/>
      <c r="AG344" s="1298"/>
      <c r="AH344" s="1270"/>
    </row>
    <row r="345" spans="1:87" ht="13.5" customHeight="1">
      <c r="A345" s="431" t="s">
        <v>322</v>
      </c>
      <c r="B345" s="432" t="s">
        <v>316</v>
      </c>
      <c r="C345" s="433" t="s">
        <v>337</v>
      </c>
      <c r="D345" s="434">
        <v>94710</v>
      </c>
      <c r="E345" s="435">
        <v>166830</v>
      </c>
      <c r="F345" s="434">
        <v>92000</v>
      </c>
      <c r="G345" s="435">
        <v>164120</v>
      </c>
      <c r="H345" s="436">
        <v>830</v>
      </c>
      <c r="I345" s="437">
        <v>1550</v>
      </c>
      <c r="J345" s="438" t="s">
        <v>731</v>
      </c>
      <c r="K345" s="436">
        <v>800</v>
      </c>
      <c r="L345" s="437">
        <v>1520</v>
      </c>
      <c r="M345" s="438" t="s">
        <v>287</v>
      </c>
      <c r="N345" s="446"/>
      <c r="O345" s="447"/>
      <c r="P345" s="441"/>
      <c r="Q345" s="441"/>
      <c r="R345" s="1279"/>
      <c r="S345" s="1282"/>
      <c r="T345" s="393" t="s">
        <v>293</v>
      </c>
      <c r="U345" s="442">
        <v>2300</v>
      </c>
      <c r="V345" s="443">
        <v>2500</v>
      </c>
      <c r="W345" s="441">
        <v>2400</v>
      </c>
      <c r="X345" s="444">
        <v>20</v>
      </c>
      <c r="Y345" s="448"/>
      <c r="Z345" s="1301"/>
      <c r="AA345" s="464"/>
      <c r="AB345" s="1287"/>
      <c r="AC345" s="1290"/>
      <c r="AD345" s="1271">
        <v>0.02</v>
      </c>
      <c r="AE345" s="1273">
        <v>0.03</v>
      </c>
      <c r="AF345" s="1273">
        <v>0.05</v>
      </c>
      <c r="AG345" s="1275">
        <v>7.0000000000000007E-2</v>
      </c>
      <c r="AH345" s="1277">
        <v>0.99</v>
      </c>
    </row>
    <row r="346" spans="1:87" ht="13.5" customHeight="1">
      <c r="A346" s="463" t="s">
        <v>322</v>
      </c>
      <c r="B346" s="449" t="s">
        <v>316</v>
      </c>
      <c r="C346" s="450" t="s">
        <v>338</v>
      </c>
      <c r="D346" s="451">
        <v>166830</v>
      </c>
      <c r="E346" s="452"/>
      <c r="F346" s="451">
        <v>164120</v>
      </c>
      <c r="G346" s="452"/>
      <c r="H346" s="439">
        <v>1550</v>
      </c>
      <c r="I346" s="453"/>
      <c r="J346" s="454" t="s">
        <v>731</v>
      </c>
      <c r="K346" s="439">
        <v>1520</v>
      </c>
      <c r="L346" s="453"/>
      <c r="M346" s="454" t="s">
        <v>287</v>
      </c>
      <c r="N346" s="446"/>
      <c r="O346" s="465"/>
      <c r="P346" s="459"/>
      <c r="Q346" s="459"/>
      <c r="R346" s="1280"/>
      <c r="S346" s="1283"/>
      <c r="T346" s="456" t="s">
        <v>294</v>
      </c>
      <c r="U346" s="457">
        <v>2000</v>
      </c>
      <c r="V346" s="458">
        <v>2300</v>
      </c>
      <c r="W346" s="459">
        <v>2400</v>
      </c>
      <c r="X346" s="460">
        <v>20</v>
      </c>
      <c r="Y346" s="448"/>
      <c r="Z346" s="1301"/>
      <c r="AA346" s="403"/>
      <c r="AB346" s="1288"/>
      <c r="AC346" s="1291"/>
      <c r="AD346" s="1272"/>
      <c r="AE346" s="1274"/>
      <c r="AF346" s="1274"/>
      <c r="AG346" s="1276"/>
      <c r="AH346" s="1296"/>
    </row>
    <row r="347" spans="1:87" s="89" customFormat="1" ht="13.5" customHeight="1">
      <c r="A347" s="416" t="s">
        <v>323</v>
      </c>
      <c r="B347" s="416" t="s">
        <v>286</v>
      </c>
      <c r="C347" s="417" t="s">
        <v>334</v>
      </c>
      <c r="D347" s="418">
        <v>113050</v>
      </c>
      <c r="E347" s="419">
        <v>120020</v>
      </c>
      <c r="F347" s="418">
        <v>89340</v>
      </c>
      <c r="G347" s="419">
        <v>96310</v>
      </c>
      <c r="H347" s="420">
        <v>1110</v>
      </c>
      <c r="I347" s="421">
        <v>1170</v>
      </c>
      <c r="J347" s="422" t="s">
        <v>731</v>
      </c>
      <c r="K347" s="420">
        <v>870</v>
      </c>
      <c r="L347" s="421">
        <v>930</v>
      </c>
      <c r="M347" s="422" t="s">
        <v>287</v>
      </c>
      <c r="N347" s="423">
        <v>6970</v>
      </c>
      <c r="O347" s="424">
        <v>60</v>
      </c>
      <c r="P347" s="425"/>
      <c r="Q347" s="425"/>
      <c r="R347" s="1278">
        <v>7200</v>
      </c>
      <c r="S347" s="1281">
        <v>7900</v>
      </c>
      <c r="T347" s="426" t="s">
        <v>288</v>
      </c>
      <c r="U347" s="427">
        <v>15800</v>
      </c>
      <c r="V347" s="428">
        <v>17600</v>
      </c>
      <c r="W347" s="425">
        <v>20930</v>
      </c>
      <c r="X347" s="429">
        <v>200</v>
      </c>
      <c r="Y347" s="1284">
        <v>4500</v>
      </c>
      <c r="Z347" s="1301" t="s">
        <v>289</v>
      </c>
      <c r="AA347" s="430"/>
      <c r="AB347" s="1286">
        <v>24030</v>
      </c>
      <c r="AC347" s="1289">
        <v>240</v>
      </c>
      <c r="AD347" s="1292" t="s">
        <v>290</v>
      </c>
      <c r="AE347" s="1294" t="s">
        <v>290</v>
      </c>
      <c r="AF347" s="1294" t="s">
        <v>290</v>
      </c>
      <c r="AG347" s="1297" t="s">
        <v>290</v>
      </c>
      <c r="AH347" s="1269" t="s">
        <v>296</v>
      </c>
      <c r="AI347" s="88"/>
      <c r="AJ347" s="88"/>
      <c r="AK347" s="88"/>
      <c r="AL347" s="88"/>
      <c r="AM347" s="88"/>
      <c r="AN347" s="88"/>
      <c r="AO347" s="88"/>
      <c r="AP347" s="88"/>
      <c r="AQ347" s="88"/>
      <c r="AR347" s="88"/>
      <c r="AS347" s="88"/>
      <c r="AT347" s="88"/>
      <c r="AU347" s="88"/>
      <c r="AV347" s="88"/>
      <c r="AW347" s="88"/>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c r="BV347" s="94"/>
      <c r="BW347" s="94"/>
      <c r="BX347" s="94"/>
      <c r="BY347" s="94"/>
      <c r="BZ347" s="94"/>
      <c r="CA347" s="94"/>
      <c r="CB347" s="94"/>
      <c r="CC347" s="94"/>
      <c r="CD347" s="94"/>
      <c r="CE347" s="94"/>
      <c r="CF347" s="94"/>
      <c r="CG347" s="94"/>
      <c r="CH347" s="94"/>
      <c r="CI347" s="94"/>
    </row>
    <row r="348" spans="1:87" s="89" customFormat="1" ht="13.5" customHeight="1">
      <c r="A348" s="431" t="s">
        <v>323</v>
      </c>
      <c r="B348" s="432" t="s">
        <v>286</v>
      </c>
      <c r="C348" s="433" t="s">
        <v>336</v>
      </c>
      <c r="D348" s="434">
        <v>120020</v>
      </c>
      <c r="E348" s="435">
        <v>176890</v>
      </c>
      <c r="F348" s="434">
        <v>96310</v>
      </c>
      <c r="G348" s="435">
        <v>153180</v>
      </c>
      <c r="H348" s="436">
        <v>1170</v>
      </c>
      <c r="I348" s="437">
        <v>1650</v>
      </c>
      <c r="J348" s="438" t="s">
        <v>731</v>
      </c>
      <c r="K348" s="436">
        <v>930</v>
      </c>
      <c r="L348" s="437">
        <v>1410</v>
      </c>
      <c r="M348" s="438" t="s">
        <v>287</v>
      </c>
      <c r="N348" s="439">
        <v>6970</v>
      </c>
      <c r="O348" s="440">
        <v>60</v>
      </c>
      <c r="P348" s="441"/>
      <c r="Q348" s="441"/>
      <c r="R348" s="1279"/>
      <c r="S348" s="1282"/>
      <c r="T348" s="393" t="s">
        <v>292</v>
      </c>
      <c r="U348" s="442">
        <v>8700</v>
      </c>
      <c r="V348" s="443">
        <v>9700</v>
      </c>
      <c r="W348" s="441">
        <v>20930</v>
      </c>
      <c r="X348" s="444">
        <v>200</v>
      </c>
      <c r="Y348" s="1285"/>
      <c r="Z348" s="1301"/>
      <c r="AA348" s="445"/>
      <c r="AB348" s="1287"/>
      <c r="AC348" s="1290"/>
      <c r="AD348" s="1293"/>
      <c r="AE348" s="1295"/>
      <c r="AF348" s="1295"/>
      <c r="AG348" s="1298"/>
      <c r="AH348" s="1270"/>
      <c r="AI348" s="88"/>
      <c r="AJ348" s="88"/>
      <c r="AK348" s="88"/>
      <c r="AL348" s="88"/>
      <c r="AM348" s="88"/>
      <c r="AN348" s="88"/>
      <c r="AO348" s="88"/>
      <c r="AP348" s="88"/>
      <c r="AQ348" s="88"/>
      <c r="AR348" s="88"/>
      <c r="AS348" s="88"/>
      <c r="AT348" s="88"/>
      <c r="AU348" s="88"/>
      <c r="AV348" s="88"/>
      <c r="AW348" s="88"/>
    </row>
    <row r="349" spans="1:87" s="89" customFormat="1" ht="13.5" customHeight="1">
      <c r="A349" s="431" t="s">
        <v>323</v>
      </c>
      <c r="B349" s="432" t="s">
        <v>286</v>
      </c>
      <c r="C349" s="433" t="s">
        <v>337</v>
      </c>
      <c r="D349" s="434">
        <v>176890</v>
      </c>
      <c r="E349" s="435">
        <v>246670</v>
      </c>
      <c r="F349" s="434">
        <v>153180</v>
      </c>
      <c r="G349" s="435">
        <v>222960</v>
      </c>
      <c r="H349" s="436">
        <v>1650</v>
      </c>
      <c r="I349" s="437">
        <v>2350</v>
      </c>
      <c r="J349" s="438" t="s">
        <v>731</v>
      </c>
      <c r="K349" s="436">
        <v>1410</v>
      </c>
      <c r="L349" s="437">
        <v>2110</v>
      </c>
      <c r="M349" s="438" t="s">
        <v>287</v>
      </c>
      <c r="N349" s="446"/>
      <c r="O349" s="447"/>
      <c r="P349" s="441"/>
      <c r="Q349" s="441"/>
      <c r="R349" s="1279"/>
      <c r="S349" s="1282"/>
      <c r="T349" s="393" t="s">
        <v>293</v>
      </c>
      <c r="U349" s="442">
        <v>7600</v>
      </c>
      <c r="V349" s="443">
        <v>8400</v>
      </c>
      <c r="W349" s="441">
        <v>20930</v>
      </c>
      <c r="X349" s="444">
        <v>200</v>
      </c>
      <c r="Y349" s="448"/>
      <c r="Z349" s="1301"/>
      <c r="AA349" s="445"/>
      <c r="AB349" s="1287"/>
      <c r="AC349" s="1290"/>
      <c r="AD349" s="1271">
        <v>0.01</v>
      </c>
      <c r="AE349" s="1273">
        <v>0.03</v>
      </c>
      <c r="AF349" s="1273">
        <v>0.04</v>
      </c>
      <c r="AG349" s="1275">
        <v>0.06</v>
      </c>
      <c r="AH349" s="1277">
        <v>0.79</v>
      </c>
      <c r="AI349" s="88"/>
      <c r="AJ349" s="88"/>
      <c r="AK349" s="88"/>
      <c r="AL349" s="88"/>
      <c r="AM349" s="88"/>
      <c r="AN349" s="88"/>
      <c r="AO349" s="88"/>
      <c r="AP349" s="88"/>
      <c r="AQ349" s="88"/>
      <c r="AR349" s="88"/>
      <c r="AS349" s="88"/>
      <c r="AT349" s="88"/>
      <c r="AU349" s="88"/>
      <c r="AV349" s="88"/>
      <c r="AW349" s="88"/>
    </row>
    <row r="350" spans="1:87" s="89" customFormat="1" ht="13.5" customHeight="1">
      <c r="A350" s="431" t="s">
        <v>323</v>
      </c>
      <c r="B350" s="449" t="s">
        <v>286</v>
      </c>
      <c r="C350" s="450" t="s">
        <v>338</v>
      </c>
      <c r="D350" s="451">
        <v>246670</v>
      </c>
      <c r="E350" s="452"/>
      <c r="F350" s="451">
        <v>222960</v>
      </c>
      <c r="G350" s="452"/>
      <c r="H350" s="439">
        <v>2350</v>
      </c>
      <c r="I350" s="453"/>
      <c r="J350" s="454" t="s">
        <v>731</v>
      </c>
      <c r="K350" s="439">
        <v>2110</v>
      </c>
      <c r="L350" s="453"/>
      <c r="M350" s="454" t="s">
        <v>287</v>
      </c>
      <c r="N350" s="446"/>
      <c r="O350" s="455"/>
      <c r="P350" s="441"/>
      <c r="Q350" s="441"/>
      <c r="R350" s="1280"/>
      <c r="S350" s="1283"/>
      <c r="T350" s="456" t="s">
        <v>294</v>
      </c>
      <c r="U350" s="457">
        <v>6800</v>
      </c>
      <c r="V350" s="458">
        <v>7500</v>
      </c>
      <c r="W350" s="459">
        <v>20930</v>
      </c>
      <c r="X350" s="460">
        <v>200</v>
      </c>
      <c r="Y350" s="448"/>
      <c r="Z350" s="1301"/>
      <c r="AA350" s="445"/>
      <c r="AB350" s="1288"/>
      <c r="AC350" s="1291"/>
      <c r="AD350" s="1272"/>
      <c r="AE350" s="1274"/>
      <c r="AF350" s="1274"/>
      <c r="AG350" s="1276"/>
      <c r="AH350" s="1277"/>
      <c r="AI350" s="88"/>
      <c r="AJ350" s="88"/>
      <c r="AK350" s="88"/>
      <c r="AL350" s="88"/>
      <c r="AM350" s="88"/>
      <c r="AN350" s="88"/>
      <c r="AO350" s="88"/>
      <c r="AP350" s="88"/>
      <c r="AQ350" s="88"/>
      <c r="AR350" s="88"/>
      <c r="AS350" s="88"/>
      <c r="AT350" s="88"/>
      <c r="AU350" s="88"/>
      <c r="AV350" s="88"/>
      <c r="AW350" s="88"/>
    </row>
    <row r="351" spans="1:87" s="89" customFormat="1" ht="13.5" customHeight="1">
      <c r="A351" s="431" t="s">
        <v>323</v>
      </c>
      <c r="B351" s="416" t="s">
        <v>295</v>
      </c>
      <c r="C351" s="417" t="s">
        <v>334</v>
      </c>
      <c r="D351" s="418">
        <v>81540</v>
      </c>
      <c r="E351" s="419">
        <v>88510</v>
      </c>
      <c r="F351" s="418">
        <v>65740</v>
      </c>
      <c r="G351" s="419">
        <v>72710</v>
      </c>
      <c r="H351" s="420">
        <v>790</v>
      </c>
      <c r="I351" s="421">
        <v>850</v>
      </c>
      <c r="J351" s="422" t="s">
        <v>731</v>
      </c>
      <c r="K351" s="420">
        <v>630</v>
      </c>
      <c r="L351" s="421">
        <v>690</v>
      </c>
      <c r="M351" s="422" t="s">
        <v>287</v>
      </c>
      <c r="N351" s="423">
        <v>6970</v>
      </c>
      <c r="O351" s="424">
        <v>60</v>
      </c>
      <c r="P351" s="441"/>
      <c r="Q351" s="441"/>
      <c r="R351" s="1278">
        <v>5000</v>
      </c>
      <c r="S351" s="1281">
        <v>5500</v>
      </c>
      <c r="T351" s="426" t="s">
        <v>288</v>
      </c>
      <c r="U351" s="427">
        <v>10900</v>
      </c>
      <c r="V351" s="428">
        <v>12200</v>
      </c>
      <c r="W351" s="425">
        <v>13950</v>
      </c>
      <c r="X351" s="429">
        <v>130</v>
      </c>
      <c r="Y351" s="1284">
        <v>4500</v>
      </c>
      <c r="Z351" s="1301"/>
      <c r="AA351" s="445"/>
      <c r="AB351" s="1286">
        <v>16020</v>
      </c>
      <c r="AC351" s="1289">
        <v>160</v>
      </c>
      <c r="AD351" s="1292" t="s">
        <v>290</v>
      </c>
      <c r="AE351" s="1294" t="s">
        <v>290</v>
      </c>
      <c r="AF351" s="1294" t="s">
        <v>290</v>
      </c>
      <c r="AG351" s="1297" t="s">
        <v>290</v>
      </c>
      <c r="AH351" s="1269" t="s">
        <v>296</v>
      </c>
      <c r="AI351" s="88"/>
      <c r="AJ351" s="88"/>
      <c r="AK351" s="88"/>
      <c r="AL351" s="88"/>
      <c r="AM351" s="88"/>
      <c r="AN351" s="88"/>
      <c r="AO351" s="88"/>
      <c r="AP351" s="88"/>
      <c r="AQ351" s="88"/>
      <c r="AR351" s="88"/>
      <c r="AS351" s="88"/>
      <c r="AT351" s="88"/>
      <c r="AU351" s="88"/>
      <c r="AV351" s="88"/>
      <c r="AW351" s="88"/>
    </row>
    <row r="352" spans="1:87" s="89" customFormat="1" ht="13.5" customHeight="1">
      <c r="A352" s="431" t="s">
        <v>323</v>
      </c>
      <c r="B352" s="432" t="s">
        <v>297</v>
      </c>
      <c r="C352" s="433" t="s">
        <v>336</v>
      </c>
      <c r="D352" s="434">
        <v>88510</v>
      </c>
      <c r="E352" s="435">
        <v>145380</v>
      </c>
      <c r="F352" s="434">
        <v>72710</v>
      </c>
      <c r="G352" s="435">
        <v>129580</v>
      </c>
      <c r="H352" s="436">
        <v>850</v>
      </c>
      <c r="I352" s="437">
        <v>1340</v>
      </c>
      <c r="J352" s="438" t="s">
        <v>731</v>
      </c>
      <c r="K352" s="436">
        <v>690</v>
      </c>
      <c r="L352" s="437">
        <v>1180</v>
      </c>
      <c r="M352" s="438" t="s">
        <v>287</v>
      </c>
      <c r="N352" s="439">
        <v>6970</v>
      </c>
      <c r="O352" s="440">
        <v>60</v>
      </c>
      <c r="P352" s="441"/>
      <c r="Q352" s="441"/>
      <c r="R352" s="1279"/>
      <c r="S352" s="1282"/>
      <c r="T352" s="393" t="s">
        <v>292</v>
      </c>
      <c r="U352" s="442">
        <v>6000</v>
      </c>
      <c r="V352" s="443">
        <v>6700</v>
      </c>
      <c r="W352" s="441">
        <v>13950</v>
      </c>
      <c r="X352" s="444">
        <v>130</v>
      </c>
      <c r="Y352" s="1285"/>
      <c r="Z352" s="1301"/>
      <c r="AA352" s="445"/>
      <c r="AB352" s="1287"/>
      <c r="AC352" s="1290"/>
      <c r="AD352" s="1293"/>
      <c r="AE352" s="1295"/>
      <c r="AF352" s="1295"/>
      <c r="AG352" s="1298"/>
      <c r="AH352" s="1270"/>
      <c r="AI352" s="88"/>
      <c r="AJ352" s="88"/>
      <c r="AK352" s="88"/>
      <c r="AL352" s="88"/>
      <c r="AM352" s="88"/>
      <c r="AN352" s="88"/>
      <c r="AO352" s="88"/>
      <c r="AP352" s="88"/>
      <c r="AQ352" s="88"/>
      <c r="AR352" s="88"/>
      <c r="AS352" s="88"/>
      <c r="AT352" s="88"/>
      <c r="AU352" s="88"/>
      <c r="AV352" s="88"/>
      <c r="AW352" s="88"/>
    </row>
    <row r="353" spans="1:87" s="89" customFormat="1" ht="13.5" customHeight="1">
      <c r="A353" s="431" t="s">
        <v>323</v>
      </c>
      <c r="B353" s="432" t="s">
        <v>297</v>
      </c>
      <c r="C353" s="433" t="s">
        <v>337</v>
      </c>
      <c r="D353" s="434">
        <v>145380</v>
      </c>
      <c r="E353" s="435">
        <v>215160</v>
      </c>
      <c r="F353" s="434">
        <v>129580</v>
      </c>
      <c r="G353" s="435">
        <v>199360</v>
      </c>
      <c r="H353" s="436">
        <v>1340</v>
      </c>
      <c r="I353" s="437">
        <v>2040</v>
      </c>
      <c r="J353" s="438" t="s">
        <v>731</v>
      </c>
      <c r="K353" s="436">
        <v>1180</v>
      </c>
      <c r="L353" s="437">
        <v>1880</v>
      </c>
      <c r="M353" s="438" t="s">
        <v>287</v>
      </c>
      <c r="N353" s="446"/>
      <c r="O353" s="447"/>
      <c r="P353" s="461"/>
      <c r="Q353" s="461"/>
      <c r="R353" s="1279"/>
      <c r="S353" s="1282"/>
      <c r="T353" s="393" t="s">
        <v>293</v>
      </c>
      <c r="U353" s="442">
        <v>5200</v>
      </c>
      <c r="V353" s="443">
        <v>5800</v>
      </c>
      <c r="W353" s="441">
        <v>13950</v>
      </c>
      <c r="X353" s="444">
        <v>130</v>
      </c>
      <c r="Y353" s="448"/>
      <c r="Z353" s="1301"/>
      <c r="AA353" s="445"/>
      <c r="AB353" s="1287"/>
      <c r="AC353" s="1290"/>
      <c r="AD353" s="1271">
        <v>0.02</v>
      </c>
      <c r="AE353" s="1273">
        <v>0.03</v>
      </c>
      <c r="AF353" s="1273">
        <v>0.04</v>
      </c>
      <c r="AG353" s="1275">
        <v>0.06</v>
      </c>
      <c r="AH353" s="1277">
        <v>0.87</v>
      </c>
      <c r="AI353" s="88"/>
      <c r="AJ353" s="88"/>
      <c r="AK353" s="88"/>
      <c r="AL353" s="88"/>
      <c r="AM353" s="88"/>
      <c r="AN353" s="88"/>
      <c r="AO353" s="88"/>
      <c r="AP353" s="88"/>
      <c r="AQ353" s="88"/>
      <c r="AR353" s="88"/>
      <c r="AS353" s="88"/>
      <c r="AT353" s="88"/>
      <c r="AU353" s="88"/>
      <c r="AV353" s="88"/>
      <c r="AW353" s="88"/>
    </row>
    <row r="354" spans="1:87" s="89" customFormat="1" ht="13.5" customHeight="1">
      <c r="A354" s="431" t="s">
        <v>323</v>
      </c>
      <c r="B354" s="449" t="s">
        <v>297</v>
      </c>
      <c r="C354" s="450" t="s">
        <v>338</v>
      </c>
      <c r="D354" s="451">
        <v>215160</v>
      </c>
      <c r="E354" s="452"/>
      <c r="F354" s="451">
        <v>199360</v>
      </c>
      <c r="G354" s="452"/>
      <c r="H354" s="439">
        <v>2040</v>
      </c>
      <c r="I354" s="453"/>
      <c r="J354" s="454" t="s">
        <v>731</v>
      </c>
      <c r="K354" s="439">
        <v>1880</v>
      </c>
      <c r="L354" s="453"/>
      <c r="M354" s="454" t="s">
        <v>287</v>
      </c>
      <c r="N354" s="446"/>
      <c r="O354" s="455"/>
      <c r="P354" s="461"/>
      <c r="Q354" s="461"/>
      <c r="R354" s="1280"/>
      <c r="S354" s="1283"/>
      <c r="T354" s="456" t="s">
        <v>294</v>
      </c>
      <c r="U354" s="457">
        <v>4700</v>
      </c>
      <c r="V354" s="458">
        <v>5200</v>
      </c>
      <c r="W354" s="459">
        <v>13950</v>
      </c>
      <c r="X354" s="460">
        <v>130</v>
      </c>
      <c r="Y354" s="448"/>
      <c r="Z354" s="1301"/>
      <c r="AA354" s="445"/>
      <c r="AB354" s="1288"/>
      <c r="AC354" s="1291"/>
      <c r="AD354" s="1272"/>
      <c r="AE354" s="1274"/>
      <c r="AF354" s="1274"/>
      <c r="AG354" s="1276"/>
      <c r="AH354" s="1277"/>
      <c r="AI354" s="88"/>
      <c r="AJ354" s="88"/>
      <c r="AK354" s="88"/>
      <c r="AL354" s="88"/>
      <c r="AM354" s="88"/>
      <c r="AN354" s="88"/>
      <c r="AO354" s="88"/>
      <c r="AP354" s="88"/>
      <c r="AQ354" s="88"/>
      <c r="AR354" s="88"/>
      <c r="AS354" s="88"/>
      <c r="AT354" s="88"/>
      <c r="AU354" s="88"/>
      <c r="AV354" s="88"/>
      <c r="AW354" s="88"/>
    </row>
    <row r="355" spans="1:87" ht="13.5" customHeight="1">
      <c r="A355" s="431" t="s">
        <v>323</v>
      </c>
      <c r="B355" s="416" t="s">
        <v>298</v>
      </c>
      <c r="C355" s="417" t="s">
        <v>334</v>
      </c>
      <c r="D355" s="418">
        <v>65940</v>
      </c>
      <c r="E355" s="419">
        <v>72910</v>
      </c>
      <c r="F355" s="418">
        <v>54080</v>
      </c>
      <c r="G355" s="419">
        <v>61050</v>
      </c>
      <c r="H355" s="420">
        <v>640</v>
      </c>
      <c r="I355" s="421">
        <v>700</v>
      </c>
      <c r="J355" s="422" t="s">
        <v>731</v>
      </c>
      <c r="K355" s="420">
        <v>520</v>
      </c>
      <c r="L355" s="421">
        <v>580</v>
      </c>
      <c r="M355" s="422" t="s">
        <v>287</v>
      </c>
      <c r="N355" s="423">
        <v>6970</v>
      </c>
      <c r="O355" s="424">
        <v>60</v>
      </c>
      <c r="P355" s="461"/>
      <c r="Q355" s="461"/>
      <c r="R355" s="1278">
        <v>4400</v>
      </c>
      <c r="S355" s="1281">
        <v>4800</v>
      </c>
      <c r="T355" s="426" t="s">
        <v>288</v>
      </c>
      <c r="U355" s="427">
        <v>9800</v>
      </c>
      <c r="V355" s="428">
        <v>10900</v>
      </c>
      <c r="W355" s="425">
        <v>10460</v>
      </c>
      <c r="X355" s="429">
        <v>100</v>
      </c>
      <c r="Y355" s="1284">
        <v>4500</v>
      </c>
      <c r="Z355" s="1301"/>
      <c r="AA355" s="445"/>
      <c r="AB355" s="1286">
        <v>12010</v>
      </c>
      <c r="AC355" s="1289">
        <v>120</v>
      </c>
      <c r="AD355" s="1292" t="s">
        <v>290</v>
      </c>
      <c r="AE355" s="1294" t="s">
        <v>290</v>
      </c>
      <c r="AF355" s="1294" t="s">
        <v>290</v>
      </c>
      <c r="AG355" s="1297" t="s">
        <v>290</v>
      </c>
      <c r="AH355" s="1269" t="s">
        <v>296</v>
      </c>
      <c r="AY355" s="89"/>
      <c r="AZ355" s="89"/>
      <c r="BA355" s="89"/>
      <c r="BB355" s="89"/>
      <c r="BC355" s="89"/>
      <c r="BD355" s="89"/>
      <c r="BE355" s="89"/>
      <c r="BF355" s="89"/>
      <c r="BG355" s="89"/>
      <c r="BH355" s="89"/>
      <c r="BI355" s="89"/>
      <c r="BJ355" s="89"/>
      <c r="BK355" s="89"/>
      <c r="BL355" s="89"/>
      <c r="BM355" s="89"/>
      <c r="BN355" s="89"/>
      <c r="BO355" s="89"/>
      <c r="BP355" s="89"/>
      <c r="BQ355" s="89"/>
      <c r="BR355" s="89"/>
      <c r="BS355" s="89"/>
      <c r="BT355" s="89"/>
      <c r="BU355" s="89"/>
      <c r="BV355" s="89"/>
      <c r="BW355" s="89"/>
      <c r="BX355" s="89"/>
      <c r="BY355" s="89"/>
      <c r="BZ355" s="89"/>
      <c r="CA355" s="89"/>
      <c r="CB355" s="89"/>
      <c r="CC355" s="89"/>
      <c r="CD355" s="89"/>
      <c r="CE355" s="89"/>
      <c r="CF355" s="89"/>
      <c r="CG355" s="89"/>
      <c r="CH355" s="89"/>
      <c r="CI355" s="89"/>
    </row>
    <row r="356" spans="1:87" ht="13.5" customHeight="1">
      <c r="A356" s="431" t="s">
        <v>323</v>
      </c>
      <c r="B356" s="432" t="s">
        <v>299</v>
      </c>
      <c r="C356" s="433" t="s">
        <v>336</v>
      </c>
      <c r="D356" s="434">
        <v>72910</v>
      </c>
      <c r="E356" s="435">
        <v>129780</v>
      </c>
      <c r="F356" s="434">
        <v>61050</v>
      </c>
      <c r="G356" s="435">
        <v>117920</v>
      </c>
      <c r="H356" s="436">
        <v>700</v>
      </c>
      <c r="I356" s="437">
        <v>1180</v>
      </c>
      <c r="J356" s="438" t="s">
        <v>731</v>
      </c>
      <c r="K356" s="436">
        <v>580</v>
      </c>
      <c r="L356" s="437">
        <v>1060</v>
      </c>
      <c r="M356" s="438" t="s">
        <v>287</v>
      </c>
      <c r="N356" s="439">
        <v>6970</v>
      </c>
      <c r="O356" s="440">
        <v>60</v>
      </c>
      <c r="P356" s="461"/>
      <c r="Q356" s="461"/>
      <c r="R356" s="1279"/>
      <c r="S356" s="1282"/>
      <c r="T356" s="393" t="s">
        <v>292</v>
      </c>
      <c r="U356" s="442">
        <v>5400</v>
      </c>
      <c r="V356" s="443">
        <v>6000</v>
      </c>
      <c r="W356" s="441">
        <v>10460</v>
      </c>
      <c r="X356" s="444">
        <v>100</v>
      </c>
      <c r="Y356" s="1285"/>
      <c r="Z356" s="1301"/>
      <c r="AA356" s="445"/>
      <c r="AB356" s="1287"/>
      <c r="AC356" s="1290"/>
      <c r="AD356" s="1293"/>
      <c r="AE356" s="1295"/>
      <c r="AF356" s="1295"/>
      <c r="AG356" s="1298"/>
      <c r="AH356" s="1270"/>
    </row>
    <row r="357" spans="1:87" ht="13.5" customHeight="1">
      <c r="A357" s="431" t="s">
        <v>323</v>
      </c>
      <c r="B357" s="432" t="s">
        <v>299</v>
      </c>
      <c r="C357" s="433" t="s">
        <v>337</v>
      </c>
      <c r="D357" s="434">
        <v>129780</v>
      </c>
      <c r="E357" s="435">
        <v>199560</v>
      </c>
      <c r="F357" s="434">
        <v>117920</v>
      </c>
      <c r="G357" s="435">
        <v>187700</v>
      </c>
      <c r="H357" s="436">
        <v>1180</v>
      </c>
      <c r="I357" s="437">
        <v>1880</v>
      </c>
      <c r="J357" s="438" t="s">
        <v>731</v>
      </c>
      <c r="K357" s="436">
        <v>1060</v>
      </c>
      <c r="L357" s="437">
        <v>1760</v>
      </c>
      <c r="M357" s="438" t="s">
        <v>287</v>
      </c>
      <c r="N357" s="446"/>
      <c r="O357" s="447"/>
      <c r="P357" s="461"/>
      <c r="Q357" s="461"/>
      <c r="R357" s="1279"/>
      <c r="S357" s="1282"/>
      <c r="T357" s="393" t="s">
        <v>293</v>
      </c>
      <c r="U357" s="442">
        <v>4700</v>
      </c>
      <c r="V357" s="443">
        <v>5200</v>
      </c>
      <c r="W357" s="441">
        <v>10460</v>
      </c>
      <c r="X357" s="444">
        <v>100</v>
      </c>
      <c r="Y357" s="448"/>
      <c r="Z357" s="1301"/>
      <c r="AA357" s="445"/>
      <c r="AB357" s="1287"/>
      <c r="AC357" s="1290"/>
      <c r="AD357" s="1271">
        <v>0.02</v>
      </c>
      <c r="AE357" s="1273">
        <v>0.03</v>
      </c>
      <c r="AF357" s="1273">
        <v>0.04</v>
      </c>
      <c r="AG357" s="1275">
        <v>0.06</v>
      </c>
      <c r="AH357" s="1277">
        <v>0.96</v>
      </c>
    </row>
    <row r="358" spans="1:87" ht="13.5" customHeight="1">
      <c r="A358" s="431" t="s">
        <v>323</v>
      </c>
      <c r="B358" s="449" t="s">
        <v>299</v>
      </c>
      <c r="C358" s="450" t="s">
        <v>338</v>
      </c>
      <c r="D358" s="451">
        <v>199560</v>
      </c>
      <c r="E358" s="452"/>
      <c r="F358" s="451">
        <v>187700</v>
      </c>
      <c r="G358" s="452"/>
      <c r="H358" s="439">
        <v>1880</v>
      </c>
      <c r="I358" s="453"/>
      <c r="J358" s="454" t="s">
        <v>731</v>
      </c>
      <c r="K358" s="439">
        <v>1760</v>
      </c>
      <c r="L358" s="453"/>
      <c r="M358" s="454" t="s">
        <v>287</v>
      </c>
      <c r="N358" s="446"/>
      <c r="O358" s="455"/>
      <c r="P358" s="461"/>
      <c r="Q358" s="461"/>
      <c r="R358" s="1280"/>
      <c r="S358" s="1283"/>
      <c r="T358" s="456" t="s">
        <v>294</v>
      </c>
      <c r="U358" s="457">
        <v>4200</v>
      </c>
      <c r="V358" s="458">
        <v>4600</v>
      </c>
      <c r="W358" s="459">
        <v>10460</v>
      </c>
      <c r="X358" s="460">
        <v>100</v>
      </c>
      <c r="Y358" s="448"/>
      <c r="Z358" s="1301"/>
      <c r="AA358" s="445"/>
      <c r="AB358" s="1288"/>
      <c r="AC358" s="1291"/>
      <c r="AD358" s="1272"/>
      <c r="AE358" s="1274"/>
      <c r="AF358" s="1274"/>
      <c r="AG358" s="1276"/>
      <c r="AH358" s="1277"/>
    </row>
    <row r="359" spans="1:87" ht="13.5" customHeight="1">
      <c r="A359" s="431" t="s">
        <v>323</v>
      </c>
      <c r="B359" s="416" t="s">
        <v>300</v>
      </c>
      <c r="C359" s="417" t="s">
        <v>334</v>
      </c>
      <c r="D359" s="418">
        <v>61690</v>
      </c>
      <c r="E359" s="419">
        <v>68660</v>
      </c>
      <c r="F359" s="418">
        <v>52200</v>
      </c>
      <c r="G359" s="419">
        <v>59170</v>
      </c>
      <c r="H359" s="420">
        <v>590</v>
      </c>
      <c r="I359" s="421">
        <v>650</v>
      </c>
      <c r="J359" s="422" t="s">
        <v>731</v>
      </c>
      <c r="K359" s="420">
        <v>500</v>
      </c>
      <c r="L359" s="421">
        <v>560</v>
      </c>
      <c r="M359" s="422" t="s">
        <v>287</v>
      </c>
      <c r="N359" s="423">
        <v>6970</v>
      </c>
      <c r="O359" s="424">
        <v>60</v>
      </c>
      <c r="P359" s="1300"/>
      <c r="Q359" s="1300"/>
      <c r="R359" s="1278">
        <v>4000</v>
      </c>
      <c r="S359" s="1281">
        <v>4400</v>
      </c>
      <c r="T359" s="426" t="s">
        <v>288</v>
      </c>
      <c r="U359" s="427">
        <v>8800</v>
      </c>
      <c r="V359" s="428">
        <v>9800</v>
      </c>
      <c r="W359" s="425">
        <v>8370</v>
      </c>
      <c r="X359" s="429">
        <v>80</v>
      </c>
      <c r="Y359" s="1284">
        <v>4500</v>
      </c>
      <c r="Z359" s="1301"/>
      <c r="AA359" s="445"/>
      <c r="AB359" s="1286">
        <v>9610</v>
      </c>
      <c r="AC359" s="1289">
        <v>90</v>
      </c>
      <c r="AD359" s="1292" t="s">
        <v>290</v>
      </c>
      <c r="AE359" s="1294" t="s">
        <v>290</v>
      </c>
      <c r="AF359" s="1294" t="s">
        <v>290</v>
      </c>
      <c r="AG359" s="1297" t="s">
        <v>290</v>
      </c>
      <c r="AH359" s="1269" t="s">
        <v>296</v>
      </c>
    </row>
    <row r="360" spans="1:87" ht="13.5" customHeight="1">
      <c r="A360" s="431" t="s">
        <v>323</v>
      </c>
      <c r="B360" s="432" t="s">
        <v>301</v>
      </c>
      <c r="C360" s="433" t="s">
        <v>336</v>
      </c>
      <c r="D360" s="434">
        <v>68660</v>
      </c>
      <c r="E360" s="435">
        <v>125530</v>
      </c>
      <c r="F360" s="434">
        <v>59170</v>
      </c>
      <c r="G360" s="435">
        <v>116040</v>
      </c>
      <c r="H360" s="436">
        <v>650</v>
      </c>
      <c r="I360" s="437">
        <v>1140</v>
      </c>
      <c r="J360" s="438" t="s">
        <v>731</v>
      </c>
      <c r="K360" s="436">
        <v>560</v>
      </c>
      <c r="L360" s="437">
        <v>1040</v>
      </c>
      <c r="M360" s="438" t="s">
        <v>287</v>
      </c>
      <c r="N360" s="439">
        <v>6970</v>
      </c>
      <c r="O360" s="440">
        <v>60</v>
      </c>
      <c r="P360" s="1300"/>
      <c r="Q360" s="1300"/>
      <c r="R360" s="1279"/>
      <c r="S360" s="1282"/>
      <c r="T360" s="393" t="s">
        <v>292</v>
      </c>
      <c r="U360" s="442">
        <v>4800</v>
      </c>
      <c r="V360" s="443">
        <v>5400</v>
      </c>
      <c r="W360" s="441">
        <v>8370</v>
      </c>
      <c r="X360" s="444">
        <v>80</v>
      </c>
      <c r="Y360" s="1285"/>
      <c r="Z360" s="1301"/>
      <c r="AA360" s="445"/>
      <c r="AB360" s="1287"/>
      <c r="AC360" s="1290"/>
      <c r="AD360" s="1293"/>
      <c r="AE360" s="1295"/>
      <c r="AF360" s="1295"/>
      <c r="AG360" s="1298"/>
      <c r="AH360" s="1270"/>
    </row>
    <row r="361" spans="1:87" ht="13.5" customHeight="1">
      <c r="A361" s="431" t="s">
        <v>323</v>
      </c>
      <c r="B361" s="432" t="s">
        <v>301</v>
      </c>
      <c r="C361" s="433" t="s">
        <v>337</v>
      </c>
      <c r="D361" s="434">
        <v>125530</v>
      </c>
      <c r="E361" s="435">
        <v>195310</v>
      </c>
      <c r="F361" s="434">
        <v>116040</v>
      </c>
      <c r="G361" s="435">
        <v>185820</v>
      </c>
      <c r="H361" s="436">
        <v>1140</v>
      </c>
      <c r="I361" s="437">
        <v>1840</v>
      </c>
      <c r="J361" s="438" t="s">
        <v>731</v>
      </c>
      <c r="K361" s="436">
        <v>1040</v>
      </c>
      <c r="L361" s="437">
        <v>1740</v>
      </c>
      <c r="M361" s="438" t="s">
        <v>287</v>
      </c>
      <c r="N361" s="446"/>
      <c r="O361" s="447"/>
      <c r="P361" s="1300"/>
      <c r="Q361" s="1300"/>
      <c r="R361" s="1279"/>
      <c r="S361" s="1282"/>
      <c r="T361" s="393" t="s">
        <v>293</v>
      </c>
      <c r="U361" s="442">
        <v>4200</v>
      </c>
      <c r="V361" s="443">
        <v>4700</v>
      </c>
      <c r="W361" s="441">
        <v>8370</v>
      </c>
      <c r="X361" s="444">
        <v>80</v>
      </c>
      <c r="Y361" s="448"/>
      <c r="Z361" s="1301"/>
      <c r="AA361" s="445"/>
      <c r="AB361" s="1287"/>
      <c r="AC361" s="1290"/>
      <c r="AD361" s="1271">
        <v>0.02</v>
      </c>
      <c r="AE361" s="1273">
        <v>0.03</v>
      </c>
      <c r="AF361" s="1273">
        <v>0.05</v>
      </c>
      <c r="AG361" s="1275">
        <v>0.06</v>
      </c>
      <c r="AH361" s="1277">
        <v>0.92</v>
      </c>
    </row>
    <row r="362" spans="1:87" ht="13.5" customHeight="1">
      <c r="A362" s="431" t="s">
        <v>323</v>
      </c>
      <c r="B362" s="449" t="s">
        <v>301</v>
      </c>
      <c r="C362" s="450" t="s">
        <v>338</v>
      </c>
      <c r="D362" s="451">
        <v>195310</v>
      </c>
      <c r="E362" s="452"/>
      <c r="F362" s="451">
        <v>185820</v>
      </c>
      <c r="G362" s="452"/>
      <c r="H362" s="439">
        <v>1840</v>
      </c>
      <c r="I362" s="453"/>
      <c r="J362" s="454" t="s">
        <v>731</v>
      </c>
      <c r="K362" s="439">
        <v>1740</v>
      </c>
      <c r="L362" s="453"/>
      <c r="M362" s="454" t="s">
        <v>287</v>
      </c>
      <c r="N362" s="446"/>
      <c r="O362" s="455"/>
      <c r="P362" s="441"/>
      <c r="Q362" s="441"/>
      <c r="R362" s="1280"/>
      <c r="S362" s="1283"/>
      <c r="T362" s="456" t="s">
        <v>294</v>
      </c>
      <c r="U362" s="457">
        <v>3800</v>
      </c>
      <c r="V362" s="458">
        <v>4200</v>
      </c>
      <c r="W362" s="459">
        <v>8370</v>
      </c>
      <c r="X362" s="460">
        <v>80</v>
      </c>
      <c r="Y362" s="448"/>
      <c r="Z362" s="1301"/>
      <c r="AA362" s="445"/>
      <c r="AB362" s="1288"/>
      <c r="AC362" s="1291"/>
      <c r="AD362" s="1272"/>
      <c r="AE362" s="1274"/>
      <c r="AF362" s="1274"/>
      <c r="AG362" s="1276"/>
      <c r="AH362" s="1277"/>
    </row>
    <row r="363" spans="1:87" ht="13.5" customHeight="1">
      <c r="A363" s="431" t="s">
        <v>323</v>
      </c>
      <c r="B363" s="416" t="s">
        <v>303</v>
      </c>
      <c r="C363" s="417" t="s">
        <v>334</v>
      </c>
      <c r="D363" s="418">
        <v>54060</v>
      </c>
      <c r="E363" s="419">
        <v>61030</v>
      </c>
      <c r="F363" s="418">
        <v>46160</v>
      </c>
      <c r="G363" s="419">
        <v>53130</v>
      </c>
      <c r="H363" s="420">
        <v>520</v>
      </c>
      <c r="I363" s="421">
        <v>580</v>
      </c>
      <c r="J363" s="422" t="s">
        <v>731</v>
      </c>
      <c r="K363" s="420">
        <v>440</v>
      </c>
      <c r="L363" s="421">
        <v>500</v>
      </c>
      <c r="M363" s="422" t="s">
        <v>287</v>
      </c>
      <c r="N363" s="423">
        <v>6970</v>
      </c>
      <c r="O363" s="424">
        <v>60</v>
      </c>
      <c r="P363" s="441"/>
      <c r="Q363" s="441"/>
      <c r="R363" s="1278">
        <v>3300</v>
      </c>
      <c r="S363" s="1281">
        <v>3600</v>
      </c>
      <c r="T363" s="426" t="s">
        <v>288</v>
      </c>
      <c r="U363" s="427">
        <v>7200</v>
      </c>
      <c r="V363" s="428">
        <v>8100</v>
      </c>
      <c r="W363" s="425">
        <v>6970</v>
      </c>
      <c r="X363" s="429">
        <v>60</v>
      </c>
      <c r="Y363" s="1284">
        <v>4500</v>
      </c>
      <c r="Z363" s="1301"/>
      <c r="AA363" s="445"/>
      <c r="AB363" s="1286">
        <v>8010</v>
      </c>
      <c r="AC363" s="1289">
        <v>80</v>
      </c>
      <c r="AD363" s="1292" t="s">
        <v>290</v>
      </c>
      <c r="AE363" s="1294" t="s">
        <v>290</v>
      </c>
      <c r="AF363" s="1294" t="s">
        <v>290</v>
      </c>
      <c r="AG363" s="1297" t="s">
        <v>290</v>
      </c>
      <c r="AH363" s="1269" t="s">
        <v>296</v>
      </c>
    </row>
    <row r="364" spans="1:87" ht="13.5" customHeight="1">
      <c r="A364" s="431" t="s">
        <v>323</v>
      </c>
      <c r="B364" s="431" t="s">
        <v>303</v>
      </c>
      <c r="C364" s="433" t="s">
        <v>336</v>
      </c>
      <c r="D364" s="434">
        <v>61030</v>
      </c>
      <c r="E364" s="435">
        <v>117900</v>
      </c>
      <c r="F364" s="434">
        <v>53130</v>
      </c>
      <c r="G364" s="435">
        <v>110000</v>
      </c>
      <c r="H364" s="436">
        <v>580</v>
      </c>
      <c r="I364" s="437">
        <v>1060</v>
      </c>
      <c r="J364" s="438" t="s">
        <v>731</v>
      </c>
      <c r="K364" s="436">
        <v>500</v>
      </c>
      <c r="L364" s="437">
        <v>980</v>
      </c>
      <c r="M364" s="438" t="s">
        <v>287</v>
      </c>
      <c r="N364" s="439">
        <v>6970</v>
      </c>
      <c r="O364" s="440">
        <v>60</v>
      </c>
      <c r="P364" s="462"/>
      <c r="Q364" s="462"/>
      <c r="R364" s="1279"/>
      <c r="S364" s="1282"/>
      <c r="T364" s="393" t="s">
        <v>292</v>
      </c>
      <c r="U364" s="442">
        <v>4000</v>
      </c>
      <c r="V364" s="443">
        <v>4400</v>
      </c>
      <c r="W364" s="441">
        <v>6970</v>
      </c>
      <c r="X364" s="444">
        <v>60</v>
      </c>
      <c r="Y364" s="1285"/>
      <c r="Z364" s="1301"/>
      <c r="AA364" s="445"/>
      <c r="AB364" s="1287"/>
      <c r="AC364" s="1290"/>
      <c r="AD364" s="1293"/>
      <c r="AE364" s="1295"/>
      <c r="AF364" s="1295"/>
      <c r="AG364" s="1298"/>
      <c r="AH364" s="1270"/>
    </row>
    <row r="365" spans="1:87" ht="13.5" customHeight="1">
      <c r="A365" s="431" t="s">
        <v>323</v>
      </c>
      <c r="B365" s="431" t="s">
        <v>303</v>
      </c>
      <c r="C365" s="433" t="s">
        <v>337</v>
      </c>
      <c r="D365" s="434">
        <v>117900</v>
      </c>
      <c r="E365" s="435">
        <v>187680</v>
      </c>
      <c r="F365" s="434">
        <v>110000</v>
      </c>
      <c r="G365" s="435">
        <v>179780</v>
      </c>
      <c r="H365" s="436">
        <v>1060</v>
      </c>
      <c r="I365" s="437">
        <v>1760</v>
      </c>
      <c r="J365" s="438" t="s">
        <v>731</v>
      </c>
      <c r="K365" s="436">
        <v>980</v>
      </c>
      <c r="L365" s="437">
        <v>1680</v>
      </c>
      <c r="M365" s="438" t="s">
        <v>287</v>
      </c>
      <c r="N365" s="446"/>
      <c r="O365" s="447"/>
      <c r="P365" s="441"/>
      <c r="Q365" s="441"/>
      <c r="R365" s="1279"/>
      <c r="S365" s="1282"/>
      <c r="T365" s="393" t="s">
        <v>293</v>
      </c>
      <c r="U365" s="442">
        <v>3500</v>
      </c>
      <c r="V365" s="443">
        <v>3800</v>
      </c>
      <c r="W365" s="441">
        <v>6970</v>
      </c>
      <c r="X365" s="444">
        <v>60</v>
      </c>
      <c r="Y365" s="448"/>
      <c r="Z365" s="1301"/>
      <c r="AA365" s="445"/>
      <c r="AB365" s="1287"/>
      <c r="AC365" s="1290"/>
      <c r="AD365" s="1271">
        <v>0.02</v>
      </c>
      <c r="AE365" s="1273">
        <v>0.03</v>
      </c>
      <c r="AF365" s="1273">
        <v>0.05</v>
      </c>
      <c r="AG365" s="1275">
        <v>0.06</v>
      </c>
      <c r="AH365" s="1277">
        <v>0.9</v>
      </c>
    </row>
    <row r="366" spans="1:87" ht="13.5" customHeight="1">
      <c r="A366" s="431" t="s">
        <v>323</v>
      </c>
      <c r="B366" s="463" t="s">
        <v>303</v>
      </c>
      <c r="C366" s="450" t="s">
        <v>338</v>
      </c>
      <c r="D366" s="451">
        <v>187680</v>
      </c>
      <c r="E366" s="452"/>
      <c r="F366" s="451">
        <v>179780</v>
      </c>
      <c r="G366" s="452"/>
      <c r="H366" s="439">
        <v>1760</v>
      </c>
      <c r="I366" s="453"/>
      <c r="J366" s="454" t="s">
        <v>731</v>
      </c>
      <c r="K366" s="439">
        <v>1680</v>
      </c>
      <c r="L366" s="453"/>
      <c r="M366" s="454" t="s">
        <v>287</v>
      </c>
      <c r="N366" s="446"/>
      <c r="O366" s="455"/>
      <c r="P366" s="441"/>
      <c r="Q366" s="441"/>
      <c r="R366" s="1280"/>
      <c r="S366" s="1283"/>
      <c r="T366" s="456" t="s">
        <v>294</v>
      </c>
      <c r="U366" s="457">
        <v>3100</v>
      </c>
      <c r="V366" s="458">
        <v>3400</v>
      </c>
      <c r="W366" s="459">
        <v>6970</v>
      </c>
      <c r="X366" s="460">
        <v>60</v>
      </c>
      <c r="Y366" s="448"/>
      <c r="Z366" s="1301"/>
      <c r="AA366" s="445"/>
      <c r="AB366" s="1288"/>
      <c r="AC366" s="1291"/>
      <c r="AD366" s="1272"/>
      <c r="AE366" s="1274"/>
      <c r="AF366" s="1274"/>
      <c r="AG366" s="1276"/>
      <c r="AH366" s="1277"/>
    </row>
    <row r="367" spans="1:87" ht="13.5" customHeight="1">
      <c r="A367" s="431" t="s">
        <v>323</v>
      </c>
      <c r="B367" s="416" t="s">
        <v>304</v>
      </c>
      <c r="C367" s="417" t="s">
        <v>334</v>
      </c>
      <c r="D367" s="418">
        <v>48690</v>
      </c>
      <c r="E367" s="419">
        <v>55660</v>
      </c>
      <c r="F367" s="418">
        <v>41920</v>
      </c>
      <c r="G367" s="419">
        <v>48890</v>
      </c>
      <c r="H367" s="420">
        <v>460</v>
      </c>
      <c r="I367" s="421">
        <v>520</v>
      </c>
      <c r="J367" s="422" t="s">
        <v>731</v>
      </c>
      <c r="K367" s="420">
        <v>400</v>
      </c>
      <c r="L367" s="421">
        <v>460</v>
      </c>
      <c r="M367" s="422" t="s">
        <v>287</v>
      </c>
      <c r="N367" s="423">
        <v>6970</v>
      </c>
      <c r="O367" s="424">
        <v>60</v>
      </c>
      <c r="P367" s="462"/>
      <c r="Q367" s="462"/>
      <c r="R367" s="1278">
        <v>2800</v>
      </c>
      <c r="S367" s="1281">
        <v>3100</v>
      </c>
      <c r="T367" s="426" t="s">
        <v>288</v>
      </c>
      <c r="U367" s="427">
        <v>6300</v>
      </c>
      <c r="V367" s="428">
        <v>7100</v>
      </c>
      <c r="W367" s="425">
        <v>5980</v>
      </c>
      <c r="X367" s="429">
        <v>50</v>
      </c>
      <c r="Y367" s="1284">
        <v>4500</v>
      </c>
      <c r="Z367" s="1301"/>
      <c r="AA367" s="445"/>
      <c r="AB367" s="1286">
        <v>6860</v>
      </c>
      <c r="AC367" s="1289">
        <v>60</v>
      </c>
      <c r="AD367" s="1292" t="s">
        <v>290</v>
      </c>
      <c r="AE367" s="1294" t="s">
        <v>290</v>
      </c>
      <c r="AF367" s="1294" t="s">
        <v>290</v>
      </c>
      <c r="AG367" s="1297" t="s">
        <v>290</v>
      </c>
      <c r="AH367" s="1269" t="s">
        <v>296</v>
      </c>
    </row>
    <row r="368" spans="1:87" ht="13.5" customHeight="1">
      <c r="A368" s="431" t="s">
        <v>323</v>
      </c>
      <c r="B368" s="432" t="s">
        <v>304</v>
      </c>
      <c r="C368" s="433" t="s">
        <v>336</v>
      </c>
      <c r="D368" s="434">
        <v>55660</v>
      </c>
      <c r="E368" s="435">
        <v>112530</v>
      </c>
      <c r="F368" s="434">
        <v>48890</v>
      </c>
      <c r="G368" s="435">
        <v>105760</v>
      </c>
      <c r="H368" s="436">
        <v>520</v>
      </c>
      <c r="I368" s="437">
        <v>1010</v>
      </c>
      <c r="J368" s="438" t="s">
        <v>731</v>
      </c>
      <c r="K368" s="436">
        <v>460</v>
      </c>
      <c r="L368" s="437">
        <v>940</v>
      </c>
      <c r="M368" s="438" t="s">
        <v>287</v>
      </c>
      <c r="N368" s="439">
        <v>6970</v>
      </c>
      <c r="O368" s="440">
        <v>60</v>
      </c>
      <c r="P368" s="441"/>
      <c r="Q368" s="441"/>
      <c r="R368" s="1279"/>
      <c r="S368" s="1282"/>
      <c r="T368" s="393" t="s">
        <v>292</v>
      </c>
      <c r="U368" s="442">
        <v>3500</v>
      </c>
      <c r="V368" s="443">
        <v>3900</v>
      </c>
      <c r="W368" s="441">
        <v>5980</v>
      </c>
      <c r="X368" s="444">
        <v>50</v>
      </c>
      <c r="Y368" s="1285"/>
      <c r="Z368" s="1301"/>
      <c r="AA368" s="445"/>
      <c r="AB368" s="1287"/>
      <c r="AC368" s="1290"/>
      <c r="AD368" s="1293"/>
      <c r="AE368" s="1295"/>
      <c r="AF368" s="1295"/>
      <c r="AG368" s="1298"/>
      <c r="AH368" s="1270"/>
    </row>
    <row r="369" spans="1:34" ht="13.5" customHeight="1">
      <c r="A369" s="431" t="s">
        <v>323</v>
      </c>
      <c r="B369" s="432" t="s">
        <v>304</v>
      </c>
      <c r="C369" s="433" t="s">
        <v>337</v>
      </c>
      <c r="D369" s="434">
        <v>112530</v>
      </c>
      <c r="E369" s="435">
        <v>182310</v>
      </c>
      <c r="F369" s="434">
        <v>105760</v>
      </c>
      <c r="G369" s="435">
        <v>175540</v>
      </c>
      <c r="H369" s="436">
        <v>1010</v>
      </c>
      <c r="I369" s="437">
        <v>1710</v>
      </c>
      <c r="J369" s="438" t="s">
        <v>731</v>
      </c>
      <c r="K369" s="436">
        <v>940</v>
      </c>
      <c r="L369" s="437">
        <v>1640</v>
      </c>
      <c r="M369" s="438" t="s">
        <v>287</v>
      </c>
      <c r="N369" s="446"/>
      <c r="O369" s="447"/>
      <c r="P369" s="441"/>
      <c r="Q369" s="441"/>
      <c r="R369" s="1279"/>
      <c r="S369" s="1282"/>
      <c r="T369" s="393" t="s">
        <v>293</v>
      </c>
      <c r="U369" s="442">
        <v>3000</v>
      </c>
      <c r="V369" s="443">
        <v>3400</v>
      </c>
      <c r="W369" s="441">
        <v>5980</v>
      </c>
      <c r="X369" s="444">
        <v>50</v>
      </c>
      <c r="Y369" s="448"/>
      <c r="Z369" s="1301"/>
      <c r="AA369" s="445"/>
      <c r="AB369" s="1287"/>
      <c r="AC369" s="1290"/>
      <c r="AD369" s="1271">
        <v>0.02</v>
      </c>
      <c r="AE369" s="1273">
        <v>0.03</v>
      </c>
      <c r="AF369" s="1273">
        <v>0.05</v>
      </c>
      <c r="AG369" s="1275">
        <v>0.06</v>
      </c>
      <c r="AH369" s="1277">
        <v>0.92</v>
      </c>
    </row>
    <row r="370" spans="1:34" ht="13.5" customHeight="1">
      <c r="A370" s="431" t="s">
        <v>323</v>
      </c>
      <c r="B370" s="449" t="s">
        <v>304</v>
      </c>
      <c r="C370" s="450" t="s">
        <v>338</v>
      </c>
      <c r="D370" s="451">
        <v>182310</v>
      </c>
      <c r="E370" s="452"/>
      <c r="F370" s="451">
        <v>175540</v>
      </c>
      <c r="G370" s="452"/>
      <c r="H370" s="439">
        <v>1710</v>
      </c>
      <c r="I370" s="453"/>
      <c r="J370" s="454" t="s">
        <v>731</v>
      </c>
      <c r="K370" s="439">
        <v>1640</v>
      </c>
      <c r="L370" s="453"/>
      <c r="M370" s="454" t="s">
        <v>287</v>
      </c>
      <c r="N370" s="446"/>
      <c r="O370" s="455"/>
      <c r="P370" s="462"/>
      <c r="Q370" s="462"/>
      <c r="R370" s="1280"/>
      <c r="S370" s="1283"/>
      <c r="T370" s="456" t="s">
        <v>294</v>
      </c>
      <c r="U370" s="457">
        <v>2700</v>
      </c>
      <c r="V370" s="458">
        <v>3000</v>
      </c>
      <c r="W370" s="459">
        <v>5980</v>
      </c>
      <c r="X370" s="460">
        <v>50</v>
      </c>
      <c r="Y370" s="448"/>
      <c r="Z370" s="1301"/>
      <c r="AA370" s="445"/>
      <c r="AB370" s="1288"/>
      <c r="AC370" s="1291"/>
      <c r="AD370" s="1272"/>
      <c r="AE370" s="1274"/>
      <c r="AF370" s="1274"/>
      <c r="AG370" s="1276"/>
      <c r="AH370" s="1277"/>
    </row>
    <row r="371" spans="1:34" ht="13.5" customHeight="1">
      <c r="A371" s="431" t="s">
        <v>323</v>
      </c>
      <c r="B371" s="416" t="s">
        <v>305</v>
      </c>
      <c r="C371" s="417" t="s">
        <v>334</v>
      </c>
      <c r="D371" s="418">
        <v>44720</v>
      </c>
      <c r="E371" s="419">
        <v>51690</v>
      </c>
      <c r="F371" s="418">
        <v>38790</v>
      </c>
      <c r="G371" s="419">
        <v>45760</v>
      </c>
      <c r="H371" s="420">
        <v>420</v>
      </c>
      <c r="I371" s="421">
        <v>480</v>
      </c>
      <c r="J371" s="422" t="s">
        <v>731</v>
      </c>
      <c r="K371" s="420">
        <v>360</v>
      </c>
      <c r="L371" s="421">
        <v>420</v>
      </c>
      <c r="M371" s="422" t="s">
        <v>287</v>
      </c>
      <c r="N371" s="423">
        <v>6970</v>
      </c>
      <c r="O371" s="424">
        <v>60</v>
      </c>
      <c r="P371" s="441"/>
      <c r="Q371" s="441"/>
      <c r="R371" s="1278">
        <v>3200</v>
      </c>
      <c r="S371" s="1281">
        <v>3600</v>
      </c>
      <c r="T371" s="426" t="s">
        <v>288</v>
      </c>
      <c r="U371" s="427">
        <v>7100</v>
      </c>
      <c r="V371" s="428">
        <v>7900</v>
      </c>
      <c r="W371" s="425">
        <v>5230</v>
      </c>
      <c r="X371" s="429">
        <v>50</v>
      </c>
      <c r="Y371" s="1284">
        <v>4500</v>
      </c>
      <c r="Z371" s="1301"/>
      <c r="AA371" s="445"/>
      <c r="AB371" s="1286">
        <v>6000</v>
      </c>
      <c r="AC371" s="1289">
        <v>60</v>
      </c>
      <c r="AD371" s="1292" t="s">
        <v>290</v>
      </c>
      <c r="AE371" s="1294" t="s">
        <v>290</v>
      </c>
      <c r="AF371" s="1294" t="s">
        <v>290</v>
      </c>
      <c r="AG371" s="1297" t="s">
        <v>290</v>
      </c>
      <c r="AH371" s="1269" t="s">
        <v>296</v>
      </c>
    </row>
    <row r="372" spans="1:34" ht="13.5" customHeight="1">
      <c r="A372" s="431" t="s">
        <v>323</v>
      </c>
      <c r="B372" s="432" t="s">
        <v>305</v>
      </c>
      <c r="C372" s="433" t="s">
        <v>336</v>
      </c>
      <c r="D372" s="434">
        <v>51690</v>
      </c>
      <c r="E372" s="435">
        <v>108560</v>
      </c>
      <c r="F372" s="434">
        <v>45760</v>
      </c>
      <c r="G372" s="435">
        <v>102630</v>
      </c>
      <c r="H372" s="436">
        <v>480</v>
      </c>
      <c r="I372" s="437">
        <v>970</v>
      </c>
      <c r="J372" s="438" t="s">
        <v>731</v>
      </c>
      <c r="K372" s="436">
        <v>420</v>
      </c>
      <c r="L372" s="437">
        <v>910</v>
      </c>
      <c r="M372" s="438" t="s">
        <v>287</v>
      </c>
      <c r="N372" s="439">
        <v>6970</v>
      </c>
      <c r="O372" s="440">
        <v>60</v>
      </c>
      <c r="P372" s="441"/>
      <c r="Q372" s="441"/>
      <c r="R372" s="1279"/>
      <c r="S372" s="1282"/>
      <c r="T372" s="393" t="s">
        <v>292</v>
      </c>
      <c r="U372" s="442">
        <v>3900</v>
      </c>
      <c r="V372" s="443">
        <v>4300</v>
      </c>
      <c r="W372" s="441">
        <v>5230</v>
      </c>
      <c r="X372" s="444">
        <v>50</v>
      </c>
      <c r="Y372" s="1285"/>
      <c r="Z372" s="1301"/>
      <c r="AA372" s="445"/>
      <c r="AB372" s="1287"/>
      <c r="AC372" s="1290"/>
      <c r="AD372" s="1293"/>
      <c r="AE372" s="1295"/>
      <c r="AF372" s="1295"/>
      <c r="AG372" s="1298"/>
      <c r="AH372" s="1270"/>
    </row>
    <row r="373" spans="1:34" ht="13.5" customHeight="1">
      <c r="A373" s="431" t="s">
        <v>323</v>
      </c>
      <c r="B373" s="432" t="s">
        <v>305</v>
      </c>
      <c r="C373" s="433" t="s">
        <v>337</v>
      </c>
      <c r="D373" s="434">
        <v>108560</v>
      </c>
      <c r="E373" s="435">
        <v>178340</v>
      </c>
      <c r="F373" s="434">
        <v>102630</v>
      </c>
      <c r="G373" s="435">
        <v>172410</v>
      </c>
      <c r="H373" s="436">
        <v>970</v>
      </c>
      <c r="I373" s="437">
        <v>1670</v>
      </c>
      <c r="J373" s="438" t="s">
        <v>731</v>
      </c>
      <c r="K373" s="436">
        <v>910</v>
      </c>
      <c r="L373" s="437">
        <v>1610</v>
      </c>
      <c r="M373" s="438" t="s">
        <v>287</v>
      </c>
      <c r="N373" s="446"/>
      <c r="O373" s="447"/>
      <c r="P373" s="462"/>
      <c r="Q373" s="462"/>
      <c r="R373" s="1279"/>
      <c r="S373" s="1282"/>
      <c r="T373" s="393" t="s">
        <v>293</v>
      </c>
      <c r="U373" s="442">
        <v>3400</v>
      </c>
      <c r="V373" s="443">
        <v>3800</v>
      </c>
      <c r="W373" s="441">
        <v>5230</v>
      </c>
      <c r="X373" s="444">
        <v>50</v>
      </c>
      <c r="Y373" s="448"/>
      <c r="Z373" s="1301"/>
      <c r="AA373" s="462"/>
      <c r="AB373" s="1287"/>
      <c r="AC373" s="1290"/>
      <c r="AD373" s="1271">
        <v>0.02</v>
      </c>
      <c r="AE373" s="1273">
        <v>0.03</v>
      </c>
      <c r="AF373" s="1273">
        <v>0.05</v>
      </c>
      <c r="AG373" s="1275">
        <v>0.06</v>
      </c>
      <c r="AH373" s="1277">
        <v>0.89</v>
      </c>
    </row>
    <row r="374" spans="1:34" ht="13.5" customHeight="1">
      <c r="A374" s="431" t="s">
        <v>323</v>
      </c>
      <c r="B374" s="449" t="s">
        <v>305</v>
      </c>
      <c r="C374" s="450" t="s">
        <v>338</v>
      </c>
      <c r="D374" s="451">
        <v>178340</v>
      </c>
      <c r="E374" s="452"/>
      <c r="F374" s="451">
        <v>172410</v>
      </c>
      <c r="G374" s="452"/>
      <c r="H374" s="439">
        <v>1670</v>
      </c>
      <c r="I374" s="453"/>
      <c r="J374" s="454" t="s">
        <v>731</v>
      </c>
      <c r="K374" s="439">
        <v>1610</v>
      </c>
      <c r="L374" s="453"/>
      <c r="M374" s="454" t="s">
        <v>287</v>
      </c>
      <c r="N374" s="446"/>
      <c r="O374" s="455"/>
      <c r="P374" s="441"/>
      <c r="Q374" s="441"/>
      <c r="R374" s="1280"/>
      <c r="S374" s="1283"/>
      <c r="T374" s="456" t="s">
        <v>294</v>
      </c>
      <c r="U374" s="457">
        <v>3000</v>
      </c>
      <c r="V374" s="458">
        <v>3400</v>
      </c>
      <c r="W374" s="459">
        <v>5230</v>
      </c>
      <c r="X374" s="460">
        <v>50</v>
      </c>
      <c r="Y374" s="448"/>
      <c r="Z374" s="1301"/>
      <c r="AA374" s="462"/>
      <c r="AB374" s="1288"/>
      <c r="AC374" s="1291"/>
      <c r="AD374" s="1272"/>
      <c r="AE374" s="1274"/>
      <c r="AF374" s="1274"/>
      <c r="AG374" s="1276"/>
      <c r="AH374" s="1277"/>
    </row>
    <row r="375" spans="1:34" ht="13.5" customHeight="1">
      <c r="A375" s="431" t="s">
        <v>323</v>
      </c>
      <c r="B375" s="416" t="s">
        <v>306</v>
      </c>
      <c r="C375" s="417" t="s">
        <v>334</v>
      </c>
      <c r="D375" s="418">
        <v>41580</v>
      </c>
      <c r="E375" s="419">
        <v>48550</v>
      </c>
      <c r="F375" s="418">
        <v>36310</v>
      </c>
      <c r="G375" s="419">
        <v>43280</v>
      </c>
      <c r="H375" s="420">
        <v>390</v>
      </c>
      <c r="I375" s="421">
        <v>450</v>
      </c>
      <c r="J375" s="422" t="s">
        <v>731</v>
      </c>
      <c r="K375" s="420">
        <v>340</v>
      </c>
      <c r="L375" s="421">
        <v>400</v>
      </c>
      <c r="M375" s="422" t="s">
        <v>287</v>
      </c>
      <c r="N375" s="423">
        <v>6970</v>
      </c>
      <c r="O375" s="424">
        <v>60</v>
      </c>
      <c r="P375" s="441"/>
      <c r="Q375" s="441"/>
      <c r="R375" s="1278">
        <v>2900</v>
      </c>
      <c r="S375" s="1281">
        <v>3200</v>
      </c>
      <c r="T375" s="426" t="s">
        <v>288</v>
      </c>
      <c r="U375" s="427">
        <v>6300</v>
      </c>
      <c r="V375" s="428">
        <v>7100</v>
      </c>
      <c r="W375" s="425">
        <v>4650</v>
      </c>
      <c r="X375" s="429">
        <v>40</v>
      </c>
      <c r="Y375" s="1284">
        <v>4500</v>
      </c>
      <c r="Z375" s="1301"/>
      <c r="AA375" s="462"/>
      <c r="AB375" s="1286">
        <v>5340</v>
      </c>
      <c r="AC375" s="1289">
        <v>50</v>
      </c>
      <c r="AD375" s="1292" t="s">
        <v>290</v>
      </c>
      <c r="AE375" s="1294" t="s">
        <v>290</v>
      </c>
      <c r="AF375" s="1294" t="s">
        <v>290</v>
      </c>
      <c r="AG375" s="1297" t="s">
        <v>290</v>
      </c>
      <c r="AH375" s="1269" t="s">
        <v>296</v>
      </c>
    </row>
    <row r="376" spans="1:34" ht="13.5" customHeight="1">
      <c r="A376" s="431" t="s">
        <v>323</v>
      </c>
      <c r="B376" s="432" t="s">
        <v>306</v>
      </c>
      <c r="C376" s="433" t="s">
        <v>336</v>
      </c>
      <c r="D376" s="434">
        <v>48550</v>
      </c>
      <c r="E376" s="435">
        <v>105420</v>
      </c>
      <c r="F376" s="434">
        <v>43280</v>
      </c>
      <c r="G376" s="435">
        <v>100150</v>
      </c>
      <c r="H376" s="436">
        <v>450</v>
      </c>
      <c r="I376" s="437">
        <v>940</v>
      </c>
      <c r="J376" s="438" t="s">
        <v>731</v>
      </c>
      <c r="K376" s="436">
        <v>400</v>
      </c>
      <c r="L376" s="437">
        <v>880</v>
      </c>
      <c r="M376" s="438" t="s">
        <v>287</v>
      </c>
      <c r="N376" s="439">
        <v>6970</v>
      </c>
      <c r="O376" s="440">
        <v>60</v>
      </c>
      <c r="P376" s="462"/>
      <c r="Q376" s="462"/>
      <c r="R376" s="1279"/>
      <c r="S376" s="1282"/>
      <c r="T376" s="393" t="s">
        <v>292</v>
      </c>
      <c r="U376" s="442">
        <v>3500</v>
      </c>
      <c r="V376" s="443">
        <v>3900</v>
      </c>
      <c r="W376" s="441">
        <v>4650</v>
      </c>
      <c r="X376" s="444">
        <v>40</v>
      </c>
      <c r="Y376" s="1285"/>
      <c r="Z376" s="1301"/>
      <c r="AA376" s="462"/>
      <c r="AB376" s="1287"/>
      <c r="AC376" s="1290"/>
      <c r="AD376" s="1293"/>
      <c r="AE376" s="1295"/>
      <c r="AF376" s="1295"/>
      <c r="AG376" s="1298"/>
      <c r="AH376" s="1270"/>
    </row>
    <row r="377" spans="1:34" ht="13.5" customHeight="1">
      <c r="A377" s="431" t="s">
        <v>323</v>
      </c>
      <c r="B377" s="432" t="s">
        <v>306</v>
      </c>
      <c r="C377" s="433" t="s">
        <v>337</v>
      </c>
      <c r="D377" s="434">
        <v>105420</v>
      </c>
      <c r="E377" s="435">
        <v>175200</v>
      </c>
      <c r="F377" s="434">
        <v>100150</v>
      </c>
      <c r="G377" s="435">
        <v>169930</v>
      </c>
      <c r="H377" s="436">
        <v>940</v>
      </c>
      <c r="I377" s="437">
        <v>1640</v>
      </c>
      <c r="J377" s="438" t="s">
        <v>731</v>
      </c>
      <c r="K377" s="436">
        <v>880</v>
      </c>
      <c r="L377" s="437">
        <v>1580</v>
      </c>
      <c r="M377" s="438" t="s">
        <v>287</v>
      </c>
      <c r="N377" s="446"/>
      <c r="O377" s="447"/>
      <c r="P377" s="441"/>
      <c r="Q377" s="441"/>
      <c r="R377" s="1279"/>
      <c r="S377" s="1282"/>
      <c r="T377" s="393" t="s">
        <v>293</v>
      </c>
      <c r="U377" s="442">
        <v>3000</v>
      </c>
      <c r="V377" s="443">
        <v>3400</v>
      </c>
      <c r="W377" s="441">
        <v>4650</v>
      </c>
      <c r="X377" s="444">
        <v>40</v>
      </c>
      <c r="Y377" s="448"/>
      <c r="Z377" s="1301"/>
      <c r="AA377" s="464"/>
      <c r="AB377" s="1287"/>
      <c r="AC377" s="1290"/>
      <c r="AD377" s="1271">
        <v>0.02</v>
      </c>
      <c r="AE377" s="1273">
        <v>0.03</v>
      </c>
      <c r="AF377" s="1273">
        <v>0.05</v>
      </c>
      <c r="AG377" s="1275">
        <v>0.06</v>
      </c>
      <c r="AH377" s="1277">
        <v>0.91</v>
      </c>
    </row>
    <row r="378" spans="1:34" ht="13.5" customHeight="1">
      <c r="A378" s="431" t="s">
        <v>323</v>
      </c>
      <c r="B378" s="449" t="s">
        <v>306</v>
      </c>
      <c r="C378" s="450" t="s">
        <v>338</v>
      </c>
      <c r="D378" s="451">
        <v>175200</v>
      </c>
      <c r="E378" s="452"/>
      <c r="F378" s="451">
        <v>169930</v>
      </c>
      <c r="G378" s="452"/>
      <c r="H378" s="439">
        <v>1640</v>
      </c>
      <c r="I378" s="453"/>
      <c r="J378" s="454" t="s">
        <v>731</v>
      </c>
      <c r="K378" s="439">
        <v>1580</v>
      </c>
      <c r="L378" s="453"/>
      <c r="M378" s="454" t="s">
        <v>287</v>
      </c>
      <c r="N378" s="446"/>
      <c r="O378" s="455"/>
      <c r="P378" s="441"/>
      <c r="Q378" s="441"/>
      <c r="R378" s="1280"/>
      <c r="S378" s="1283"/>
      <c r="T378" s="456" t="s">
        <v>294</v>
      </c>
      <c r="U378" s="457">
        <v>2700</v>
      </c>
      <c r="V378" s="458">
        <v>3000</v>
      </c>
      <c r="W378" s="459">
        <v>4650</v>
      </c>
      <c r="X378" s="460">
        <v>40</v>
      </c>
      <c r="Y378" s="448"/>
      <c r="Z378" s="1301"/>
      <c r="AA378" s="464"/>
      <c r="AB378" s="1288"/>
      <c r="AC378" s="1291"/>
      <c r="AD378" s="1272"/>
      <c r="AE378" s="1274"/>
      <c r="AF378" s="1274"/>
      <c r="AG378" s="1276"/>
      <c r="AH378" s="1277"/>
    </row>
    <row r="379" spans="1:34" ht="13.5" customHeight="1">
      <c r="A379" s="431" t="s">
        <v>323</v>
      </c>
      <c r="B379" s="416" t="s">
        <v>307</v>
      </c>
      <c r="C379" s="417" t="s">
        <v>334</v>
      </c>
      <c r="D379" s="418">
        <v>36060</v>
      </c>
      <c r="E379" s="419">
        <v>43030</v>
      </c>
      <c r="F379" s="418">
        <v>31320</v>
      </c>
      <c r="G379" s="419">
        <v>38290</v>
      </c>
      <c r="H379" s="420">
        <v>340</v>
      </c>
      <c r="I379" s="421">
        <v>400</v>
      </c>
      <c r="J379" s="422" t="s">
        <v>731</v>
      </c>
      <c r="K379" s="420">
        <v>290</v>
      </c>
      <c r="L379" s="421">
        <v>350</v>
      </c>
      <c r="M379" s="422" t="s">
        <v>287</v>
      </c>
      <c r="N379" s="423">
        <v>6970</v>
      </c>
      <c r="O379" s="424">
        <v>60</v>
      </c>
      <c r="P379" s="462"/>
      <c r="Q379" s="462"/>
      <c r="R379" s="1278">
        <v>2600</v>
      </c>
      <c r="S379" s="1281">
        <v>2800</v>
      </c>
      <c r="T379" s="426" t="s">
        <v>288</v>
      </c>
      <c r="U379" s="427">
        <v>5500</v>
      </c>
      <c r="V379" s="428">
        <v>6200</v>
      </c>
      <c r="W379" s="425">
        <v>4180</v>
      </c>
      <c r="X379" s="429">
        <v>40</v>
      </c>
      <c r="Y379" s="1284">
        <v>4500</v>
      </c>
      <c r="Z379" s="1301"/>
      <c r="AA379" s="1300" t="s">
        <v>319</v>
      </c>
      <c r="AB379" s="1286">
        <v>4800</v>
      </c>
      <c r="AC379" s="1289">
        <v>40</v>
      </c>
      <c r="AD379" s="1292" t="s">
        <v>290</v>
      </c>
      <c r="AE379" s="1294" t="s">
        <v>290</v>
      </c>
      <c r="AF379" s="1294" t="s">
        <v>290</v>
      </c>
      <c r="AG379" s="1297" t="s">
        <v>290</v>
      </c>
      <c r="AH379" s="1269" t="s">
        <v>296</v>
      </c>
    </row>
    <row r="380" spans="1:34" ht="13.5" customHeight="1">
      <c r="A380" s="431" t="s">
        <v>323</v>
      </c>
      <c r="B380" s="432" t="s">
        <v>307</v>
      </c>
      <c r="C380" s="433" t="s">
        <v>336</v>
      </c>
      <c r="D380" s="434">
        <v>43030</v>
      </c>
      <c r="E380" s="435">
        <v>99900</v>
      </c>
      <c r="F380" s="434">
        <v>38290</v>
      </c>
      <c r="G380" s="435">
        <v>95160</v>
      </c>
      <c r="H380" s="436">
        <v>400</v>
      </c>
      <c r="I380" s="437">
        <v>880</v>
      </c>
      <c r="J380" s="438" t="s">
        <v>731</v>
      </c>
      <c r="K380" s="436">
        <v>350</v>
      </c>
      <c r="L380" s="437">
        <v>830</v>
      </c>
      <c r="M380" s="438" t="s">
        <v>287</v>
      </c>
      <c r="N380" s="439">
        <v>6970</v>
      </c>
      <c r="O380" s="440">
        <v>60</v>
      </c>
      <c r="P380" s="441"/>
      <c r="Q380" s="441"/>
      <c r="R380" s="1279"/>
      <c r="S380" s="1282"/>
      <c r="T380" s="393" t="s">
        <v>292</v>
      </c>
      <c r="U380" s="442">
        <v>3000</v>
      </c>
      <c r="V380" s="443">
        <v>3400</v>
      </c>
      <c r="W380" s="441">
        <v>4180</v>
      </c>
      <c r="X380" s="444">
        <v>40</v>
      </c>
      <c r="Y380" s="1285"/>
      <c r="Z380" s="1301"/>
      <c r="AA380" s="1300"/>
      <c r="AB380" s="1287"/>
      <c r="AC380" s="1290"/>
      <c r="AD380" s="1293"/>
      <c r="AE380" s="1295"/>
      <c r="AF380" s="1295"/>
      <c r="AG380" s="1298"/>
      <c r="AH380" s="1270"/>
    </row>
    <row r="381" spans="1:34" ht="13.5" customHeight="1">
      <c r="A381" s="431" t="s">
        <v>323</v>
      </c>
      <c r="B381" s="432" t="s">
        <v>307</v>
      </c>
      <c r="C381" s="433" t="s">
        <v>337</v>
      </c>
      <c r="D381" s="434">
        <v>99900</v>
      </c>
      <c r="E381" s="435">
        <v>169680</v>
      </c>
      <c r="F381" s="434">
        <v>95160</v>
      </c>
      <c r="G381" s="435">
        <v>164940</v>
      </c>
      <c r="H381" s="436">
        <v>880</v>
      </c>
      <c r="I381" s="437">
        <v>1580</v>
      </c>
      <c r="J381" s="438" t="s">
        <v>731</v>
      </c>
      <c r="K381" s="436">
        <v>830</v>
      </c>
      <c r="L381" s="437">
        <v>1530</v>
      </c>
      <c r="M381" s="438" t="s">
        <v>287</v>
      </c>
      <c r="N381" s="446"/>
      <c r="O381" s="447"/>
      <c r="P381" s="441"/>
      <c r="Q381" s="441"/>
      <c r="R381" s="1279"/>
      <c r="S381" s="1282"/>
      <c r="T381" s="393" t="s">
        <v>293</v>
      </c>
      <c r="U381" s="442">
        <v>2600</v>
      </c>
      <c r="V381" s="443">
        <v>2900</v>
      </c>
      <c r="W381" s="441">
        <v>4180</v>
      </c>
      <c r="X381" s="444">
        <v>40</v>
      </c>
      <c r="Y381" s="448"/>
      <c r="Z381" s="1301"/>
      <c r="AA381" s="1299">
        <v>0.1</v>
      </c>
      <c r="AB381" s="1287"/>
      <c r="AC381" s="1290"/>
      <c r="AD381" s="1271">
        <v>0.02</v>
      </c>
      <c r="AE381" s="1273">
        <v>0.03</v>
      </c>
      <c r="AF381" s="1273">
        <v>0.05</v>
      </c>
      <c r="AG381" s="1275">
        <v>7.0000000000000007E-2</v>
      </c>
      <c r="AH381" s="1277">
        <v>0.96</v>
      </c>
    </row>
    <row r="382" spans="1:34" ht="13.5" customHeight="1">
      <c r="A382" s="431" t="s">
        <v>323</v>
      </c>
      <c r="B382" s="449" t="s">
        <v>307</v>
      </c>
      <c r="C382" s="450" t="s">
        <v>338</v>
      </c>
      <c r="D382" s="451">
        <v>169680</v>
      </c>
      <c r="E382" s="452"/>
      <c r="F382" s="451">
        <v>164940</v>
      </c>
      <c r="G382" s="452"/>
      <c r="H382" s="439">
        <v>1580</v>
      </c>
      <c r="I382" s="453"/>
      <c r="J382" s="454" t="s">
        <v>731</v>
      </c>
      <c r="K382" s="439">
        <v>1530</v>
      </c>
      <c r="L382" s="453"/>
      <c r="M382" s="454" t="s">
        <v>287</v>
      </c>
      <c r="N382" s="446"/>
      <c r="O382" s="455"/>
      <c r="P382" s="462"/>
      <c r="Q382" s="462"/>
      <c r="R382" s="1280"/>
      <c r="S382" s="1283"/>
      <c r="T382" s="456" t="s">
        <v>294</v>
      </c>
      <c r="U382" s="457">
        <v>2400</v>
      </c>
      <c r="V382" s="458">
        <v>2600</v>
      </c>
      <c r="W382" s="459">
        <v>4180</v>
      </c>
      <c r="X382" s="460">
        <v>40</v>
      </c>
      <c r="Y382" s="448"/>
      <c r="Z382" s="1301"/>
      <c r="AA382" s="1299"/>
      <c r="AB382" s="1288"/>
      <c r="AC382" s="1291"/>
      <c r="AD382" s="1272"/>
      <c r="AE382" s="1274"/>
      <c r="AF382" s="1274"/>
      <c r="AG382" s="1276"/>
      <c r="AH382" s="1277"/>
    </row>
    <row r="383" spans="1:34" ht="13.5" customHeight="1">
      <c r="A383" s="431" t="s">
        <v>323</v>
      </c>
      <c r="B383" s="416" t="s">
        <v>309</v>
      </c>
      <c r="C383" s="417" t="s">
        <v>334</v>
      </c>
      <c r="D383" s="418">
        <v>34320</v>
      </c>
      <c r="E383" s="419">
        <v>41290</v>
      </c>
      <c r="F383" s="418">
        <v>30010</v>
      </c>
      <c r="G383" s="419">
        <v>36980</v>
      </c>
      <c r="H383" s="420">
        <v>320</v>
      </c>
      <c r="I383" s="421">
        <v>380</v>
      </c>
      <c r="J383" s="422" t="s">
        <v>731</v>
      </c>
      <c r="K383" s="420">
        <v>280</v>
      </c>
      <c r="L383" s="421">
        <v>340</v>
      </c>
      <c r="M383" s="422" t="s">
        <v>287</v>
      </c>
      <c r="N383" s="423">
        <v>6970</v>
      </c>
      <c r="O383" s="424">
        <v>60</v>
      </c>
      <c r="P383" s="441"/>
      <c r="Q383" s="441"/>
      <c r="R383" s="1278">
        <v>2800</v>
      </c>
      <c r="S383" s="1281">
        <v>3100</v>
      </c>
      <c r="T383" s="426" t="s">
        <v>288</v>
      </c>
      <c r="U383" s="427">
        <v>6100</v>
      </c>
      <c r="V383" s="428">
        <v>6800</v>
      </c>
      <c r="W383" s="425">
        <v>3800</v>
      </c>
      <c r="X383" s="429">
        <v>30</v>
      </c>
      <c r="Y383" s="1284">
        <v>4500</v>
      </c>
      <c r="Z383" s="1301"/>
      <c r="AA383" s="464"/>
      <c r="AB383" s="1286">
        <v>4370</v>
      </c>
      <c r="AC383" s="1289">
        <v>40</v>
      </c>
      <c r="AD383" s="1292" t="s">
        <v>290</v>
      </c>
      <c r="AE383" s="1294" t="s">
        <v>290</v>
      </c>
      <c r="AF383" s="1294" t="s">
        <v>290</v>
      </c>
      <c r="AG383" s="1297" t="s">
        <v>290</v>
      </c>
      <c r="AH383" s="1269" t="s">
        <v>296</v>
      </c>
    </row>
    <row r="384" spans="1:34" ht="13.5" customHeight="1">
      <c r="A384" s="431" t="s">
        <v>323</v>
      </c>
      <c r="B384" s="432" t="s">
        <v>309</v>
      </c>
      <c r="C384" s="433" t="s">
        <v>336</v>
      </c>
      <c r="D384" s="434">
        <v>41290</v>
      </c>
      <c r="E384" s="435">
        <v>98160</v>
      </c>
      <c r="F384" s="434">
        <v>36980</v>
      </c>
      <c r="G384" s="435">
        <v>93850</v>
      </c>
      <c r="H384" s="436">
        <v>380</v>
      </c>
      <c r="I384" s="437">
        <v>860</v>
      </c>
      <c r="J384" s="438" t="s">
        <v>731</v>
      </c>
      <c r="K384" s="436">
        <v>340</v>
      </c>
      <c r="L384" s="437">
        <v>820</v>
      </c>
      <c r="M384" s="438" t="s">
        <v>287</v>
      </c>
      <c r="N384" s="439">
        <v>6970</v>
      </c>
      <c r="O384" s="440">
        <v>60</v>
      </c>
      <c r="P384" s="441"/>
      <c r="Q384" s="441"/>
      <c r="R384" s="1279"/>
      <c r="S384" s="1282"/>
      <c r="T384" s="393" t="s">
        <v>292</v>
      </c>
      <c r="U384" s="442">
        <v>3300</v>
      </c>
      <c r="V384" s="443">
        <v>3700</v>
      </c>
      <c r="W384" s="441">
        <v>3800</v>
      </c>
      <c r="X384" s="444">
        <v>30</v>
      </c>
      <c r="Y384" s="1285"/>
      <c r="Z384" s="1301"/>
      <c r="AA384" s="464"/>
      <c r="AB384" s="1287"/>
      <c r="AC384" s="1290"/>
      <c r="AD384" s="1293"/>
      <c r="AE384" s="1295"/>
      <c r="AF384" s="1295"/>
      <c r="AG384" s="1298"/>
      <c r="AH384" s="1270"/>
    </row>
    <row r="385" spans="1:34" ht="13.5" customHeight="1">
      <c r="A385" s="431" t="s">
        <v>323</v>
      </c>
      <c r="B385" s="432" t="s">
        <v>309</v>
      </c>
      <c r="C385" s="433" t="s">
        <v>337</v>
      </c>
      <c r="D385" s="434">
        <v>98160</v>
      </c>
      <c r="E385" s="435">
        <v>167940</v>
      </c>
      <c r="F385" s="434">
        <v>93850</v>
      </c>
      <c r="G385" s="435">
        <v>163630</v>
      </c>
      <c r="H385" s="436">
        <v>860</v>
      </c>
      <c r="I385" s="437">
        <v>1560</v>
      </c>
      <c r="J385" s="438" t="s">
        <v>731</v>
      </c>
      <c r="K385" s="436">
        <v>820</v>
      </c>
      <c r="L385" s="437">
        <v>1520</v>
      </c>
      <c r="M385" s="438" t="s">
        <v>287</v>
      </c>
      <c r="N385" s="446"/>
      <c r="O385" s="447"/>
      <c r="P385" s="462"/>
      <c r="Q385" s="462"/>
      <c r="R385" s="1279"/>
      <c r="S385" s="1282"/>
      <c r="T385" s="393" t="s">
        <v>293</v>
      </c>
      <c r="U385" s="442">
        <v>2900</v>
      </c>
      <c r="V385" s="443">
        <v>3200</v>
      </c>
      <c r="W385" s="441">
        <v>3800</v>
      </c>
      <c r="X385" s="444">
        <v>30</v>
      </c>
      <c r="Y385" s="448"/>
      <c r="Z385" s="1301"/>
      <c r="AA385" s="464"/>
      <c r="AB385" s="1287"/>
      <c r="AC385" s="1290"/>
      <c r="AD385" s="1271">
        <v>0.02</v>
      </c>
      <c r="AE385" s="1273">
        <v>0.03</v>
      </c>
      <c r="AF385" s="1273">
        <v>0.05</v>
      </c>
      <c r="AG385" s="1275">
        <v>7.0000000000000007E-2</v>
      </c>
      <c r="AH385" s="1277">
        <v>0.95</v>
      </c>
    </row>
    <row r="386" spans="1:34" ht="13.5" customHeight="1">
      <c r="A386" s="431" t="s">
        <v>323</v>
      </c>
      <c r="B386" s="449" t="s">
        <v>309</v>
      </c>
      <c r="C386" s="450" t="s">
        <v>338</v>
      </c>
      <c r="D386" s="451">
        <v>167940</v>
      </c>
      <c r="E386" s="452"/>
      <c r="F386" s="451">
        <v>163630</v>
      </c>
      <c r="G386" s="452"/>
      <c r="H386" s="439">
        <v>1560</v>
      </c>
      <c r="I386" s="453"/>
      <c r="J386" s="454" t="s">
        <v>731</v>
      </c>
      <c r="K386" s="439">
        <v>1520</v>
      </c>
      <c r="L386" s="453"/>
      <c r="M386" s="454" t="s">
        <v>287</v>
      </c>
      <c r="N386" s="446"/>
      <c r="O386" s="455"/>
      <c r="P386" s="441"/>
      <c r="Q386" s="441"/>
      <c r="R386" s="1280"/>
      <c r="S386" s="1283"/>
      <c r="T386" s="456" t="s">
        <v>294</v>
      </c>
      <c r="U386" s="457">
        <v>2600</v>
      </c>
      <c r="V386" s="458">
        <v>2900</v>
      </c>
      <c r="W386" s="459">
        <v>3800</v>
      </c>
      <c r="X386" s="460">
        <v>30</v>
      </c>
      <c r="Y386" s="448"/>
      <c r="Z386" s="1301"/>
      <c r="AA386" s="464"/>
      <c r="AB386" s="1288"/>
      <c r="AC386" s="1291"/>
      <c r="AD386" s="1272"/>
      <c r="AE386" s="1274"/>
      <c r="AF386" s="1274"/>
      <c r="AG386" s="1276"/>
      <c r="AH386" s="1277"/>
    </row>
    <row r="387" spans="1:34" ht="13.5" customHeight="1">
      <c r="A387" s="431" t="s">
        <v>323</v>
      </c>
      <c r="B387" s="416" t="s">
        <v>310</v>
      </c>
      <c r="C387" s="417" t="s">
        <v>334</v>
      </c>
      <c r="D387" s="418">
        <v>32830</v>
      </c>
      <c r="E387" s="419">
        <v>39800</v>
      </c>
      <c r="F387" s="418">
        <v>28880</v>
      </c>
      <c r="G387" s="419">
        <v>35850</v>
      </c>
      <c r="H387" s="420">
        <v>310</v>
      </c>
      <c r="I387" s="421">
        <v>370</v>
      </c>
      <c r="J387" s="422" t="s">
        <v>731</v>
      </c>
      <c r="K387" s="420">
        <v>270</v>
      </c>
      <c r="L387" s="421">
        <v>330</v>
      </c>
      <c r="M387" s="422" t="s">
        <v>287</v>
      </c>
      <c r="N387" s="423">
        <v>6970</v>
      </c>
      <c r="O387" s="424">
        <v>60</v>
      </c>
      <c r="P387" s="441"/>
      <c r="Q387" s="441"/>
      <c r="R387" s="1278">
        <v>2600</v>
      </c>
      <c r="S387" s="1281">
        <v>2800</v>
      </c>
      <c r="T387" s="426" t="s">
        <v>288</v>
      </c>
      <c r="U387" s="427">
        <v>5500</v>
      </c>
      <c r="V387" s="428">
        <v>6200</v>
      </c>
      <c r="W387" s="425">
        <v>3480</v>
      </c>
      <c r="X387" s="429">
        <v>30</v>
      </c>
      <c r="Y387" s="1284">
        <v>4500</v>
      </c>
      <c r="Z387" s="1301"/>
      <c r="AA387" s="464"/>
      <c r="AB387" s="1286">
        <v>4000</v>
      </c>
      <c r="AC387" s="1289">
        <v>40</v>
      </c>
      <c r="AD387" s="1292" t="s">
        <v>290</v>
      </c>
      <c r="AE387" s="1294" t="s">
        <v>290</v>
      </c>
      <c r="AF387" s="1294" t="s">
        <v>290</v>
      </c>
      <c r="AG387" s="1297" t="s">
        <v>290</v>
      </c>
      <c r="AH387" s="1269" t="s">
        <v>296</v>
      </c>
    </row>
    <row r="388" spans="1:34" ht="13.5" customHeight="1">
      <c r="A388" s="431" t="s">
        <v>323</v>
      </c>
      <c r="B388" s="432" t="s">
        <v>310</v>
      </c>
      <c r="C388" s="433" t="s">
        <v>336</v>
      </c>
      <c r="D388" s="434">
        <v>39800</v>
      </c>
      <c r="E388" s="435">
        <v>96670</v>
      </c>
      <c r="F388" s="434">
        <v>35850</v>
      </c>
      <c r="G388" s="435">
        <v>92720</v>
      </c>
      <c r="H388" s="436">
        <v>370</v>
      </c>
      <c r="I388" s="437">
        <v>850</v>
      </c>
      <c r="J388" s="438" t="s">
        <v>731</v>
      </c>
      <c r="K388" s="436">
        <v>330</v>
      </c>
      <c r="L388" s="437">
        <v>810</v>
      </c>
      <c r="M388" s="438" t="s">
        <v>287</v>
      </c>
      <c r="N388" s="439">
        <v>6970</v>
      </c>
      <c r="O388" s="440">
        <v>60</v>
      </c>
      <c r="P388" s="462"/>
      <c r="Q388" s="462"/>
      <c r="R388" s="1279"/>
      <c r="S388" s="1282"/>
      <c r="T388" s="393" t="s">
        <v>292</v>
      </c>
      <c r="U388" s="442">
        <v>3000</v>
      </c>
      <c r="V388" s="443">
        <v>3400</v>
      </c>
      <c r="W388" s="441">
        <v>3480</v>
      </c>
      <c r="X388" s="444">
        <v>30</v>
      </c>
      <c r="Y388" s="1285"/>
      <c r="Z388" s="1301"/>
      <c r="AA388" s="464"/>
      <c r="AB388" s="1287"/>
      <c r="AC388" s="1290"/>
      <c r="AD388" s="1293"/>
      <c r="AE388" s="1295"/>
      <c r="AF388" s="1295"/>
      <c r="AG388" s="1298"/>
      <c r="AH388" s="1270"/>
    </row>
    <row r="389" spans="1:34" ht="13.5" customHeight="1">
      <c r="A389" s="431" t="s">
        <v>323</v>
      </c>
      <c r="B389" s="432" t="s">
        <v>310</v>
      </c>
      <c r="C389" s="433" t="s">
        <v>337</v>
      </c>
      <c r="D389" s="434">
        <v>96670</v>
      </c>
      <c r="E389" s="435">
        <v>166450</v>
      </c>
      <c r="F389" s="434">
        <v>92720</v>
      </c>
      <c r="G389" s="435">
        <v>162500</v>
      </c>
      <c r="H389" s="436">
        <v>850</v>
      </c>
      <c r="I389" s="437">
        <v>1550</v>
      </c>
      <c r="J389" s="438" t="s">
        <v>731</v>
      </c>
      <c r="K389" s="436">
        <v>810</v>
      </c>
      <c r="L389" s="437">
        <v>1510</v>
      </c>
      <c r="M389" s="438" t="s">
        <v>287</v>
      </c>
      <c r="N389" s="446"/>
      <c r="O389" s="447"/>
      <c r="P389" s="441"/>
      <c r="Q389" s="441"/>
      <c r="R389" s="1279"/>
      <c r="S389" s="1282"/>
      <c r="T389" s="393" t="s">
        <v>293</v>
      </c>
      <c r="U389" s="442">
        <v>2600</v>
      </c>
      <c r="V389" s="443">
        <v>2900</v>
      </c>
      <c r="W389" s="441">
        <v>3480</v>
      </c>
      <c r="X389" s="444">
        <v>30</v>
      </c>
      <c r="Y389" s="448"/>
      <c r="Z389" s="1301"/>
      <c r="AA389" s="464"/>
      <c r="AB389" s="1287"/>
      <c r="AC389" s="1290"/>
      <c r="AD389" s="1271">
        <v>0.02</v>
      </c>
      <c r="AE389" s="1273">
        <v>0.03</v>
      </c>
      <c r="AF389" s="1273">
        <v>0.05</v>
      </c>
      <c r="AG389" s="1275">
        <v>7.0000000000000007E-2</v>
      </c>
      <c r="AH389" s="1277">
        <v>0.95</v>
      </c>
    </row>
    <row r="390" spans="1:34" ht="13.5" customHeight="1">
      <c r="A390" s="431" t="s">
        <v>323</v>
      </c>
      <c r="B390" s="449" t="s">
        <v>310</v>
      </c>
      <c r="C390" s="450" t="s">
        <v>338</v>
      </c>
      <c r="D390" s="451">
        <v>166450</v>
      </c>
      <c r="E390" s="452"/>
      <c r="F390" s="451">
        <v>162500</v>
      </c>
      <c r="G390" s="452"/>
      <c r="H390" s="439">
        <v>1550</v>
      </c>
      <c r="I390" s="453"/>
      <c r="J390" s="454" t="s">
        <v>731</v>
      </c>
      <c r="K390" s="439">
        <v>1510</v>
      </c>
      <c r="L390" s="453"/>
      <c r="M390" s="454" t="s">
        <v>287</v>
      </c>
      <c r="N390" s="446"/>
      <c r="O390" s="455"/>
      <c r="P390" s="441"/>
      <c r="Q390" s="441"/>
      <c r="R390" s="1280"/>
      <c r="S390" s="1283"/>
      <c r="T390" s="456" t="s">
        <v>294</v>
      </c>
      <c r="U390" s="457">
        <v>2400</v>
      </c>
      <c r="V390" s="458">
        <v>2600</v>
      </c>
      <c r="W390" s="459">
        <v>3480</v>
      </c>
      <c r="X390" s="460">
        <v>30</v>
      </c>
      <c r="Y390" s="448"/>
      <c r="Z390" s="1301"/>
      <c r="AA390" s="464"/>
      <c r="AB390" s="1288"/>
      <c r="AC390" s="1291"/>
      <c r="AD390" s="1272"/>
      <c r="AE390" s="1274"/>
      <c r="AF390" s="1274"/>
      <c r="AG390" s="1276"/>
      <c r="AH390" s="1277"/>
    </row>
    <row r="391" spans="1:34" ht="13.5" customHeight="1">
      <c r="A391" s="431" t="s">
        <v>323</v>
      </c>
      <c r="B391" s="416" t="s">
        <v>311</v>
      </c>
      <c r="C391" s="417" t="s">
        <v>334</v>
      </c>
      <c r="D391" s="418">
        <v>31580</v>
      </c>
      <c r="E391" s="419">
        <v>38550</v>
      </c>
      <c r="F391" s="418">
        <v>27930</v>
      </c>
      <c r="G391" s="419">
        <v>34900</v>
      </c>
      <c r="H391" s="420">
        <v>290</v>
      </c>
      <c r="I391" s="421">
        <v>350</v>
      </c>
      <c r="J391" s="422" t="s">
        <v>731</v>
      </c>
      <c r="K391" s="420">
        <v>260</v>
      </c>
      <c r="L391" s="421">
        <v>320</v>
      </c>
      <c r="M391" s="422" t="s">
        <v>287</v>
      </c>
      <c r="N391" s="423">
        <v>6970</v>
      </c>
      <c r="O391" s="424">
        <v>60</v>
      </c>
      <c r="P391" s="462"/>
      <c r="Q391" s="462"/>
      <c r="R391" s="1278">
        <v>2400</v>
      </c>
      <c r="S391" s="1281">
        <v>2600</v>
      </c>
      <c r="T391" s="426" t="s">
        <v>288</v>
      </c>
      <c r="U391" s="427">
        <v>5100</v>
      </c>
      <c r="V391" s="428">
        <v>5700</v>
      </c>
      <c r="W391" s="425">
        <v>3220</v>
      </c>
      <c r="X391" s="429">
        <v>30</v>
      </c>
      <c r="Y391" s="1284">
        <v>4500</v>
      </c>
      <c r="Z391" s="1301"/>
      <c r="AA391" s="464"/>
      <c r="AB391" s="1286">
        <v>3690</v>
      </c>
      <c r="AC391" s="1289">
        <v>30</v>
      </c>
      <c r="AD391" s="1292" t="s">
        <v>290</v>
      </c>
      <c r="AE391" s="1294" t="s">
        <v>290</v>
      </c>
      <c r="AF391" s="1294" t="s">
        <v>290</v>
      </c>
      <c r="AG391" s="1297" t="s">
        <v>290</v>
      </c>
      <c r="AH391" s="1269" t="s">
        <v>296</v>
      </c>
    </row>
    <row r="392" spans="1:34" ht="13.5" customHeight="1">
      <c r="A392" s="431" t="s">
        <v>323</v>
      </c>
      <c r="B392" s="432" t="s">
        <v>311</v>
      </c>
      <c r="C392" s="433" t="s">
        <v>336</v>
      </c>
      <c r="D392" s="434">
        <v>38550</v>
      </c>
      <c r="E392" s="435">
        <v>95420</v>
      </c>
      <c r="F392" s="434">
        <v>34900</v>
      </c>
      <c r="G392" s="435">
        <v>91770</v>
      </c>
      <c r="H392" s="436">
        <v>350</v>
      </c>
      <c r="I392" s="437">
        <v>840</v>
      </c>
      <c r="J392" s="438" t="s">
        <v>731</v>
      </c>
      <c r="K392" s="436">
        <v>320</v>
      </c>
      <c r="L392" s="437">
        <v>800</v>
      </c>
      <c r="M392" s="438" t="s">
        <v>287</v>
      </c>
      <c r="N392" s="439">
        <v>6970</v>
      </c>
      <c r="O392" s="440">
        <v>60</v>
      </c>
      <c r="P392" s="441"/>
      <c r="Q392" s="441"/>
      <c r="R392" s="1279"/>
      <c r="S392" s="1282"/>
      <c r="T392" s="393" t="s">
        <v>292</v>
      </c>
      <c r="U392" s="442">
        <v>2800</v>
      </c>
      <c r="V392" s="443">
        <v>3100</v>
      </c>
      <c r="W392" s="441">
        <v>3220</v>
      </c>
      <c r="X392" s="444">
        <v>30</v>
      </c>
      <c r="Y392" s="1285"/>
      <c r="Z392" s="1301"/>
      <c r="AA392" s="464"/>
      <c r="AB392" s="1287"/>
      <c r="AC392" s="1290"/>
      <c r="AD392" s="1293"/>
      <c r="AE392" s="1295"/>
      <c r="AF392" s="1295"/>
      <c r="AG392" s="1298"/>
      <c r="AH392" s="1270"/>
    </row>
    <row r="393" spans="1:34" ht="13.5" customHeight="1">
      <c r="A393" s="431" t="s">
        <v>323</v>
      </c>
      <c r="B393" s="432" t="s">
        <v>311</v>
      </c>
      <c r="C393" s="433" t="s">
        <v>337</v>
      </c>
      <c r="D393" s="434">
        <v>95420</v>
      </c>
      <c r="E393" s="435">
        <v>165200</v>
      </c>
      <c r="F393" s="434">
        <v>91770</v>
      </c>
      <c r="G393" s="435">
        <v>161550</v>
      </c>
      <c r="H393" s="436">
        <v>840</v>
      </c>
      <c r="I393" s="437">
        <v>1540</v>
      </c>
      <c r="J393" s="438" t="s">
        <v>731</v>
      </c>
      <c r="K393" s="436">
        <v>800</v>
      </c>
      <c r="L393" s="437">
        <v>1500</v>
      </c>
      <c r="M393" s="438" t="s">
        <v>287</v>
      </c>
      <c r="N393" s="446"/>
      <c r="O393" s="447"/>
      <c r="P393" s="441"/>
      <c r="Q393" s="441"/>
      <c r="R393" s="1279"/>
      <c r="S393" s="1282"/>
      <c r="T393" s="393" t="s">
        <v>293</v>
      </c>
      <c r="U393" s="442">
        <v>2400</v>
      </c>
      <c r="V393" s="443">
        <v>2700</v>
      </c>
      <c r="W393" s="441">
        <v>3220</v>
      </c>
      <c r="X393" s="444">
        <v>30</v>
      </c>
      <c r="Y393" s="448"/>
      <c r="Z393" s="1301"/>
      <c r="AA393" s="464"/>
      <c r="AB393" s="1287"/>
      <c r="AC393" s="1290"/>
      <c r="AD393" s="1271">
        <v>0.02</v>
      </c>
      <c r="AE393" s="1273">
        <v>0.03</v>
      </c>
      <c r="AF393" s="1273">
        <v>0.05</v>
      </c>
      <c r="AG393" s="1275">
        <v>7.0000000000000007E-2</v>
      </c>
      <c r="AH393" s="1277">
        <v>0.97</v>
      </c>
    </row>
    <row r="394" spans="1:34" ht="13.5" customHeight="1">
      <c r="A394" s="431" t="s">
        <v>323</v>
      </c>
      <c r="B394" s="449" t="s">
        <v>311</v>
      </c>
      <c r="C394" s="450" t="s">
        <v>338</v>
      </c>
      <c r="D394" s="451">
        <v>165200</v>
      </c>
      <c r="E394" s="452"/>
      <c r="F394" s="451">
        <v>161550</v>
      </c>
      <c r="G394" s="452"/>
      <c r="H394" s="439">
        <v>1540</v>
      </c>
      <c r="I394" s="453"/>
      <c r="J394" s="454" t="s">
        <v>731</v>
      </c>
      <c r="K394" s="439">
        <v>1500</v>
      </c>
      <c r="L394" s="453"/>
      <c r="M394" s="454" t="s">
        <v>287</v>
      </c>
      <c r="N394" s="446"/>
      <c r="O394" s="455"/>
      <c r="P394" s="462"/>
      <c r="Q394" s="462"/>
      <c r="R394" s="1280"/>
      <c r="S394" s="1283"/>
      <c r="T394" s="456" t="s">
        <v>294</v>
      </c>
      <c r="U394" s="457">
        <v>2200</v>
      </c>
      <c r="V394" s="458">
        <v>2400</v>
      </c>
      <c r="W394" s="459">
        <v>3220</v>
      </c>
      <c r="X394" s="460">
        <v>30</v>
      </c>
      <c r="Y394" s="448"/>
      <c r="Z394" s="1301"/>
      <c r="AA394" s="464"/>
      <c r="AB394" s="1288"/>
      <c r="AC394" s="1291"/>
      <c r="AD394" s="1272"/>
      <c r="AE394" s="1274"/>
      <c r="AF394" s="1274"/>
      <c r="AG394" s="1276"/>
      <c r="AH394" s="1277"/>
    </row>
    <row r="395" spans="1:34" ht="13.5" customHeight="1">
      <c r="A395" s="431" t="s">
        <v>323</v>
      </c>
      <c r="B395" s="416" t="s">
        <v>312</v>
      </c>
      <c r="C395" s="417" t="s">
        <v>334</v>
      </c>
      <c r="D395" s="418">
        <v>30530</v>
      </c>
      <c r="E395" s="419">
        <v>37500</v>
      </c>
      <c r="F395" s="418">
        <v>27140</v>
      </c>
      <c r="G395" s="419">
        <v>34110</v>
      </c>
      <c r="H395" s="420">
        <v>280</v>
      </c>
      <c r="I395" s="421">
        <v>340</v>
      </c>
      <c r="J395" s="422" t="s">
        <v>731</v>
      </c>
      <c r="K395" s="420">
        <v>250</v>
      </c>
      <c r="L395" s="421">
        <v>310</v>
      </c>
      <c r="M395" s="422" t="s">
        <v>287</v>
      </c>
      <c r="N395" s="423">
        <v>6970</v>
      </c>
      <c r="O395" s="424">
        <v>60</v>
      </c>
      <c r="P395" s="441"/>
      <c r="Q395" s="441"/>
      <c r="R395" s="1278">
        <v>2600</v>
      </c>
      <c r="S395" s="1281">
        <v>2800</v>
      </c>
      <c r="T395" s="426" t="s">
        <v>288</v>
      </c>
      <c r="U395" s="427">
        <v>5500</v>
      </c>
      <c r="V395" s="428">
        <v>6200</v>
      </c>
      <c r="W395" s="425">
        <v>2990</v>
      </c>
      <c r="X395" s="429">
        <v>20</v>
      </c>
      <c r="Y395" s="1284">
        <v>4500</v>
      </c>
      <c r="Z395" s="1301"/>
      <c r="AA395" s="464"/>
      <c r="AB395" s="1286">
        <v>3430</v>
      </c>
      <c r="AC395" s="1289">
        <v>30</v>
      </c>
      <c r="AD395" s="1292" t="s">
        <v>290</v>
      </c>
      <c r="AE395" s="1294" t="s">
        <v>290</v>
      </c>
      <c r="AF395" s="1294" t="s">
        <v>290</v>
      </c>
      <c r="AG395" s="1297" t="s">
        <v>290</v>
      </c>
      <c r="AH395" s="1269" t="s">
        <v>296</v>
      </c>
    </row>
    <row r="396" spans="1:34" ht="13.5" customHeight="1">
      <c r="A396" s="431" t="s">
        <v>323</v>
      </c>
      <c r="B396" s="432" t="s">
        <v>312</v>
      </c>
      <c r="C396" s="433" t="s">
        <v>336</v>
      </c>
      <c r="D396" s="434">
        <v>37500</v>
      </c>
      <c r="E396" s="435">
        <v>94370</v>
      </c>
      <c r="F396" s="434">
        <v>34110</v>
      </c>
      <c r="G396" s="435">
        <v>90980</v>
      </c>
      <c r="H396" s="436">
        <v>340</v>
      </c>
      <c r="I396" s="437">
        <v>830</v>
      </c>
      <c r="J396" s="438" t="s">
        <v>731</v>
      </c>
      <c r="K396" s="436">
        <v>310</v>
      </c>
      <c r="L396" s="437">
        <v>790</v>
      </c>
      <c r="M396" s="438" t="s">
        <v>287</v>
      </c>
      <c r="N396" s="439">
        <v>6970</v>
      </c>
      <c r="O396" s="440">
        <v>60</v>
      </c>
      <c r="P396" s="441"/>
      <c r="Q396" s="441"/>
      <c r="R396" s="1279"/>
      <c r="S396" s="1282"/>
      <c r="T396" s="393" t="s">
        <v>292</v>
      </c>
      <c r="U396" s="442">
        <v>3000</v>
      </c>
      <c r="V396" s="443">
        <v>3400</v>
      </c>
      <c r="W396" s="441">
        <v>2990</v>
      </c>
      <c r="X396" s="444">
        <v>20</v>
      </c>
      <c r="Y396" s="1285"/>
      <c r="Z396" s="1301"/>
      <c r="AA396" s="464"/>
      <c r="AB396" s="1287"/>
      <c r="AC396" s="1290"/>
      <c r="AD396" s="1293"/>
      <c r="AE396" s="1295"/>
      <c r="AF396" s="1295"/>
      <c r="AG396" s="1298"/>
      <c r="AH396" s="1270"/>
    </row>
    <row r="397" spans="1:34" ht="13.5" customHeight="1">
      <c r="A397" s="431" t="s">
        <v>323</v>
      </c>
      <c r="B397" s="432" t="s">
        <v>312</v>
      </c>
      <c r="C397" s="433" t="s">
        <v>337</v>
      </c>
      <c r="D397" s="434">
        <v>94370</v>
      </c>
      <c r="E397" s="435">
        <v>164150</v>
      </c>
      <c r="F397" s="434">
        <v>90980</v>
      </c>
      <c r="G397" s="435">
        <v>160760</v>
      </c>
      <c r="H397" s="436">
        <v>830</v>
      </c>
      <c r="I397" s="437">
        <v>1530</v>
      </c>
      <c r="J397" s="438" t="s">
        <v>731</v>
      </c>
      <c r="K397" s="436">
        <v>790</v>
      </c>
      <c r="L397" s="437">
        <v>1490</v>
      </c>
      <c r="M397" s="438" t="s">
        <v>287</v>
      </c>
      <c r="N397" s="446"/>
      <c r="O397" s="447"/>
      <c r="P397" s="462"/>
      <c r="Q397" s="462"/>
      <c r="R397" s="1279"/>
      <c r="S397" s="1282"/>
      <c r="T397" s="393" t="s">
        <v>293</v>
      </c>
      <c r="U397" s="442">
        <v>2600</v>
      </c>
      <c r="V397" s="443">
        <v>2900</v>
      </c>
      <c r="W397" s="441">
        <v>2990</v>
      </c>
      <c r="X397" s="444">
        <v>20</v>
      </c>
      <c r="Y397" s="448"/>
      <c r="Z397" s="1301"/>
      <c r="AA397" s="464"/>
      <c r="AB397" s="1287"/>
      <c r="AC397" s="1290"/>
      <c r="AD397" s="1271">
        <v>0.02</v>
      </c>
      <c r="AE397" s="1273">
        <v>0.03</v>
      </c>
      <c r="AF397" s="1273">
        <v>0.05</v>
      </c>
      <c r="AG397" s="1275">
        <v>7.0000000000000007E-2</v>
      </c>
      <c r="AH397" s="1277">
        <v>0.98</v>
      </c>
    </row>
    <row r="398" spans="1:34" ht="13.5" customHeight="1">
      <c r="A398" s="431" t="s">
        <v>323</v>
      </c>
      <c r="B398" s="449" t="s">
        <v>312</v>
      </c>
      <c r="C398" s="450" t="s">
        <v>338</v>
      </c>
      <c r="D398" s="451">
        <v>164150</v>
      </c>
      <c r="E398" s="452"/>
      <c r="F398" s="451">
        <v>160760</v>
      </c>
      <c r="G398" s="452"/>
      <c r="H398" s="439">
        <v>1530</v>
      </c>
      <c r="I398" s="453"/>
      <c r="J398" s="454" t="s">
        <v>731</v>
      </c>
      <c r="K398" s="439">
        <v>1490</v>
      </c>
      <c r="L398" s="453"/>
      <c r="M398" s="454" t="s">
        <v>287</v>
      </c>
      <c r="N398" s="446"/>
      <c r="O398" s="455"/>
      <c r="P398" s="441"/>
      <c r="Q398" s="441"/>
      <c r="R398" s="1280"/>
      <c r="S398" s="1283"/>
      <c r="T398" s="456" t="s">
        <v>294</v>
      </c>
      <c r="U398" s="457">
        <v>2400</v>
      </c>
      <c r="V398" s="458">
        <v>2600</v>
      </c>
      <c r="W398" s="459">
        <v>2990</v>
      </c>
      <c r="X398" s="460">
        <v>20</v>
      </c>
      <c r="Y398" s="448"/>
      <c r="Z398" s="1301"/>
      <c r="AA398" s="464"/>
      <c r="AB398" s="1288"/>
      <c r="AC398" s="1291"/>
      <c r="AD398" s="1272"/>
      <c r="AE398" s="1274"/>
      <c r="AF398" s="1274"/>
      <c r="AG398" s="1276"/>
      <c r="AH398" s="1277"/>
    </row>
    <row r="399" spans="1:34" ht="13.5" customHeight="1">
      <c r="A399" s="431" t="s">
        <v>323</v>
      </c>
      <c r="B399" s="416" t="s">
        <v>313</v>
      </c>
      <c r="C399" s="417" t="s">
        <v>334</v>
      </c>
      <c r="D399" s="418">
        <v>29600</v>
      </c>
      <c r="E399" s="419">
        <v>36570</v>
      </c>
      <c r="F399" s="418">
        <v>26440</v>
      </c>
      <c r="G399" s="419">
        <v>33410</v>
      </c>
      <c r="H399" s="420">
        <v>270</v>
      </c>
      <c r="I399" s="421">
        <v>330</v>
      </c>
      <c r="J399" s="422" t="s">
        <v>731</v>
      </c>
      <c r="K399" s="420">
        <v>240</v>
      </c>
      <c r="L399" s="421">
        <v>300</v>
      </c>
      <c r="M399" s="422" t="s">
        <v>287</v>
      </c>
      <c r="N399" s="423">
        <v>6970</v>
      </c>
      <c r="O399" s="424">
        <v>60</v>
      </c>
      <c r="P399" s="441"/>
      <c r="Q399" s="441"/>
      <c r="R399" s="1278">
        <v>2400</v>
      </c>
      <c r="S399" s="1281">
        <v>2600</v>
      </c>
      <c r="T399" s="426" t="s">
        <v>288</v>
      </c>
      <c r="U399" s="427">
        <v>5400</v>
      </c>
      <c r="V399" s="428">
        <v>6000</v>
      </c>
      <c r="W399" s="425">
        <v>2790</v>
      </c>
      <c r="X399" s="429">
        <v>20</v>
      </c>
      <c r="Y399" s="1284">
        <v>4500</v>
      </c>
      <c r="Z399" s="1301"/>
      <c r="AA399" s="464"/>
      <c r="AB399" s="1286">
        <v>3200</v>
      </c>
      <c r="AC399" s="1289">
        <v>30</v>
      </c>
      <c r="AD399" s="1292" t="s">
        <v>290</v>
      </c>
      <c r="AE399" s="1294" t="s">
        <v>290</v>
      </c>
      <c r="AF399" s="1294" t="s">
        <v>290</v>
      </c>
      <c r="AG399" s="1297" t="s">
        <v>290</v>
      </c>
      <c r="AH399" s="1269" t="s">
        <v>296</v>
      </c>
    </row>
    <row r="400" spans="1:34" ht="13.5" customHeight="1">
      <c r="A400" s="431" t="s">
        <v>323</v>
      </c>
      <c r="B400" s="432" t="s">
        <v>313</v>
      </c>
      <c r="C400" s="433" t="s">
        <v>336</v>
      </c>
      <c r="D400" s="434">
        <v>36570</v>
      </c>
      <c r="E400" s="435">
        <v>93440</v>
      </c>
      <c r="F400" s="434">
        <v>33410</v>
      </c>
      <c r="G400" s="435">
        <v>90280</v>
      </c>
      <c r="H400" s="436">
        <v>330</v>
      </c>
      <c r="I400" s="437">
        <v>820</v>
      </c>
      <c r="J400" s="438" t="s">
        <v>731</v>
      </c>
      <c r="K400" s="436">
        <v>300</v>
      </c>
      <c r="L400" s="437">
        <v>780</v>
      </c>
      <c r="M400" s="438" t="s">
        <v>287</v>
      </c>
      <c r="N400" s="439">
        <v>6970</v>
      </c>
      <c r="O400" s="440">
        <v>60</v>
      </c>
      <c r="P400" s="462"/>
      <c r="Q400" s="462"/>
      <c r="R400" s="1279"/>
      <c r="S400" s="1282"/>
      <c r="T400" s="393" t="s">
        <v>292</v>
      </c>
      <c r="U400" s="442">
        <v>2900</v>
      </c>
      <c r="V400" s="443">
        <v>3300</v>
      </c>
      <c r="W400" s="441">
        <v>2790</v>
      </c>
      <c r="X400" s="444">
        <v>20</v>
      </c>
      <c r="Y400" s="1285"/>
      <c r="Z400" s="1301"/>
      <c r="AA400" s="464"/>
      <c r="AB400" s="1287"/>
      <c r="AC400" s="1290"/>
      <c r="AD400" s="1293"/>
      <c r="AE400" s="1295"/>
      <c r="AF400" s="1295"/>
      <c r="AG400" s="1298"/>
      <c r="AH400" s="1270"/>
    </row>
    <row r="401" spans="1:87" ht="13.5" customHeight="1">
      <c r="A401" s="431" t="s">
        <v>323</v>
      </c>
      <c r="B401" s="432" t="s">
        <v>313</v>
      </c>
      <c r="C401" s="433" t="s">
        <v>337</v>
      </c>
      <c r="D401" s="434">
        <v>93440</v>
      </c>
      <c r="E401" s="435">
        <v>163220</v>
      </c>
      <c r="F401" s="434">
        <v>90280</v>
      </c>
      <c r="G401" s="435">
        <v>160060</v>
      </c>
      <c r="H401" s="436">
        <v>820</v>
      </c>
      <c r="I401" s="437">
        <v>1520</v>
      </c>
      <c r="J401" s="438" t="s">
        <v>731</v>
      </c>
      <c r="K401" s="436">
        <v>780</v>
      </c>
      <c r="L401" s="437">
        <v>1480</v>
      </c>
      <c r="M401" s="438" t="s">
        <v>287</v>
      </c>
      <c r="N401" s="446"/>
      <c r="O401" s="447"/>
      <c r="P401" s="441"/>
      <c r="Q401" s="441"/>
      <c r="R401" s="1279"/>
      <c r="S401" s="1282"/>
      <c r="T401" s="393" t="s">
        <v>293</v>
      </c>
      <c r="U401" s="442">
        <v>2500</v>
      </c>
      <c r="V401" s="443">
        <v>2800</v>
      </c>
      <c r="W401" s="441">
        <v>2790</v>
      </c>
      <c r="X401" s="444">
        <v>20</v>
      </c>
      <c r="Y401" s="448"/>
      <c r="Z401" s="1301"/>
      <c r="AA401" s="464"/>
      <c r="AB401" s="1287"/>
      <c r="AC401" s="1290"/>
      <c r="AD401" s="1271">
        <v>0.02</v>
      </c>
      <c r="AE401" s="1273">
        <v>0.03</v>
      </c>
      <c r="AF401" s="1273">
        <v>0.05</v>
      </c>
      <c r="AG401" s="1275">
        <v>7.0000000000000007E-2</v>
      </c>
      <c r="AH401" s="1277">
        <v>0.98</v>
      </c>
    </row>
    <row r="402" spans="1:87" ht="13.5" customHeight="1">
      <c r="A402" s="431" t="s">
        <v>323</v>
      </c>
      <c r="B402" s="449" t="s">
        <v>313</v>
      </c>
      <c r="C402" s="450" t="s">
        <v>338</v>
      </c>
      <c r="D402" s="451">
        <v>163220</v>
      </c>
      <c r="E402" s="452"/>
      <c r="F402" s="451">
        <v>160060</v>
      </c>
      <c r="G402" s="452"/>
      <c r="H402" s="439">
        <v>1520</v>
      </c>
      <c r="I402" s="453"/>
      <c r="J402" s="454" t="s">
        <v>731</v>
      </c>
      <c r="K402" s="439">
        <v>1480</v>
      </c>
      <c r="L402" s="453"/>
      <c r="M402" s="454" t="s">
        <v>287</v>
      </c>
      <c r="N402" s="446"/>
      <c r="O402" s="455"/>
      <c r="P402" s="441"/>
      <c r="Q402" s="441"/>
      <c r="R402" s="1280"/>
      <c r="S402" s="1283"/>
      <c r="T402" s="456" t="s">
        <v>294</v>
      </c>
      <c r="U402" s="457">
        <v>2300</v>
      </c>
      <c r="V402" s="458">
        <v>2500</v>
      </c>
      <c r="W402" s="459">
        <v>2790</v>
      </c>
      <c r="X402" s="460">
        <v>20</v>
      </c>
      <c r="Y402" s="448"/>
      <c r="Z402" s="1301"/>
      <c r="AA402" s="464"/>
      <c r="AB402" s="1288"/>
      <c r="AC402" s="1291"/>
      <c r="AD402" s="1272"/>
      <c r="AE402" s="1274"/>
      <c r="AF402" s="1274"/>
      <c r="AG402" s="1276"/>
      <c r="AH402" s="1277"/>
    </row>
    <row r="403" spans="1:87" ht="13.5" customHeight="1">
      <c r="A403" s="431" t="s">
        <v>323</v>
      </c>
      <c r="B403" s="416" t="s">
        <v>314</v>
      </c>
      <c r="C403" s="417" t="s">
        <v>334</v>
      </c>
      <c r="D403" s="418">
        <v>29650</v>
      </c>
      <c r="E403" s="419">
        <v>36620</v>
      </c>
      <c r="F403" s="418">
        <v>26680</v>
      </c>
      <c r="G403" s="419">
        <v>33650</v>
      </c>
      <c r="H403" s="420">
        <v>270</v>
      </c>
      <c r="I403" s="421">
        <v>330</v>
      </c>
      <c r="J403" s="422" t="s">
        <v>731</v>
      </c>
      <c r="K403" s="420">
        <v>240</v>
      </c>
      <c r="L403" s="421">
        <v>300</v>
      </c>
      <c r="M403" s="422" t="s">
        <v>287</v>
      </c>
      <c r="N403" s="423">
        <v>6970</v>
      </c>
      <c r="O403" s="424">
        <v>60</v>
      </c>
      <c r="P403" s="462"/>
      <c r="Q403" s="462"/>
      <c r="R403" s="1278">
        <v>2200</v>
      </c>
      <c r="S403" s="1281">
        <v>2500</v>
      </c>
      <c r="T403" s="426" t="s">
        <v>288</v>
      </c>
      <c r="U403" s="427">
        <v>4800</v>
      </c>
      <c r="V403" s="428">
        <v>5400</v>
      </c>
      <c r="W403" s="425">
        <v>2610</v>
      </c>
      <c r="X403" s="429">
        <v>20</v>
      </c>
      <c r="Y403" s="1284">
        <v>4500</v>
      </c>
      <c r="Z403" s="1301"/>
      <c r="AA403" s="464"/>
      <c r="AB403" s="1286">
        <v>3000</v>
      </c>
      <c r="AC403" s="1289">
        <v>30</v>
      </c>
      <c r="AD403" s="1292" t="s">
        <v>290</v>
      </c>
      <c r="AE403" s="1294" t="s">
        <v>290</v>
      </c>
      <c r="AF403" s="1294" t="s">
        <v>290</v>
      </c>
      <c r="AG403" s="1297" t="s">
        <v>290</v>
      </c>
      <c r="AH403" s="1269" t="s">
        <v>296</v>
      </c>
    </row>
    <row r="404" spans="1:87" ht="13.5" customHeight="1">
      <c r="A404" s="431" t="s">
        <v>323</v>
      </c>
      <c r="B404" s="432" t="s">
        <v>314</v>
      </c>
      <c r="C404" s="433" t="s">
        <v>336</v>
      </c>
      <c r="D404" s="434">
        <v>36620</v>
      </c>
      <c r="E404" s="435">
        <v>93490</v>
      </c>
      <c r="F404" s="434">
        <v>33650</v>
      </c>
      <c r="G404" s="435">
        <v>90520</v>
      </c>
      <c r="H404" s="436">
        <v>330</v>
      </c>
      <c r="I404" s="437">
        <v>820</v>
      </c>
      <c r="J404" s="438" t="s">
        <v>731</v>
      </c>
      <c r="K404" s="436">
        <v>300</v>
      </c>
      <c r="L404" s="437">
        <v>790</v>
      </c>
      <c r="M404" s="438" t="s">
        <v>287</v>
      </c>
      <c r="N404" s="439">
        <v>6970</v>
      </c>
      <c r="O404" s="440">
        <v>60</v>
      </c>
      <c r="P404" s="462"/>
      <c r="Q404" s="462"/>
      <c r="R404" s="1279"/>
      <c r="S404" s="1282"/>
      <c r="T404" s="393" t="s">
        <v>292</v>
      </c>
      <c r="U404" s="442">
        <v>2600</v>
      </c>
      <c r="V404" s="443">
        <v>2900</v>
      </c>
      <c r="W404" s="441">
        <v>2610</v>
      </c>
      <c r="X404" s="444">
        <v>20</v>
      </c>
      <c r="Y404" s="1285"/>
      <c r="Z404" s="1301"/>
      <c r="AA404" s="464"/>
      <c r="AB404" s="1287"/>
      <c r="AC404" s="1290"/>
      <c r="AD404" s="1293"/>
      <c r="AE404" s="1295"/>
      <c r="AF404" s="1295"/>
      <c r="AG404" s="1298"/>
      <c r="AH404" s="1270"/>
    </row>
    <row r="405" spans="1:87" ht="13.5" customHeight="1">
      <c r="A405" s="431" t="s">
        <v>323</v>
      </c>
      <c r="B405" s="432" t="s">
        <v>314</v>
      </c>
      <c r="C405" s="433" t="s">
        <v>337</v>
      </c>
      <c r="D405" s="434">
        <v>93490</v>
      </c>
      <c r="E405" s="435">
        <v>163270</v>
      </c>
      <c r="F405" s="434">
        <v>90520</v>
      </c>
      <c r="G405" s="435">
        <v>160300</v>
      </c>
      <c r="H405" s="436">
        <v>820</v>
      </c>
      <c r="I405" s="437">
        <v>1520</v>
      </c>
      <c r="J405" s="438" t="s">
        <v>731</v>
      </c>
      <c r="K405" s="436">
        <v>790</v>
      </c>
      <c r="L405" s="437">
        <v>1490</v>
      </c>
      <c r="M405" s="438" t="s">
        <v>287</v>
      </c>
      <c r="N405" s="446"/>
      <c r="O405" s="447"/>
      <c r="P405" s="462"/>
      <c r="Q405" s="462"/>
      <c r="R405" s="1279"/>
      <c r="S405" s="1282"/>
      <c r="T405" s="393" t="s">
        <v>293</v>
      </c>
      <c r="U405" s="442">
        <v>2300</v>
      </c>
      <c r="V405" s="443">
        <v>2500</v>
      </c>
      <c r="W405" s="441">
        <v>2610</v>
      </c>
      <c r="X405" s="444">
        <v>20</v>
      </c>
      <c r="Y405" s="448"/>
      <c r="Z405" s="1301"/>
      <c r="AA405" s="464"/>
      <c r="AB405" s="1287"/>
      <c r="AC405" s="1290"/>
      <c r="AD405" s="1271">
        <v>0.02</v>
      </c>
      <c r="AE405" s="1273">
        <v>0.03</v>
      </c>
      <c r="AF405" s="1273">
        <v>0.05</v>
      </c>
      <c r="AG405" s="1275">
        <v>7.0000000000000007E-2</v>
      </c>
      <c r="AH405" s="1277">
        <v>0.98</v>
      </c>
    </row>
    <row r="406" spans="1:87" ht="13.5" customHeight="1">
      <c r="A406" s="431" t="s">
        <v>323</v>
      </c>
      <c r="B406" s="449" t="s">
        <v>314</v>
      </c>
      <c r="C406" s="450" t="s">
        <v>338</v>
      </c>
      <c r="D406" s="451">
        <v>163270</v>
      </c>
      <c r="E406" s="452"/>
      <c r="F406" s="451">
        <v>160300</v>
      </c>
      <c r="G406" s="452"/>
      <c r="H406" s="439">
        <v>1520</v>
      </c>
      <c r="I406" s="453"/>
      <c r="J406" s="454" t="s">
        <v>731</v>
      </c>
      <c r="K406" s="439">
        <v>1490</v>
      </c>
      <c r="L406" s="453"/>
      <c r="M406" s="454" t="s">
        <v>287</v>
      </c>
      <c r="N406" s="446"/>
      <c r="O406" s="455"/>
      <c r="P406" s="462"/>
      <c r="Q406" s="462"/>
      <c r="R406" s="1280"/>
      <c r="S406" s="1283"/>
      <c r="T406" s="456" t="s">
        <v>294</v>
      </c>
      <c r="U406" s="457">
        <v>2000</v>
      </c>
      <c r="V406" s="458">
        <v>2300</v>
      </c>
      <c r="W406" s="459">
        <v>2610</v>
      </c>
      <c r="X406" s="460">
        <v>20</v>
      </c>
      <c r="Y406" s="448"/>
      <c r="Z406" s="1301"/>
      <c r="AA406" s="464"/>
      <c r="AB406" s="1288"/>
      <c r="AC406" s="1291"/>
      <c r="AD406" s="1272"/>
      <c r="AE406" s="1274"/>
      <c r="AF406" s="1274"/>
      <c r="AG406" s="1276"/>
      <c r="AH406" s="1277"/>
    </row>
    <row r="407" spans="1:87" ht="13.5" customHeight="1">
      <c r="A407" s="431" t="s">
        <v>323</v>
      </c>
      <c r="B407" s="416" t="s">
        <v>315</v>
      </c>
      <c r="C407" s="417" t="s">
        <v>334</v>
      </c>
      <c r="D407" s="418">
        <v>28900</v>
      </c>
      <c r="E407" s="419">
        <v>35870</v>
      </c>
      <c r="F407" s="418">
        <v>26110</v>
      </c>
      <c r="G407" s="419">
        <v>33080</v>
      </c>
      <c r="H407" s="420">
        <v>270</v>
      </c>
      <c r="I407" s="421">
        <v>330</v>
      </c>
      <c r="J407" s="422" t="s">
        <v>731</v>
      </c>
      <c r="K407" s="420">
        <v>240</v>
      </c>
      <c r="L407" s="421">
        <v>300</v>
      </c>
      <c r="M407" s="422" t="s">
        <v>287</v>
      </c>
      <c r="N407" s="423">
        <v>6970</v>
      </c>
      <c r="O407" s="424">
        <v>60</v>
      </c>
      <c r="P407" s="462"/>
      <c r="Q407" s="462"/>
      <c r="R407" s="1278">
        <v>2400</v>
      </c>
      <c r="S407" s="1281">
        <v>2600</v>
      </c>
      <c r="T407" s="426" t="s">
        <v>288</v>
      </c>
      <c r="U407" s="427">
        <v>5400</v>
      </c>
      <c r="V407" s="428">
        <v>6000</v>
      </c>
      <c r="W407" s="425">
        <v>2460</v>
      </c>
      <c r="X407" s="429">
        <v>20</v>
      </c>
      <c r="Y407" s="1284">
        <v>4500</v>
      </c>
      <c r="Z407" s="1301"/>
      <c r="AA407" s="464"/>
      <c r="AB407" s="1286">
        <v>2820</v>
      </c>
      <c r="AC407" s="1289">
        <v>20</v>
      </c>
      <c r="AD407" s="1292" t="s">
        <v>290</v>
      </c>
      <c r="AE407" s="1294" t="s">
        <v>290</v>
      </c>
      <c r="AF407" s="1294" t="s">
        <v>290</v>
      </c>
      <c r="AG407" s="1297" t="s">
        <v>290</v>
      </c>
      <c r="AH407" s="1269" t="s">
        <v>296</v>
      </c>
    </row>
    <row r="408" spans="1:87" ht="13.5" customHeight="1">
      <c r="A408" s="431" t="s">
        <v>323</v>
      </c>
      <c r="B408" s="432" t="s">
        <v>315</v>
      </c>
      <c r="C408" s="433" t="s">
        <v>336</v>
      </c>
      <c r="D408" s="434">
        <v>35870</v>
      </c>
      <c r="E408" s="435">
        <v>92740</v>
      </c>
      <c r="F408" s="434">
        <v>33080</v>
      </c>
      <c r="G408" s="435">
        <v>89950</v>
      </c>
      <c r="H408" s="436">
        <v>330</v>
      </c>
      <c r="I408" s="437">
        <v>810</v>
      </c>
      <c r="J408" s="438" t="s">
        <v>731</v>
      </c>
      <c r="K408" s="436">
        <v>300</v>
      </c>
      <c r="L408" s="437">
        <v>780</v>
      </c>
      <c r="M408" s="438" t="s">
        <v>287</v>
      </c>
      <c r="N408" s="439">
        <v>6970</v>
      </c>
      <c r="O408" s="440">
        <v>60</v>
      </c>
      <c r="P408" s="462"/>
      <c r="Q408" s="462"/>
      <c r="R408" s="1279"/>
      <c r="S408" s="1282"/>
      <c r="T408" s="393" t="s">
        <v>292</v>
      </c>
      <c r="U408" s="442">
        <v>2900</v>
      </c>
      <c r="V408" s="443">
        <v>3300</v>
      </c>
      <c r="W408" s="441">
        <v>2460</v>
      </c>
      <c r="X408" s="444">
        <v>20</v>
      </c>
      <c r="Y408" s="1285"/>
      <c r="Z408" s="1301"/>
      <c r="AA408" s="464"/>
      <c r="AB408" s="1287"/>
      <c r="AC408" s="1290"/>
      <c r="AD408" s="1293"/>
      <c r="AE408" s="1295"/>
      <c r="AF408" s="1295"/>
      <c r="AG408" s="1298"/>
      <c r="AH408" s="1270"/>
    </row>
    <row r="409" spans="1:87" ht="13.5" customHeight="1">
      <c r="A409" s="431" t="s">
        <v>323</v>
      </c>
      <c r="B409" s="432" t="s">
        <v>315</v>
      </c>
      <c r="C409" s="433" t="s">
        <v>337</v>
      </c>
      <c r="D409" s="434">
        <v>92740</v>
      </c>
      <c r="E409" s="435">
        <v>162520</v>
      </c>
      <c r="F409" s="434">
        <v>89950</v>
      </c>
      <c r="G409" s="435">
        <v>159730</v>
      </c>
      <c r="H409" s="436">
        <v>810</v>
      </c>
      <c r="I409" s="437">
        <v>1510</v>
      </c>
      <c r="J409" s="438" t="s">
        <v>731</v>
      </c>
      <c r="K409" s="436">
        <v>780</v>
      </c>
      <c r="L409" s="437">
        <v>1480</v>
      </c>
      <c r="M409" s="438" t="s">
        <v>287</v>
      </c>
      <c r="N409" s="446"/>
      <c r="O409" s="447"/>
      <c r="P409" s="441"/>
      <c r="Q409" s="441"/>
      <c r="R409" s="1279"/>
      <c r="S409" s="1282"/>
      <c r="T409" s="393" t="s">
        <v>293</v>
      </c>
      <c r="U409" s="442">
        <v>2500</v>
      </c>
      <c r="V409" s="443">
        <v>2800</v>
      </c>
      <c r="W409" s="441">
        <v>2460</v>
      </c>
      <c r="X409" s="444">
        <v>20</v>
      </c>
      <c r="Y409" s="448"/>
      <c r="Z409" s="1301"/>
      <c r="AA409" s="464"/>
      <c r="AB409" s="1287"/>
      <c r="AC409" s="1290"/>
      <c r="AD409" s="1271">
        <v>0.02</v>
      </c>
      <c r="AE409" s="1273">
        <v>0.03</v>
      </c>
      <c r="AF409" s="1273">
        <v>0.05</v>
      </c>
      <c r="AG409" s="1275">
        <v>7.0000000000000007E-2</v>
      </c>
      <c r="AH409" s="1277">
        <v>0.99</v>
      </c>
    </row>
    <row r="410" spans="1:87" ht="13.5" customHeight="1">
      <c r="A410" s="431" t="s">
        <v>323</v>
      </c>
      <c r="B410" s="449" t="s">
        <v>315</v>
      </c>
      <c r="C410" s="450" t="s">
        <v>338</v>
      </c>
      <c r="D410" s="451">
        <v>162520</v>
      </c>
      <c r="E410" s="452"/>
      <c r="F410" s="451">
        <v>159730</v>
      </c>
      <c r="G410" s="452"/>
      <c r="H410" s="439">
        <v>1510</v>
      </c>
      <c r="I410" s="453"/>
      <c r="J410" s="454" t="s">
        <v>731</v>
      </c>
      <c r="K410" s="439">
        <v>1480</v>
      </c>
      <c r="L410" s="453"/>
      <c r="M410" s="454" t="s">
        <v>287</v>
      </c>
      <c r="N410" s="446"/>
      <c r="O410" s="455"/>
      <c r="P410" s="441"/>
      <c r="Q410" s="441"/>
      <c r="R410" s="1280"/>
      <c r="S410" s="1283"/>
      <c r="T410" s="456" t="s">
        <v>294</v>
      </c>
      <c r="U410" s="457">
        <v>2300</v>
      </c>
      <c r="V410" s="458">
        <v>2500</v>
      </c>
      <c r="W410" s="459">
        <v>2460</v>
      </c>
      <c r="X410" s="460">
        <v>20</v>
      </c>
      <c r="Y410" s="448"/>
      <c r="Z410" s="1301"/>
      <c r="AA410" s="464"/>
      <c r="AB410" s="1288"/>
      <c r="AC410" s="1291"/>
      <c r="AD410" s="1272"/>
      <c r="AE410" s="1274"/>
      <c r="AF410" s="1274"/>
      <c r="AG410" s="1276"/>
      <c r="AH410" s="1277"/>
    </row>
    <row r="411" spans="1:87" ht="13.5" customHeight="1">
      <c r="A411" s="431" t="s">
        <v>323</v>
      </c>
      <c r="B411" s="416" t="s">
        <v>316</v>
      </c>
      <c r="C411" s="417" t="s">
        <v>334</v>
      </c>
      <c r="D411" s="418">
        <v>28210</v>
      </c>
      <c r="E411" s="419">
        <v>35180</v>
      </c>
      <c r="F411" s="418">
        <v>25580</v>
      </c>
      <c r="G411" s="419">
        <v>32550</v>
      </c>
      <c r="H411" s="420">
        <v>260</v>
      </c>
      <c r="I411" s="421">
        <v>320</v>
      </c>
      <c r="J411" s="422" t="s">
        <v>731</v>
      </c>
      <c r="K411" s="420">
        <v>230</v>
      </c>
      <c r="L411" s="421">
        <v>290</v>
      </c>
      <c r="M411" s="422" t="s">
        <v>287</v>
      </c>
      <c r="N411" s="423">
        <v>6970</v>
      </c>
      <c r="O411" s="424">
        <v>60</v>
      </c>
      <c r="P411" s="441"/>
      <c r="Q411" s="441"/>
      <c r="R411" s="1278">
        <v>2300</v>
      </c>
      <c r="S411" s="1281">
        <v>2500</v>
      </c>
      <c r="T411" s="426" t="s">
        <v>288</v>
      </c>
      <c r="U411" s="427">
        <v>4800</v>
      </c>
      <c r="V411" s="428">
        <v>5400</v>
      </c>
      <c r="W411" s="425">
        <v>2320</v>
      </c>
      <c r="X411" s="429">
        <v>20</v>
      </c>
      <c r="Y411" s="1284">
        <v>4500</v>
      </c>
      <c r="Z411" s="1301"/>
      <c r="AA411" s="464"/>
      <c r="AB411" s="1286">
        <v>2670</v>
      </c>
      <c r="AC411" s="1289">
        <v>20</v>
      </c>
      <c r="AD411" s="1292" t="s">
        <v>290</v>
      </c>
      <c r="AE411" s="1294" t="s">
        <v>290</v>
      </c>
      <c r="AF411" s="1294" t="s">
        <v>290</v>
      </c>
      <c r="AG411" s="1297" t="s">
        <v>290</v>
      </c>
      <c r="AH411" s="1269" t="s">
        <v>296</v>
      </c>
    </row>
    <row r="412" spans="1:87" ht="13.5" customHeight="1">
      <c r="A412" s="431" t="s">
        <v>323</v>
      </c>
      <c r="B412" s="432" t="s">
        <v>317</v>
      </c>
      <c r="C412" s="433" t="s">
        <v>336</v>
      </c>
      <c r="D412" s="434">
        <v>35180</v>
      </c>
      <c r="E412" s="435">
        <v>92050</v>
      </c>
      <c r="F412" s="434">
        <v>32550</v>
      </c>
      <c r="G412" s="435">
        <v>89420</v>
      </c>
      <c r="H412" s="436">
        <v>320</v>
      </c>
      <c r="I412" s="437">
        <v>800</v>
      </c>
      <c r="J412" s="438" t="s">
        <v>731</v>
      </c>
      <c r="K412" s="436">
        <v>290</v>
      </c>
      <c r="L412" s="437">
        <v>780</v>
      </c>
      <c r="M412" s="438" t="s">
        <v>287</v>
      </c>
      <c r="N412" s="439">
        <v>6970</v>
      </c>
      <c r="O412" s="440">
        <v>60</v>
      </c>
      <c r="P412" s="441"/>
      <c r="Q412" s="441"/>
      <c r="R412" s="1279"/>
      <c r="S412" s="1282"/>
      <c r="T412" s="393" t="s">
        <v>292</v>
      </c>
      <c r="U412" s="442">
        <v>2600</v>
      </c>
      <c r="V412" s="443">
        <v>2900</v>
      </c>
      <c r="W412" s="441">
        <v>2320</v>
      </c>
      <c r="X412" s="444">
        <v>20</v>
      </c>
      <c r="Y412" s="1285"/>
      <c r="Z412" s="1301"/>
      <c r="AA412" s="464"/>
      <c r="AB412" s="1287"/>
      <c r="AC412" s="1290"/>
      <c r="AD412" s="1293"/>
      <c r="AE412" s="1295"/>
      <c r="AF412" s="1295"/>
      <c r="AG412" s="1298"/>
      <c r="AH412" s="1270"/>
    </row>
    <row r="413" spans="1:87" ht="13.5" customHeight="1">
      <c r="A413" s="431" t="s">
        <v>323</v>
      </c>
      <c r="B413" s="432" t="s">
        <v>316</v>
      </c>
      <c r="C413" s="433" t="s">
        <v>337</v>
      </c>
      <c r="D413" s="434">
        <v>92050</v>
      </c>
      <c r="E413" s="435">
        <v>161830</v>
      </c>
      <c r="F413" s="434">
        <v>89420</v>
      </c>
      <c r="G413" s="435">
        <v>159200</v>
      </c>
      <c r="H413" s="436">
        <v>800</v>
      </c>
      <c r="I413" s="437">
        <v>1500</v>
      </c>
      <c r="J413" s="438" t="s">
        <v>731</v>
      </c>
      <c r="K413" s="436">
        <v>780</v>
      </c>
      <c r="L413" s="437">
        <v>1480</v>
      </c>
      <c r="M413" s="438" t="s">
        <v>287</v>
      </c>
      <c r="N413" s="446"/>
      <c r="O413" s="447"/>
      <c r="P413" s="441"/>
      <c r="Q413" s="441"/>
      <c r="R413" s="1279"/>
      <c r="S413" s="1282"/>
      <c r="T413" s="393" t="s">
        <v>293</v>
      </c>
      <c r="U413" s="442">
        <v>2300</v>
      </c>
      <c r="V413" s="443">
        <v>2500</v>
      </c>
      <c r="W413" s="441">
        <v>2320</v>
      </c>
      <c r="X413" s="444">
        <v>20</v>
      </c>
      <c r="Y413" s="448"/>
      <c r="Z413" s="1301"/>
      <c r="AA413" s="464"/>
      <c r="AB413" s="1287"/>
      <c r="AC413" s="1290"/>
      <c r="AD413" s="1271">
        <v>0.02</v>
      </c>
      <c r="AE413" s="1273">
        <v>0.03</v>
      </c>
      <c r="AF413" s="1273">
        <v>0.05</v>
      </c>
      <c r="AG413" s="1275">
        <v>7.0000000000000007E-2</v>
      </c>
      <c r="AH413" s="1277">
        <v>0.99</v>
      </c>
    </row>
    <row r="414" spans="1:87" ht="13.5" customHeight="1">
      <c r="A414" s="463" t="s">
        <v>323</v>
      </c>
      <c r="B414" s="449" t="s">
        <v>316</v>
      </c>
      <c r="C414" s="450" t="s">
        <v>338</v>
      </c>
      <c r="D414" s="451">
        <v>161830</v>
      </c>
      <c r="E414" s="452"/>
      <c r="F414" s="451">
        <v>159200</v>
      </c>
      <c r="G414" s="452"/>
      <c r="H414" s="439">
        <v>1500</v>
      </c>
      <c r="I414" s="453"/>
      <c r="J414" s="454" t="s">
        <v>731</v>
      </c>
      <c r="K414" s="439">
        <v>1480</v>
      </c>
      <c r="L414" s="453"/>
      <c r="M414" s="454" t="s">
        <v>287</v>
      </c>
      <c r="N414" s="446"/>
      <c r="O414" s="465"/>
      <c r="P414" s="459"/>
      <c r="Q414" s="459"/>
      <c r="R414" s="1280"/>
      <c r="S414" s="1283"/>
      <c r="T414" s="456" t="s">
        <v>294</v>
      </c>
      <c r="U414" s="457">
        <v>2000</v>
      </c>
      <c r="V414" s="458">
        <v>2300</v>
      </c>
      <c r="W414" s="459">
        <v>2320</v>
      </c>
      <c r="X414" s="460">
        <v>20</v>
      </c>
      <c r="Y414" s="448"/>
      <c r="Z414" s="1301"/>
      <c r="AA414" s="403"/>
      <c r="AB414" s="1288"/>
      <c r="AC414" s="1291"/>
      <c r="AD414" s="1272"/>
      <c r="AE414" s="1274"/>
      <c r="AF414" s="1274"/>
      <c r="AG414" s="1276"/>
      <c r="AH414" s="1296"/>
    </row>
    <row r="415" spans="1:87" s="89" customFormat="1" ht="13.5" customHeight="1">
      <c r="A415" s="416" t="s">
        <v>324</v>
      </c>
      <c r="B415" s="416" t="s">
        <v>286</v>
      </c>
      <c r="C415" s="417" t="s">
        <v>334</v>
      </c>
      <c r="D415" s="418">
        <v>110470</v>
      </c>
      <c r="E415" s="419">
        <v>117270</v>
      </c>
      <c r="F415" s="418">
        <v>87290</v>
      </c>
      <c r="G415" s="419">
        <v>94090</v>
      </c>
      <c r="H415" s="420">
        <v>1080</v>
      </c>
      <c r="I415" s="421">
        <v>1140</v>
      </c>
      <c r="J415" s="422" t="s">
        <v>731</v>
      </c>
      <c r="K415" s="420">
        <v>850</v>
      </c>
      <c r="L415" s="421">
        <v>910</v>
      </c>
      <c r="M415" s="422" t="s">
        <v>287</v>
      </c>
      <c r="N415" s="423">
        <v>6800</v>
      </c>
      <c r="O415" s="424">
        <v>60</v>
      </c>
      <c r="P415" s="425"/>
      <c r="Q415" s="425"/>
      <c r="R415" s="1278">
        <v>7200</v>
      </c>
      <c r="S415" s="1281">
        <v>7900</v>
      </c>
      <c r="T415" s="426" t="s">
        <v>288</v>
      </c>
      <c r="U415" s="427">
        <v>15800</v>
      </c>
      <c r="V415" s="428">
        <v>17600</v>
      </c>
      <c r="W415" s="425">
        <v>20400</v>
      </c>
      <c r="X415" s="429">
        <v>200</v>
      </c>
      <c r="Y415" s="1284">
        <v>4500</v>
      </c>
      <c r="Z415" s="1301" t="s">
        <v>289</v>
      </c>
      <c r="AA415" s="430"/>
      <c r="AB415" s="1286">
        <v>23360</v>
      </c>
      <c r="AC415" s="1289">
        <v>230</v>
      </c>
      <c r="AD415" s="1292" t="s">
        <v>290</v>
      </c>
      <c r="AE415" s="1294" t="s">
        <v>290</v>
      </c>
      <c r="AF415" s="1294" t="s">
        <v>290</v>
      </c>
      <c r="AG415" s="1297" t="s">
        <v>290</v>
      </c>
      <c r="AH415" s="1269" t="s">
        <v>296</v>
      </c>
      <c r="AI415" s="88"/>
      <c r="AJ415" s="88"/>
      <c r="AK415" s="88"/>
      <c r="AL415" s="88"/>
      <c r="AM415" s="88"/>
      <c r="AN415" s="88"/>
      <c r="AO415" s="88"/>
      <c r="AP415" s="88"/>
      <c r="AQ415" s="88"/>
      <c r="AR415" s="88"/>
      <c r="AS415" s="88"/>
      <c r="AT415" s="88"/>
      <c r="AU415" s="88"/>
      <c r="AV415" s="88"/>
      <c r="AW415" s="88"/>
      <c r="AY415" s="94"/>
      <c r="AZ415" s="94"/>
      <c r="BA415" s="94"/>
      <c r="BB415" s="94"/>
      <c r="BC415" s="94"/>
      <c r="BD415" s="94"/>
      <c r="BE415" s="94"/>
      <c r="BF415" s="94"/>
      <c r="BG415" s="94"/>
      <c r="BH415" s="94"/>
      <c r="BI415" s="94"/>
      <c r="BJ415" s="94"/>
      <c r="BK415" s="94"/>
      <c r="BL415" s="94"/>
      <c r="BM415" s="94"/>
      <c r="BN415" s="94"/>
      <c r="BO415" s="94"/>
      <c r="BP415" s="94"/>
      <c r="BQ415" s="94"/>
      <c r="BR415" s="94"/>
      <c r="BS415" s="94"/>
      <c r="BT415" s="94"/>
      <c r="BU415" s="94"/>
      <c r="BV415" s="94"/>
      <c r="BW415" s="94"/>
      <c r="BX415" s="94"/>
      <c r="BY415" s="94"/>
      <c r="BZ415" s="94"/>
      <c r="CA415" s="94"/>
      <c r="CB415" s="94"/>
      <c r="CC415" s="94"/>
      <c r="CD415" s="94"/>
      <c r="CE415" s="94"/>
      <c r="CF415" s="94"/>
      <c r="CG415" s="94"/>
      <c r="CH415" s="94"/>
      <c r="CI415" s="94"/>
    </row>
    <row r="416" spans="1:87" s="89" customFormat="1" ht="13.5" customHeight="1">
      <c r="A416" s="431" t="s">
        <v>324</v>
      </c>
      <c r="B416" s="432" t="s">
        <v>286</v>
      </c>
      <c r="C416" s="433" t="s">
        <v>336</v>
      </c>
      <c r="D416" s="434">
        <v>117270</v>
      </c>
      <c r="E416" s="435">
        <v>172910</v>
      </c>
      <c r="F416" s="434">
        <v>94090</v>
      </c>
      <c r="G416" s="435">
        <v>149730</v>
      </c>
      <c r="H416" s="436">
        <v>1140</v>
      </c>
      <c r="I416" s="437">
        <v>1610</v>
      </c>
      <c r="J416" s="438" t="s">
        <v>731</v>
      </c>
      <c r="K416" s="436">
        <v>910</v>
      </c>
      <c r="L416" s="437">
        <v>1380</v>
      </c>
      <c r="M416" s="438" t="s">
        <v>287</v>
      </c>
      <c r="N416" s="439">
        <v>6800</v>
      </c>
      <c r="O416" s="440">
        <v>60</v>
      </c>
      <c r="P416" s="441"/>
      <c r="Q416" s="441"/>
      <c r="R416" s="1279"/>
      <c r="S416" s="1282"/>
      <c r="T416" s="393" t="s">
        <v>292</v>
      </c>
      <c r="U416" s="442">
        <v>8700</v>
      </c>
      <c r="V416" s="443">
        <v>9700</v>
      </c>
      <c r="W416" s="441">
        <v>20400</v>
      </c>
      <c r="X416" s="444">
        <v>200</v>
      </c>
      <c r="Y416" s="1285"/>
      <c r="Z416" s="1301"/>
      <c r="AA416" s="445"/>
      <c r="AB416" s="1287"/>
      <c r="AC416" s="1290"/>
      <c r="AD416" s="1293"/>
      <c r="AE416" s="1295"/>
      <c r="AF416" s="1295"/>
      <c r="AG416" s="1298"/>
      <c r="AH416" s="1270"/>
      <c r="AI416" s="88"/>
      <c r="AJ416" s="88"/>
      <c r="AK416" s="88"/>
      <c r="AL416" s="88"/>
      <c r="AM416" s="88"/>
      <c r="AN416" s="88"/>
      <c r="AO416" s="88"/>
      <c r="AP416" s="88"/>
      <c r="AQ416" s="88"/>
      <c r="AR416" s="88"/>
      <c r="AS416" s="88"/>
      <c r="AT416" s="88"/>
      <c r="AU416" s="88"/>
      <c r="AV416" s="88"/>
      <c r="AW416" s="88"/>
    </row>
    <row r="417" spans="1:87" s="89" customFormat="1" ht="13.5" customHeight="1">
      <c r="A417" s="431" t="s">
        <v>324</v>
      </c>
      <c r="B417" s="432" t="s">
        <v>286</v>
      </c>
      <c r="C417" s="433" t="s">
        <v>337</v>
      </c>
      <c r="D417" s="434">
        <v>172910</v>
      </c>
      <c r="E417" s="435">
        <v>240930</v>
      </c>
      <c r="F417" s="434">
        <v>149730</v>
      </c>
      <c r="G417" s="435">
        <v>217750</v>
      </c>
      <c r="H417" s="436">
        <v>1610</v>
      </c>
      <c r="I417" s="437">
        <v>2290</v>
      </c>
      <c r="J417" s="438" t="s">
        <v>731</v>
      </c>
      <c r="K417" s="436">
        <v>1380</v>
      </c>
      <c r="L417" s="437">
        <v>2060</v>
      </c>
      <c r="M417" s="438" t="s">
        <v>287</v>
      </c>
      <c r="N417" s="446"/>
      <c r="O417" s="447"/>
      <c r="P417" s="441"/>
      <c r="Q417" s="441"/>
      <c r="R417" s="1279"/>
      <c r="S417" s="1282"/>
      <c r="T417" s="393" t="s">
        <v>293</v>
      </c>
      <c r="U417" s="442">
        <v>7600</v>
      </c>
      <c r="V417" s="443">
        <v>8400</v>
      </c>
      <c r="W417" s="441">
        <v>20400</v>
      </c>
      <c r="X417" s="444">
        <v>200</v>
      </c>
      <c r="Y417" s="448"/>
      <c r="Z417" s="1301"/>
      <c r="AA417" s="445"/>
      <c r="AB417" s="1287"/>
      <c r="AC417" s="1290"/>
      <c r="AD417" s="1271">
        <v>0.01</v>
      </c>
      <c r="AE417" s="1273">
        <v>0.03</v>
      </c>
      <c r="AF417" s="1273">
        <v>0.04</v>
      </c>
      <c r="AG417" s="1275">
        <v>0.06</v>
      </c>
      <c r="AH417" s="1277">
        <v>0.79</v>
      </c>
      <c r="AI417" s="88"/>
      <c r="AJ417" s="88"/>
      <c r="AK417" s="88"/>
      <c r="AL417" s="88"/>
      <c r="AM417" s="88"/>
      <c r="AN417" s="88"/>
      <c r="AO417" s="88"/>
      <c r="AP417" s="88"/>
      <c r="AQ417" s="88"/>
      <c r="AR417" s="88"/>
      <c r="AS417" s="88"/>
      <c r="AT417" s="88"/>
      <c r="AU417" s="88"/>
      <c r="AV417" s="88"/>
      <c r="AW417" s="88"/>
    </row>
    <row r="418" spans="1:87" s="89" customFormat="1" ht="13.5" customHeight="1">
      <c r="A418" s="431" t="s">
        <v>324</v>
      </c>
      <c r="B418" s="449" t="s">
        <v>286</v>
      </c>
      <c r="C418" s="450" t="s">
        <v>338</v>
      </c>
      <c r="D418" s="451">
        <v>240930</v>
      </c>
      <c r="E418" s="452"/>
      <c r="F418" s="451">
        <v>217750</v>
      </c>
      <c r="G418" s="452"/>
      <c r="H418" s="439">
        <v>2290</v>
      </c>
      <c r="I418" s="453"/>
      <c r="J418" s="454" t="s">
        <v>731</v>
      </c>
      <c r="K418" s="439">
        <v>2060</v>
      </c>
      <c r="L418" s="453"/>
      <c r="M418" s="454" t="s">
        <v>287</v>
      </c>
      <c r="N418" s="446"/>
      <c r="O418" s="455"/>
      <c r="P418" s="441"/>
      <c r="Q418" s="441"/>
      <c r="R418" s="1280"/>
      <c r="S418" s="1283"/>
      <c r="T418" s="456" t="s">
        <v>294</v>
      </c>
      <c r="U418" s="457">
        <v>6800</v>
      </c>
      <c r="V418" s="458">
        <v>7500</v>
      </c>
      <c r="W418" s="459">
        <v>20400</v>
      </c>
      <c r="X418" s="460">
        <v>200</v>
      </c>
      <c r="Y418" s="448"/>
      <c r="Z418" s="1301"/>
      <c r="AA418" s="445"/>
      <c r="AB418" s="1288"/>
      <c r="AC418" s="1291"/>
      <c r="AD418" s="1272"/>
      <c r="AE418" s="1274"/>
      <c r="AF418" s="1274"/>
      <c r="AG418" s="1276"/>
      <c r="AH418" s="1277"/>
      <c r="AI418" s="88"/>
      <c r="AJ418" s="88"/>
      <c r="AK418" s="88"/>
      <c r="AL418" s="88"/>
      <c r="AM418" s="88"/>
      <c r="AN418" s="88"/>
      <c r="AO418" s="88"/>
      <c r="AP418" s="88"/>
      <c r="AQ418" s="88"/>
      <c r="AR418" s="88"/>
      <c r="AS418" s="88"/>
      <c r="AT418" s="88"/>
      <c r="AU418" s="88"/>
      <c r="AV418" s="88"/>
      <c r="AW418" s="88"/>
    </row>
    <row r="419" spans="1:87" s="89" customFormat="1" ht="13.5" customHeight="1">
      <c r="A419" s="431" t="s">
        <v>324</v>
      </c>
      <c r="B419" s="416" t="s">
        <v>295</v>
      </c>
      <c r="C419" s="417" t="s">
        <v>334</v>
      </c>
      <c r="D419" s="418">
        <v>79690</v>
      </c>
      <c r="E419" s="419">
        <v>86490</v>
      </c>
      <c r="F419" s="418">
        <v>64230</v>
      </c>
      <c r="G419" s="419">
        <v>71030</v>
      </c>
      <c r="H419" s="420">
        <v>770</v>
      </c>
      <c r="I419" s="421">
        <v>830</v>
      </c>
      <c r="J419" s="422" t="s">
        <v>731</v>
      </c>
      <c r="K419" s="420">
        <v>620</v>
      </c>
      <c r="L419" s="421">
        <v>680</v>
      </c>
      <c r="M419" s="422" t="s">
        <v>287</v>
      </c>
      <c r="N419" s="423">
        <v>6800</v>
      </c>
      <c r="O419" s="424">
        <v>60</v>
      </c>
      <c r="P419" s="441"/>
      <c r="Q419" s="441"/>
      <c r="R419" s="1278">
        <v>5000</v>
      </c>
      <c r="S419" s="1281">
        <v>5500</v>
      </c>
      <c r="T419" s="426" t="s">
        <v>288</v>
      </c>
      <c r="U419" s="427">
        <v>10900</v>
      </c>
      <c r="V419" s="428">
        <v>12200</v>
      </c>
      <c r="W419" s="425">
        <v>13600</v>
      </c>
      <c r="X419" s="429">
        <v>130</v>
      </c>
      <c r="Y419" s="1284">
        <v>4500</v>
      </c>
      <c r="Z419" s="1301"/>
      <c r="AA419" s="445"/>
      <c r="AB419" s="1286">
        <v>15570</v>
      </c>
      <c r="AC419" s="1289">
        <v>150</v>
      </c>
      <c r="AD419" s="1292" t="s">
        <v>290</v>
      </c>
      <c r="AE419" s="1294" t="s">
        <v>290</v>
      </c>
      <c r="AF419" s="1294" t="s">
        <v>290</v>
      </c>
      <c r="AG419" s="1297" t="s">
        <v>290</v>
      </c>
      <c r="AH419" s="1269" t="s">
        <v>296</v>
      </c>
      <c r="AI419" s="88"/>
      <c r="AJ419" s="88"/>
      <c r="AK419" s="88"/>
      <c r="AL419" s="88"/>
      <c r="AM419" s="88"/>
      <c r="AN419" s="88"/>
      <c r="AO419" s="88"/>
      <c r="AP419" s="88"/>
      <c r="AQ419" s="88"/>
      <c r="AR419" s="88"/>
      <c r="AS419" s="88"/>
      <c r="AT419" s="88"/>
      <c r="AU419" s="88"/>
      <c r="AV419" s="88"/>
      <c r="AW419" s="88"/>
    </row>
    <row r="420" spans="1:87" s="89" customFormat="1" ht="13.5" customHeight="1">
      <c r="A420" s="431" t="s">
        <v>324</v>
      </c>
      <c r="B420" s="432" t="s">
        <v>297</v>
      </c>
      <c r="C420" s="433" t="s">
        <v>336</v>
      </c>
      <c r="D420" s="434">
        <v>86490</v>
      </c>
      <c r="E420" s="435">
        <v>142130</v>
      </c>
      <c r="F420" s="434">
        <v>71030</v>
      </c>
      <c r="G420" s="435">
        <v>126670</v>
      </c>
      <c r="H420" s="436">
        <v>830</v>
      </c>
      <c r="I420" s="437">
        <v>1310</v>
      </c>
      <c r="J420" s="438" t="s">
        <v>731</v>
      </c>
      <c r="K420" s="436">
        <v>680</v>
      </c>
      <c r="L420" s="437">
        <v>1150</v>
      </c>
      <c r="M420" s="438" t="s">
        <v>287</v>
      </c>
      <c r="N420" s="439">
        <v>6800</v>
      </c>
      <c r="O420" s="440">
        <v>60</v>
      </c>
      <c r="P420" s="441"/>
      <c r="Q420" s="441"/>
      <c r="R420" s="1279"/>
      <c r="S420" s="1282"/>
      <c r="T420" s="393" t="s">
        <v>292</v>
      </c>
      <c r="U420" s="442">
        <v>6000</v>
      </c>
      <c r="V420" s="443">
        <v>6700</v>
      </c>
      <c r="W420" s="441">
        <v>13600</v>
      </c>
      <c r="X420" s="444">
        <v>130</v>
      </c>
      <c r="Y420" s="1285"/>
      <c r="Z420" s="1301"/>
      <c r="AA420" s="445"/>
      <c r="AB420" s="1287"/>
      <c r="AC420" s="1290"/>
      <c r="AD420" s="1293"/>
      <c r="AE420" s="1295"/>
      <c r="AF420" s="1295"/>
      <c r="AG420" s="1298"/>
      <c r="AH420" s="1270"/>
      <c r="AI420" s="88"/>
      <c r="AJ420" s="88"/>
      <c r="AK420" s="88"/>
      <c r="AL420" s="88"/>
      <c r="AM420" s="88"/>
      <c r="AN420" s="88"/>
      <c r="AO420" s="88"/>
      <c r="AP420" s="88"/>
      <c r="AQ420" s="88"/>
      <c r="AR420" s="88"/>
      <c r="AS420" s="88"/>
      <c r="AT420" s="88"/>
      <c r="AU420" s="88"/>
      <c r="AV420" s="88"/>
      <c r="AW420" s="88"/>
    </row>
    <row r="421" spans="1:87" s="89" customFormat="1" ht="13.5" customHeight="1">
      <c r="A421" s="431" t="s">
        <v>324</v>
      </c>
      <c r="B421" s="432" t="s">
        <v>297</v>
      </c>
      <c r="C421" s="433" t="s">
        <v>337</v>
      </c>
      <c r="D421" s="434">
        <v>142130</v>
      </c>
      <c r="E421" s="435">
        <v>210150</v>
      </c>
      <c r="F421" s="434">
        <v>126670</v>
      </c>
      <c r="G421" s="435">
        <v>194690</v>
      </c>
      <c r="H421" s="436">
        <v>1310</v>
      </c>
      <c r="I421" s="437">
        <v>1990</v>
      </c>
      <c r="J421" s="438" t="s">
        <v>731</v>
      </c>
      <c r="K421" s="436">
        <v>1150</v>
      </c>
      <c r="L421" s="437">
        <v>1830</v>
      </c>
      <c r="M421" s="438" t="s">
        <v>287</v>
      </c>
      <c r="N421" s="446"/>
      <c r="O421" s="447"/>
      <c r="P421" s="461"/>
      <c r="Q421" s="461"/>
      <c r="R421" s="1279"/>
      <c r="S421" s="1282"/>
      <c r="T421" s="393" t="s">
        <v>293</v>
      </c>
      <c r="U421" s="442">
        <v>5200</v>
      </c>
      <c r="V421" s="443">
        <v>5800</v>
      </c>
      <c r="W421" s="441">
        <v>13600</v>
      </c>
      <c r="X421" s="444">
        <v>130</v>
      </c>
      <c r="Y421" s="448"/>
      <c r="Z421" s="1301"/>
      <c r="AA421" s="445"/>
      <c r="AB421" s="1287"/>
      <c r="AC421" s="1290"/>
      <c r="AD421" s="1271">
        <v>0.02</v>
      </c>
      <c r="AE421" s="1273">
        <v>0.03</v>
      </c>
      <c r="AF421" s="1273">
        <v>0.05</v>
      </c>
      <c r="AG421" s="1275">
        <v>0.06</v>
      </c>
      <c r="AH421" s="1277">
        <v>0.87</v>
      </c>
      <c r="AI421" s="88"/>
      <c r="AJ421" s="88"/>
      <c r="AK421" s="88"/>
      <c r="AL421" s="88"/>
      <c r="AM421" s="88"/>
      <c r="AN421" s="88"/>
      <c r="AO421" s="88"/>
      <c r="AP421" s="88"/>
      <c r="AQ421" s="88"/>
      <c r="AR421" s="88"/>
      <c r="AS421" s="88"/>
      <c r="AT421" s="88"/>
      <c r="AU421" s="88"/>
      <c r="AV421" s="88"/>
      <c r="AW421" s="88"/>
    </row>
    <row r="422" spans="1:87" s="89" customFormat="1" ht="13.5" customHeight="1">
      <c r="A422" s="431" t="s">
        <v>324</v>
      </c>
      <c r="B422" s="449" t="s">
        <v>297</v>
      </c>
      <c r="C422" s="450" t="s">
        <v>338</v>
      </c>
      <c r="D422" s="451">
        <v>210150</v>
      </c>
      <c r="E422" s="452"/>
      <c r="F422" s="451">
        <v>194690</v>
      </c>
      <c r="G422" s="452"/>
      <c r="H422" s="439">
        <v>1990</v>
      </c>
      <c r="I422" s="453"/>
      <c r="J422" s="454" t="s">
        <v>731</v>
      </c>
      <c r="K422" s="439">
        <v>1830</v>
      </c>
      <c r="L422" s="453"/>
      <c r="M422" s="454" t="s">
        <v>287</v>
      </c>
      <c r="N422" s="446"/>
      <c r="O422" s="455"/>
      <c r="P422" s="461"/>
      <c r="Q422" s="461"/>
      <c r="R422" s="1280"/>
      <c r="S422" s="1283"/>
      <c r="T422" s="456" t="s">
        <v>294</v>
      </c>
      <c r="U422" s="457">
        <v>4700</v>
      </c>
      <c r="V422" s="458">
        <v>5200</v>
      </c>
      <c r="W422" s="459">
        <v>13600</v>
      </c>
      <c r="X422" s="460">
        <v>130</v>
      </c>
      <c r="Y422" s="448"/>
      <c r="Z422" s="1301"/>
      <c r="AA422" s="445"/>
      <c r="AB422" s="1288"/>
      <c r="AC422" s="1291"/>
      <c r="AD422" s="1272"/>
      <c r="AE422" s="1274"/>
      <c r="AF422" s="1274"/>
      <c r="AG422" s="1276"/>
      <c r="AH422" s="1277"/>
      <c r="AI422" s="88"/>
      <c r="AJ422" s="88"/>
      <c r="AK422" s="88"/>
      <c r="AL422" s="88"/>
      <c r="AM422" s="88"/>
      <c r="AN422" s="88"/>
      <c r="AO422" s="88"/>
      <c r="AP422" s="88"/>
      <c r="AQ422" s="88"/>
      <c r="AR422" s="88"/>
      <c r="AS422" s="88"/>
      <c r="AT422" s="88"/>
      <c r="AU422" s="88"/>
      <c r="AV422" s="88"/>
      <c r="AW422" s="88"/>
    </row>
    <row r="423" spans="1:87" ht="13.5" customHeight="1">
      <c r="A423" s="431" t="s">
        <v>324</v>
      </c>
      <c r="B423" s="416" t="s">
        <v>298</v>
      </c>
      <c r="C423" s="417" t="s">
        <v>334</v>
      </c>
      <c r="D423" s="418">
        <v>64410</v>
      </c>
      <c r="E423" s="419">
        <v>71210</v>
      </c>
      <c r="F423" s="418">
        <v>52820</v>
      </c>
      <c r="G423" s="419">
        <v>59620</v>
      </c>
      <c r="H423" s="420">
        <v>620</v>
      </c>
      <c r="I423" s="421">
        <v>680</v>
      </c>
      <c r="J423" s="422" t="s">
        <v>731</v>
      </c>
      <c r="K423" s="420">
        <v>510</v>
      </c>
      <c r="L423" s="421">
        <v>570</v>
      </c>
      <c r="M423" s="422" t="s">
        <v>287</v>
      </c>
      <c r="N423" s="423">
        <v>6800</v>
      </c>
      <c r="O423" s="424">
        <v>60</v>
      </c>
      <c r="P423" s="461"/>
      <c r="Q423" s="461"/>
      <c r="R423" s="1278">
        <v>4400</v>
      </c>
      <c r="S423" s="1281">
        <v>4800</v>
      </c>
      <c r="T423" s="426" t="s">
        <v>288</v>
      </c>
      <c r="U423" s="427">
        <v>9800</v>
      </c>
      <c r="V423" s="428">
        <v>10900</v>
      </c>
      <c r="W423" s="425">
        <v>10200</v>
      </c>
      <c r="X423" s="429">
        <v>100</v>
      </c>
      <c r="Y423" s="1284">
        <v>4500</v>
      </c>
      <c r="Z423" s="1301"/>
      <c r="AA423" s="445"/>
      <c r="AB423" s="1286">
        <v>11680</v>
      </c>
      <c r="AC423" s="1289">
        <v>110</v>
      </c>
      <c r="AD423" s="1292" t="s">
        <v>290</v>
      </c>
      <c r="AE423" s="1294" t="s">
        <v>290</v>
      </c>
      <c r="AF423" s="1294" t="s">
        <v>290</v>
      </c>
      <c r="AG423" s="1297" t="s">
        <v>290</v>
      </c>
      <c r="AH423" s="1269" t="s">
        <v>296</v>
      </c>
      <c r="AY423" s="89"/>
      <c r="AZ423" s="89"/>
      <c r="BA423" s="89"/>
      <c r="BB423" s="89"/>
      <c r="BC423" s="89"/>
      <c r="BD423" s="89"/>
      <c r="BE423" s="89"/>
      <c r="BF423" s="89"/>
      <c r="BG423" s="89"/>
      <c r="BH423" s="89"/>
      <c r="BI423" s="89"/>
      <c r="BJ423" s="89"/>
      <c r="BK423" s="89"/>
      <c r="BL423" s="89"/>
      <c r="BM423" s="89"/>
      <c r="BN423" s="89"/>
      <c r="BO423" s="89"/>
      <c r="BP423" s="89"/>
      <c r="BQ423" s="89"/>
      <c r="BR423" s="89"/>
      <c r="BS423" s="89"/>
      <c r="BT423" s="89"/>
      <c r="BU423" s="89"/>
      <c r="BV423" s="89"/>
      <c r="BW423" s="89"/>
      <c r="BX423" s="89"/>
      <c r="BY423" s="89"/>
      <c r="BZ423" s="89"/>
      <c r="CA423" s="89"/>
      <c r="CB423" s="89"/>
      <c r="CC423" s="89"/>
      <c r="CD423" s="89"/>
      <c r="CE423" s="89"/>
      <c r="CF423" s="89"/>
      <c r="CG423" s="89"/>
      <c r="CH423" s="89"/>
      <c r="CI423" s="89"/>
    </row>
    <row r="424" spans="1:87" ht="13.5" customHeight="1">
      <c r="A424" s="431" t="s">
        <v>324</v>
      </c>
      <c r="B424" s="432" t="s">
        <v>299</v>
      </c>
      <c r="C424" s="433" t="s">
        <v>336</v>
      </c>
      <c r="D424" s="434">
        <v>71210</v>
      </c>
      <c r="E424" s="435">
        <v>126850</v>
      </c>
      <c r="F424" s="434">
        <v>59620</v>
      </c>
      <c r="G424" s="435">
        <v>115260</v>
      </c>
      <c r="H424" s="436">
        <v>680</v>
      </c>
      <c r="I424" s="437">
        <v>1150</v>
      </c>
      <c r="J424" s="438" t="s">
        <v>731</v>
      </c>
      <c r="K424" s="436">
        <v>570</v>
      </c>
      <c r="L424" s="437">
        <v>1040</v>
      </c>
      <c r="M424" s="438" t="s">
        <v>287</v>
      </c>
      <c r="N424" s="439">
        <v>6800</v>
      </c>
      <c r="O424" s="440">
        <v>60</v>
      </c>
      <c r="P424" s="461"/>
      <c r="Q424" s="461"/>
      <c r="R424" s="1279"/>
      <c r="S424" s="1282"/>
      <c r="T424" s="393" t="s">
        <v>292</v>
      </c>
      <c r="U424" s="442">
        <v>5400</v>
      </c>
      <c r="V424" s="443">
        <v>6000</v>
      </c>
      <c r="W424" s="441">
        <v>10200</v>
      </c>
      <c r="X424" s="444">
        <v>100</v>
      </c>
      <c r="Y424" s="1285"/>
      <c r="Z424" s="1301"/>
      <c r="AA424" s="445"/>
      <c r="AB424" s="1287"/>
      <c r="AC424" s="1290"/>
      <c r="AD424" s="1293"/>
      <c r="AE424" s="1295"/>
      <c r="AF424" s="1295"/>
      <c r="AG424" s="1298"/>
      <c r="AH424" s="1270"/>
    </row>
    <row r="425" spans="1:87" ht="13.5" customHeight="1">
      <c r="A425" s="431" t="s">
        <v>324</v>
      </c>
      <c r="B425" s="432" t="s">
        <v>299</v>
      </c>
      <c r="C425" s="433" t="s">
        <v>337</v>
      </c>
      <c r="D425" s="434">
        <v>126850</v>
      </c>
      <c r="E425" s="435">
        <v>194870</v>
      </c>
      <c r="F425" s="434">
        <v>115260</v>
      </c>
      <c r="G425" s="435">
        <v>183280</v>
      </c>
      <c r="H425" s="436">
        <v>1150</v>
      </c>
      <c r="I425" s="437">
        <v>1830</v>
      </c>
      <c r="J425" s="438" t="s">
        <v>731</v>
      </c>
      <c r="K425" s="436">
        <v>1040</v>
      </c>
      <c r="L425" s="437">
        <v>1720</v>
      </c>
      <c r="M425" s="438" t="s">
        <v>287</v>
      </c>
      <c r="N425" s="446"/>
      <c r="O425" s="447"/>
      <c r="P425" s="461"/>
      <c r="Q425" s="461"/>
      <c r="R425" s="1279"/>
      <c r="S425" s="1282"/>
      <c r="T425" s="393" t="s">
        <v>293</v>
      </c>
      <c r="U425" s="442">
        <v>4700</v>
      </c>
      <c r="V425" s="443">
        <v>5200</v>
      </c>
      <c r="W425" s="441">
        <v>10200</v>
      </c>
      <c r="X425" s="444">
        <v>100</v>
      </c>
      <c r="Y425" s="448"/>
      <c r="Z425" s="1301"/>
      <c r="AA425" s="445"/>
      <c r="AB425" s="1287"/>
      <c r="AC425" s="1290"/>
      <c r="AD425" s="1271">
        <v>0.02</v>
      </c>
      <c r="AE425" s="1273">
        <v>0.03</v>
      </c>
      <c r="AF425" s="1273">
        <v>0.05</v>
      </c>
      <c r="AG425" s="1275">
        <v>0.06</v>
      </c>
      <c r="AH425" s="1277">
        <v>0.96</v>
      </c>
    </row>
    <row r="426" spans="1:87" ht="13.5" customHeight="1">
      <c r="A426" s="431" t="s">
        <v>324</v>
      </c>
      <c r="B426" s="449" t="s">
        <v>299</v>
      </c>
      <c r="C426" s="450" t="s">
        <v>338</v>
      </c>
      <c r="D426" s="451">
        <v>194870</v>
      </c>
      <c r="E426" s="452"/>
      <c r="F426" s="451">
        <v>183280</v>
      </c>
      <c r="G426" s="452"/>
      <c r="H426" s="439">
        <v>1830</v>
      </c>
      <c r="I426" s="453"/>
      <c r="J426" s="454" t="s">
        <v>731</v>
      </c>
      <c r="K426" s="439">
        <v>1720</v>
      </c>
      <c r="L426" s="453"/>
      <c r="M426" s="454" t="s">
        <v>287</v>
      </c>
      <c r="N426" s="446"/>
      <c r="O426" s="455"/>
      <c r="P426" s="461"/>
      <c r="Q426" s="461"/>
      <c r="R426" s="1280"/>
      <c r="S426" s="1283"/>
      <c r="T426" s="456" t="s">
        <v>294</v>
      </c>
      <c r="U426" s="457">
        <v>4200</v>
      </c>
      <c r="V426" s="458">
        <v>4600</v>
      </c>
      <c r="W426" s="459">
        <v>10200</v>
      </c>
      <c r="X426" s="460">
        <v>100</v>
      </c>
      <c r="Y426" s="448"/>
      <c r="Z426" s="1301"/>
      <c r="AA426" s="445"/>
      <c r="AB426" s="1288"/>
      <c r="AC426" s="1291"/>
      <c r="AD426" s="1272"/>
      <c r="AE426" s="1274"/>
      <c r="AF426" s="1274"/>
      <c r="AG426" s="1276"/>
      <c r="AH426" s="1277"/>
    </row>
    <row r="427" spans="1:87" ht="13.5" customHeight="1">
      <c r="A427" s="431" t="s">
        <v>324</v>
      </c>
      <c r="B427" s="416" t="s">
        <v>300</v>
      </c>
      <c r="C427" s="417" t="s">
        <v>334</v>
      </c>
      <c r="D427" s="418">
        <v>60260</v>
      </c>
      <c r="E427" s="419">
        <v>67060</v>
      </c>
      <c r="F427" s="418">
        <v>50980</v>
      </c>
      <c r="G427" s="419">
        <v>57780</v>
      </c>
      <c r="H427" s="420">
        <v>580</v>
      </c>
      <c r="I427" s="421">
        <v>640</v>
      </c>
      <c r="J427" s="422" t="s">
        <v>731</v>
      </c>
      <c r="K427" s="420">
        <v>490</v>
      </c>
      <c r="L427" s="421">
        <v>550</v>
      </c>
      <c r="M427" s="422" t="s">
        <v>287</v>
      </c>
      <c r="N427" s="423">
        <v>6800</v>
      </c>
      <c r="O427" s="424">
        <v>60</v>
      </c>
      <c r="P427" s="1300"/>
      <c r="Q427" s="1300"/>
      <c r="R427" s="1278">
        <v>4000</v>
      </c>
      <c r="S427" s="1281">
        <v>4400</v>
      </c>
      <c r="T427" s="426" t="s">
        <v>288</v>
      </c>
      <c r="U427" s="427">
        <v>8800</v>
      </c>
      <c r="V427" s="428">
        <v>9800</v>
      </c>
      <c r="W427" s="425">
        <v>8160</v>
      </c>
      <c r="X427" s="429">
        <v>80</v>
      </c>
      <c r="Y427" s="1284">
        <v>4500</v>
      </c>
      <c r="Z427" s="1301"/>
      <c r="AA427" s="445"/>
      <c r="AB427" s="1286">
        <v>9340</v>
      </c>
      <c r="AC427" s="1289">
        <v>90</v>
      </c>
      <c r="AD427" s="1292" t="s">
        <v>290</v>
      </c>
      <c r="AE427" s="1294" t="s">
        <v>290</v>
      </c>
      <c r="AF427" s="1294" t="s">
        <v>290</v>
      </c>
      <c r="AG427" s="1297" t="s">
        <v>290</v>
      </c>
      <c r="AH427" s="1269" t="s">
        <v>296</v>
      </c>
    </row>
    <row r="428" spans="1:87" ht="13.5" customHeight="1">
      <c r="A428" s="431" t="s">
        <v>324</v>
      </c>
      <c r="B428" s="432" t="s">
        <v>301</v>
      </c>
      <c r="C428" s="433" t="s">
        <v>336</v>
      </c>
      <c r="D428" s="434">
        <v>67060</v>
      </c>
      <c r="E428" s="435">
        <v>122700</v>
      </c>
      <c r="F428" s="434">
        <v>57780</v>
      </c>
      <c r="G428" s="435">
        <v>113420</v>
      </c>
      <c r="H428" s="436">
        <v>640</v>
      </c>
      <c r="I428" s="437">
        <v>1110</v>
      </c>
      <c r="J428" s="438" t="s">
        <v>731</v>
      </c>
      <c r="K428" s="436">
        <v>550</v>
      </c>
      <c r="L428" s="437">
        <v>1020</v>
      </c>
      <c r="M428" s="438" t="s">
        <v>287</v>
      </c>
      <c r="N428" s="439">
        <v>6800</v>
      </c>
      <c r="O428" s="440">
        <v>60</v>
      </c>
      <c r="P428" s="1300"/>
      <c r="Q428" s="1300"/>
      <c r="R428" s="1279"/>
      <c r="S428" s="1282"/>
      <c r="T428" s="393" t="s">
        <v>292</v>
      </c>
      <c r="U428" s="442">
        <v>4800</v>
      </c>
      <c r="V428" s="443">
        <v>5400</v>
      </c>
      <c r="W428" s="441">
        <v>8160</v>
      </c>
      <c r="X428" s="444">
        <v>80</v>
      </c>
      <c r="Y428" s="1285"/>
      <c r="Z428" s="1301"/>
      <c r="AA428" s="445"/>
      <c r="AB428" s="1287"/>
      <c r="AC428" s="1290"/>
      <c r="AD428" s="1293"/>
      <c r="AE428" s="1295"/>
      <c r="AF428" s="1295"/>
      <c r="AG428" s="1298"/>
      <c r="AH428" s="1270"/>
    </row>
    <row r="429" spans="1:87" ht="13.5" customHeight="1">
      <c r="A429" s="431" t="s">
        <v>324</v>
      </c>
      <c r="B429" s="432" t="s">
        <v>301</v>
      </c>
      <c r="C429" s="433" t="s">
        <v>337</v>
      </c>
      <c r="D429" s="434">
        <v>122700</v>
      </c>
      <c r="E429" s="435">
        <v>190720</v>
      </c>
      <c r="F429" s="434">
        <v>113420</v>
      </c>
      <c r="G429" s="435">
        <v>181440</v>
      </c>
      <c r="H429" s="436">
        <v>1110</v>
      </c>
      <c r="I429" s="437">
        <v>1790</v>
      </c>
      <c r="J429" s="438" t="s">
        <v>731</v>
      </c>
      <c r="K429" s="436">
        <v>1020</v>
      </c>
      <c r="L429" s="437">
        <v>1700</v>
      </c>
      <c r="M429" s="438" t="s">
        <v>287</v>
      </c>
      <c r="N429" s="446"/>
      <c r="O429" s="447"/>
      <c r="P429" s="1300"/>
      <c r="Q429" s="1300"/>
      <c r="R429" s="1279"/>
      <c r="S429" s="1282"/>
      <c r="T429" s="393" t="s">
        <v>293</v>
      </c>
      <c r="U429" s="442">
        <v>4200</v>
      </c>
      <c r="V429" s="443">
        <v>4700</v>
      </c>
      <c r="W429" s="441">
        <v>8160</v>
      </c>
      <c r="X429" s="444">
        <v>80</v>
      </c>
      <c r="Y429" s="448"/>
      <c r="Z429" s="1301"/>
      <c r="AA429" s="445"/>
      <c r="AB429" s="1287"/>
      <c r="AC429" s="1290"/>
      <c r="AD429" s="1271">
        <v>0.02</v>
      </c>
      <c r="AE429" s="1273">
        <v>0.03</v>
      </c>
      <c r="AF429" s="1273">
        <v>0.05</v>
      </c>
      <c r="AG429" s="1275">
        <v>0.06</v>
      </c>
      <c r="AH429" s="1277">
        <v>0.92</v>
      </c>
    </row>
    <row r="430" spans="1:87" ht="13.5" customHeight="1">
      <c r="A430" s="431" t="s">
        <v>324</v>
      </c>
      <c r="B430" s="449" t="s">
        <v>301</v>
      </c>
      <c r="C430" s="450" t="s">
        <v>338</v>
      </c>
      <c r="D430" s="451">
        <v>190720</v>
      </c>
      <c r="E430" s="452"/>
      <c r="F430" s="451">
        <v>181440</v>
      </c>
      <c r="G430" s="452"/>
      <c r="H430" s="439">
        <v>1790</v>
      </c>
      <c r="I430" s="453"/>
      <c r="J430" s="454" t="s">
        <v>731</v>
      </c>
      <c r="K430" s="439">
        <v>1700</v>
      </c>
      <c r="L430" s="453"/>
      <c r="M430" s="454" t="s">
        <v>287</v>
      </c>
      <c r="N430" s="446"/>
      <c r="O430" s="455"/>
      <c r="P430" s="441"/>
      <c r="Q430" s="441"/>
      <c r="R430" s="1280"/>
      <c r="S430" s="1283"/>
      <c r="T430" s="456" t="s">
        <v>294</v>
      </c>
      <c r="U430" s="457">
        <v>3800</v>
      </c>
      <c r="V430" s="458">
        <v>4200</v>
      </c>
      <c r="W430" s="459">
        <v>8160</v>
      </c>
      <c r="X430" s="460">
        <v>80</v>
      </c>
      <c r="Y430" s="448"/>
      <c r="Z430" s="1301"/>
      <c r="AA430" s="445"/>
      <c r="AB430" s="1288"/>
      <c r="AC430" s="1291"/>
      <c r="AD430" s="1272"/>
      <c r="AE430" s="1274"/>
      <c r="AF430" s="1274"/>
      <c r="AG430" s="1276"/>
      <c r="AH430" s="1277"/>
    </row>
    <row r="431" spans="1:87" ht="13.5" customHeight="1">
      <c r="A431" s="431" t="s">
        <v>324</v>
      </c>
      <c r="B431" s="416" t="s">
        <v>303</v>
      </c>
      <c r="C431" s="417" t="s">
        <v>334</v>
      </c>
      <c r="D431" s="418">
        <v>52810</v>
      </c>
      <c r="E431" s="419">
        <v>59610</v>
      </c>
      <c r="F431" s="418">
        <v>45090</v>
      </c>
      <c r="G431" s="419">
        <v>51890</v>
      </c>
      <c r="H431" s="420">
        <v>510</v>
      </c>
      <c r="I431" s="421">
        <v>570</v>
      </c>
      <c r="J431" s="422" t="s">
        <v>731</v>
      </c>
      <c r="K431" s="420">
        <v>430</v>
      </c>
      <c r="L431" s="421">
        <v>490</v>
      </c>
      <c r="M431" s="422" t="s">
        <v>287</v>
      </c>
      <c r="N431" s="423">
        <v>6800</v>
      </c>
      <c r="O431" s="424">
        <v>60</v>
      </c>
      <c r="P431" s="441"/>
      <c r="Q431" s="441"/>
      <c r="R431" s="1278">
        <v>3300</v>
      </c>
      <c r="S431" s="1281">
        <v>3600</v>
      </c>
      <c r="T431" s="426" t="s">
        <v>288</v>
      </c>
      <c r="U431" s="427">
        <v>7200</v>
      </c>
      <c r="V431" s="428">
        <v>8100</v>
      </c>
      <c r="W431" s="425">
        <v>6800</v>
      </c>
      <c r="X431" s="429">
        <v>60</v>
      </c>
      <c r="Y431" s="1284">
        <v>4500</v>
      </c>
      <c r="Z431" s="1301"/>
      <c r="AA431" s="445"/>
      <c r="AB431" s="1286">
        <v>7780</v>
      </c>
      <c r="AC431" s="1289">
        <v>70</v>
      </c>
      <c r="AD431" s="1292" t="s">
        <v>290</v>
      </c>
      <c r="AE431" s="1294" t="s">
        <v>290</v>
      </c>
      <c r="AF431" s="1294" t="s">
        <v>290</v>
      </c>
      <c r="AG431" s="1297" t="s">
        <v>290</v>
      </c>
      <c r="AH431" s="1269" t="s">
        <v>296</v>
      </c>
    </row>
    <row r="432" spans="1:87" ht="13.5" customHeight="1">
      <c r="A432" s="431" t="s">
        <v>324</v>
      </c>
      <c r="B432" s="431" t="s">
        <v>303</v>
      </c>
      <c r="C432" s="433" t="s">
        <v>336</v>
      </c>
      <c r="D432" s="434">
        <v>59610</v>
      </c>
      <c r="E432" s="435">
        <v>115250</v>
      </c>
      <c r="F432" s="434">
        <v>51890</v>
      </c>
      <c r="G432" s="435">
        <v>107530</v>
      </c>
      <c r="H432" s="436">
        <v>570</v>
      </c>
      <c r="I432" s="437">
        <v>1040</v>
      </c>
      <c r="J432" s="438" t="s">
        <v>731</v>
      </c>
      <c r="K432" s="436">
        <v>490</v>
      </c>
      <c r="L432" s="437">
        <v>960</v>
      </c>
      <c r="M432" s="438" t="s">
        <v>287</v>
      </c>
      <c r="N432" s="439">
        <v>6800</v>
      </c>
      <c r="O432" s="440">
        <v>60</v>
      </c>
      <c r="P432" s="462"/>
      <c r="Q432" s="462"/>
      <c r="R432" s="1279"/>
      <c r="S432" s="1282"/>
      <c r="T432" s="393" t="s">
        <v>292</v>
      </c>
      <c r="U432" s="442">
        <v>4000</v>
      </c>
      <c r="V432" s="443">
        <v>4400</v>
      </c>
      <c r="W432" s="441">
        <v>6800</v>
      </c>
      <c r="X432" s="444">
        <v>60</v>
      </c>
      <c r="Y432" s="1285"/>
      <c r="Z432" s="1301"/>
      <c r="AA432" s="445"/>
      <c r="AB432" s="1287"/>
      <c r="AC432" s="1290"/>
      <c r="AD432" s="1293"/>
      <c r="AE432" s="1295"/>
      <c r="AF432" s="1295"/>
      <c r="AG432" s="1298"/>
      <c r="AH432" s="1270"/>
    </row>
    <row r="433" spans="1:34" ht="13.5" customHeight="1">
      <c r="A433" s="431" t="s">
        <v>324</v>
      </c>
      <c r="B433" s="431" t="s">
        <v>303</v>
      </c>
      <c r="C433" s="433" t="s">
        <v>337</v>
      </c>
      <c r="D433" s="434">
        <v>115250</v>
      </c>
      <c r="E433" s="435">
        <v>183270</v>
      </c>
      <c r="F433" s="434">
        <v>107530</v>
      </c>
      <c r="G433" s="435">
        <v>175550</v>
      </c>
      <c r="H433" s="436">
        <v>1040</v>
      </c>
      <c r="I433" s="437">
        <v>1720</v>
      </c>
      <c r="J433" s="438" t="s">
        <v>731</v>
      </c>
      <c r="K433" s="436">
        <v>960</v>
      </c>
      <c r="L433" s="437">
        <v>1640</v>
      </c>
      <c r="M433" s="438" t="s">
        <v>287</v>
      </c>
      <c r="N433" s="446"/>
      <c r="O433" s="447"/>
      <c r="P433" s="441"/>
      <c r="Q433" s="441"/>
      <c r="R433" s="1279"/>
      <c r="S433" s="1282"/>
      <c r="T433" s="393" t="s">
        <v>293</v>
      </c>
      <c r="U433" s="442">
        <v>3500</v>
      </c>
      <c r="V433" s="443">
        <v>3800</v>
      </c>
      <c r="W433" s="441">
        <v>6800</v>
      </c>
      <c r="X433" s="444">
        <v>60</v>
      </c>
      <c r="Y433" s="448"/>
      <c r="Z433" s="1301"/>
      <c r="AA433" s="445"/>
      <c r="AB433" s="1287"/>
      <c r="AC433" s="1290"/>
      <c r="AD433" s="1271">
        <v>0.02</v>
      </c>
      <c r="AE433" s="1273">
        <v>0.03</v>
      </c>
      <c r="AF433" s="1273">
        <v>0.05</v>
      </c>
      <c r="AG433" s="1275">
        <v>0.06</v>
      </c>
      <c r="AH433" s="1277">
        <v>0.9</v>
      </c>
    </row>
    <row r="434" spans="1:34" ht="13.5" customHeight="1">
      <c r="A434" s="431" t="s">
        <v>324</v>
      </c>
      <c r="B434" s="463" t="s">
        <v>303</v>
      </c>
      <c r="C434" s="450" t="s">
        <v>338</v>
      </c>
      <c r="D434" s="451">
        <v>183270</v>
      </c>
      <c r="E434" s="452"/>
      <c r="F434" s="451">
        <v>175550</v>
      </c>
      <c r="G434" s="452"/>
      <c r="H434" s="439">
        <v>1720</v>
      </c>
      <c r="I434" s="453"/>
      <c r="J434" s="454" t="s">
        <v>731</v>
      </c>
      <c r="K434" s="439">
        <v>1640</v>
      </c>
      <c r="L434" s="453"/>
      <c r="M434" s="454" t="s">
        <v>287</v>
      </c>
      <c r="N434" s="446"/>
      <c r="O434" s="455"/>
      <c r="P434" s="441"/>
      <c r="Q434" s="441"/>
      <c r="R434" s="1280"/>
      <c r="S434" s="1283"/>
      <c r="T434" s="456" t="s">
        <v>294</v>
      </c>
      <c r="U434" s="457">
        <v>3100</v>
      </c>
      <c r="V434" s="458">
        <v>3400</v>
      </c>
      <c r="W434" s="459">
        <v>6800</v>
      </c>
      <c r="X434" s="460">
        <v>60</v>
      </c>
      <c r="Y434" s="448"/>
      <c r="Z434" s="1301"/>
      <c r="AA434" s="445"/>
      <c r="AB434" s="1288"/>
      <c r="AC434" s="1291"/>
      <c r="AD434" s="1272"/>
      <c r="AE434" s="1274"/>
      <c r="AF434" s="1274"/>
      <c r="AG434" s="1276"/>
      <c r="AH434" s="1277"/>
    </row>
    <row r="435" spans="1:34" ht="13.5" customHeight="1">
      <c r="A435" s="431" t="s">
        <v>324</v>
      </c>
      <c r="B435" s="416" t="s">
        <v>304</v>
      </c>
      <c r="C435" s="417" t="s">
        <v>334</v>
      </c>
      <c r="D435" s="418">
        <v>47570</v>
      </c>
      <c r="E435" s="419">
        <v>54370</v>
      </c>
      <c r="F435" s="418">
        <v>40950</v>
      </c>
      <c r="G435" s="419">
        <v>47750</v>
      </c>
      <c r="H435" s="420">
        <v>450</v>
      </c>
      <c r="I435" s="421">
        <v>510</v>
      </c>
      <c r="J435" s="422" t="s">
        <v>731</v>
      </c>
      <c r="K435" s="420">
        <v>390</v>
      </c>
      <c r="L435" s="421">
        <v>450</v>
      </c>
      <c r="M435" s="422" t="s">
        <v>287</v>
      </c>
      <c r="N435" s="423">
        <v>6800</v>
      </c>
      <c r="O435" s="424">
        <v>60</v>
      </c>
      <c r="P435" s="462"/>
      <c r="Q435" s="462"/>
      <c r="R435" s="1278">
        <v>2800</v>
      </c>
      <c r="S435" s="1281">
        <v>3100</v>
      </c>
      <c r="T435" s="426" t="s">
        <v>288</v>
      </c>
      <c r="U435" s="427">
        <v>6300</v>
      </c>
      <c r="V435" s="428">
        <v>7100</v>
      </c>
      <c r="W435" s="425">
        <v>5830</v>
      </c>
      <c r="X435" s="429">
        <v>50</v>
      </c>
      <c r="Y435" s="1284">
        <v>4500</v>
      </c>
      <c r="Z435" s="1301"/>
      <c r="AA435" s="445"/>
      <c r="AB435" s="1286">
        <v>6670</v>
      </c>
      <c r="AC435" s="1289">
        <v>60</v>
      </c>
      <c r="AD435" s="1292" t="s">
        <v>290</v>
      </c>
      <c r="AE435" s="1294" t="s">
        <v>290</v>
      </c>
      <c r="AF435" s="1294" t="s">
        <v>290</v>
      </c>
      <c r="AG435" s="1297" t="s">
        <v>290</v>
      </c>
      <c r="AH435" s="1269" t="s">
        <v>296</v>
      </c>
    </row>
    <row r="436" spans="1:34" ht="13.5" customHeight="1">
      <c r="A436" s="431" t="s">
        <v>324</v>
      </c>
      <c r="B436" s="432" t="s">
        <v>304</v>
      </c>
      <c r="C436" s="433" t="s">
        <v>336</v>
      </c>
      <c r="D436" s="434">
        <v>54370</v>
      </c>
      <c r="E436" s="435">
        <v>110010</v>
      </c>
      <c r="F436" s="434">
        <v>47750</v>
      </c>
      <c r="G436" s="435">
        <v>103390</v>
      </c>
      <c r="H436" s="436">
        <v>510</v>
      </c>
      <c r="I436" s="437">
        <v>990</v>
      </c>
      <c r="J436" s="438" t="s">
        <v>731</v>
      </c>
      <c r="K436" s="436">
        <v>450</v>
      </c>
      <c r="L436" s="437">
        <v>920</v>
      </c>
      <c r="M436" s="438" t="s">
        <v>287</v>
      </c>
      <c r="N436" s="439">
        <v>6800</v>
      </c>
      <c r="O436" s="440">
        <v>60</v>
      </c>
      <c r="P436" s="441"/>
      <c r="Q436" s="441"/>
      <c r="R436" s="1279"/>
      <c r="S436" s="1282"/>
      <c r="T436" s="393" t="s">
        <v>292</v>
      </c>
      <c r="U436" s="442">
        <v>3500</v>
      </c>
      <c r="V436" s="443">
        <v>3900</v>
      </c>
      <c r="W436" s="441">
        <v>5830</v>
      </c>
      <c r="X436" s="444">
        <v>50</v>
      </c>
      <c r="Y436" s="1285"/>
      <c r="Z436" s="1301"/>
      <c r="AA436" s="445"/>
      <c r="AB436" s="1287"/>
      <c r="AC436" s="1290"/>
      <c r="AD436" s="1293"/>
      <c r="AE436" s="1295"/>
      <c r="AF436" s="1295"/>
      <c r="AG436" s="1298"/>
      <c r="AH436" s="1270"/>
    </row>
    <row r="437" spans="1:34" ht="13.5" customHeight="1">
      <c r="A437" s="431" t="s">
        <v>324</v>
      </c>
      <c r="B437" s="432" t="s">
        <v>304</v>
      </c>
      <c r="C437" s="433" t="s">
        <v>337</v>
      </c>
      <c r="D437" s="434">
        <v>110010</v>
      </c>
      <c r="E437" s="435">
        <v>178030</v>
      </c>
      <c r="F437" s="434">
        <v>103390</v>
      </c>
      <c r="G437" s="435">
        <v>171410</v>
      </c>
      <c r="H437" s="436">
        <v>990</v>
      </c>
      <c r="I437" s="437">
        <v>1670</v>
      </c>
      <c r="J437" s="438" t="s">
        <v>731</v>
      </c>
      <c r="K437" s="436">
        <v>920</v>
      </c>
      <c r="L437" s="437">
        <v>1600</v>
      </c>
      <c r="M437" s="438" t="s">
        <v>287</v>
      </c>
      <c r="N437" s="446"/>
      <c r="O437" s="447"/>
      <c r="P437" s="441"/>
      <c r="Q437" s="441"/>
      <c r="R437" s="1279"/>
      <c r="S437" s="1282"/>
      <c r="T437" s="393" t="s">
        <v>293</v>
      </c>
      <c r="U437" s="442">
        <v>3000</v>
      </c>
      <c r="V437" s="443">
        <v>3400</v>
      </c>
      <c r="W437" s="441">
        <v>5830</v>
      </c>
      <c r="X437" s="444">
        <v>50</v>
      </c>
      <c r="Y437" s="448"/>
      <c r="Z437" s="1301"/>
      <c r="AA437" s="445"/>
      <c r="AB437" s="1287"/>
      <c r="AC437" s="1290"/>
      <c r="AD437" s="1271">
        <v>0.02</v>
      </c>
      <c r="AE437" s="1273">
        <v>0.03</v>
      </c>
      <c r="AF437" s="1273">
        <v>0.05</v>
      </c>
      <c r="AG437" s="1275">
        <v>0.06</v>
      </c>
      <c r="AH437" s="1277">
        <v>0.92</v>
      </c>
    </row>
    <row r="438" spans="1:34" ht="13.5" customHeight="1">
      <c r="A438" s="431" t="s">
        <v>324</v>
      </c>
      <c r="B438" s="449" t="s">
        <v>304</v>
      </c>
      <c r="C438" s="450" t="s">
        <v>338</v>
      </c>
      <c r="D438" s="451">
        <v>178030</v>
      </c>
      <c r="E438" s="452"/>
      <c r="F438" s="451">
        <v>171410</v>
      </c>
      <c r="G438" s="452"/>
      <c r="H438" s="439">
        <v>1670</v>
      </c>
      <c r="I438" s="453"/>
      <c r="J438" s="454" t="s">
        <v>731</v>
      </c>
      <c r="K438" s="439">
        <v>1600</v>
      </c>
      <c r="L438" s="453"/>
      <c r="M438" s="454" t="s">
        <v>287</v>
      </c>
      <c r="N438" s="446"/>
      <c r="O438" s="455"/>
      <c r="P438" s="462"/>
      <c r="Q438" s="462"/>
      <c r="R438" s="1280"/>
      <c r="S438" s="1283"/>
      <c r="T438" s="456" t="s">
        <v>294</v>
      </c>
      <c r="U438" s="457">
        <v>2700</v>
      </c>
      <c r="V438" s="458">
        <v>3000</v>
      </c>
      <c r="W438" s="459">
        <v>5830</v>
      </c>
      <c r="X438" s="460">
        <v>50</v>
      </c>
      <c r="Y438" s="448"/>
      <c r="Z438" s="1301"/>
      <c r="AA438" s="445"/>
      <c r="AB438" s="1288"/>
      <c r="AC438" s="1291"/>
      <c r="AD438" s="1272"/>
      <c r="AE438" s="1274"/>
      <c r="AF438" s="1274"/>
      <c r="AG438" s="1276"/>
      <c r="AH438" s="1277"/>
    </row>
    <row r="439" spans="1:34" ht="13.5" customHeight="1">
      <c r="A439" s="431" t="s">
        <v>324</v>
      </c>
      <c r="B439" s="416" t="s">
        <v>305</v>
      </c>
      <c r="C439" s="417" t="s">
        <v>334</v>
      </c>
      <c r="D439" s="418">
        <v>43690</v>
      </c>
      <c r="E439" s="419">
        <v>50490</v>
      </c>
      <c r="F439" s="418">
        <v>37900</v>
      </c>
      <c r="G439" s="419">
        <v>44700</v>
      </c>
      <c r="H439" s="420">
        <v>410</v>
      </c>
      <c r="I439" s="421">
        <v>470</v>
      </c>
      <c r="J439" s="422" t="s">
        <v>731</v>
      </c>
      <c r="K439" s="420">
        <v>360</v>
      </c>
      <c r="L439" s="421">
        <v>420</v>
      </c>
      <c r="M439" s="422" t="s">
        <v>287</v>
      </c>
      <c r="N439" s="423">
        <v>6800</v>
      </c>
      <c r="O439" s="424">
        <v>60</v>
      </c>
      <c r="P439" s="441"/>
      <c r="Q439" s="441"/>
      <c r="R439" s="1278">
        <v>3200</v>
      </c>
      <c r="S439" s="1281">
        <v>3600</v>
      </c>
      <c r="T439" s="426" t="s">
        <v>288</v>
      </c>
      <c r="U439" s="427">
        <v>7100</v>
      </c>
      <c r="V439" s="428">
        <v>7900</v>
      </c>
      <c r="W439" s="425">
        <v>5100</v>
      </c>
      <c r="X439" s="429">
        <v>50</v>
      </c>
      <c r="Y439" s="1284">
        <v>4500</v>
      </c>
      <c r="Z439" s="1301"/>
      <c r="AA439" s="445"/>
      <c r="AB439" s="1286">
        <v>5840</v>
      </c>
      <c r="AC439" s="1289">
        <v>50</v>
      </c>
      <c r="AD439" s="1292" t="s">
        <v>290</v>
      </c>
      <c r="AE439" s="1294" t="s">
        <v>290</v>
      </c>
      <c r="AF439" s="1294" t="s">
        <v>290</v>
      </c>
      <c r="AG439" s="1297" t="s">
        <v>290</v>
      </c>
      <c r="AH439" s="1269" t="s">
        <v>296</v>
      </c>
    </row>
    <row r="440" spans="1:34" ht="13.5" customHeight="1">
      <c r="A440" s="431" t="s">
        <v>324</v>
      </c>
      <c r="B440" s="432" t="s">
        <v>305</v>
      </c>
      <c r="C440" s="433" t="s">
        <v>336</v>
      </c>
      <c r="D440" s="434">
        <v>50490</v>
      </c>
      <c r="E440" s="435">
        <v>106130</v>
      </c>
      <c r="F440" s="434">
        <v>44700</v>
      </c>
      <c r="G440" s="435">
        <v>100340</v>
      </c>
      <c r="H440" s="436">
        <v>470</v>
      </c>
      <c r="I440" s="437">
        <v>950</v>
      </c>
      <c r="J440" s="438" t="s">
        <v>731</v>
      </c>
      <c r="K440" s="436">
        <v>420</v>
      </c>
      <c r="L440" s="437">
        <v>890</v>
      </c>
      <c r="M440" s="438" t="s">
        <v>287</v>
      </c>
      <c r="N440" s="439">
        <v>6800</v>
      </c>
      <c r="O440" s="440">
        <v>60</v>
      </c>
      <c r="P440" s="441"/>
      <c r="Q440" s="441"/>
      <c r="R440" s="1279"/>
      <c r="S440" s="1282"/>
      <c r="T440" s="393" t="s">
        <v>292</v>
      </c>
      <c r="U440" s="442">
        <v>3900</v>
      </c>
      <c r="V440" s="443">
        <v>4300</v>
      </c>
      <c r="W440" s="441">
        <v>5100</v>
      </c>
      <c r="X440" s="444">
        <v>50</v>
      </c>
      <c r="Y440" s="1285"/>
      <c r="Z440" s="1301"/>
      <c r="AA440" s="445"/>
      <c r="AB440" s="1287"/>
      <c r="AC440" s="1290"/>
      <c r="AD440" s="1293"/>
      <c r="AE440" s="1295"/>
      <c r="AF440" s="1295"/>
      <c r="AG440" s="1298"/>
      <c r="AH440" s="1270"/>
    </row>
    <row r="441" spans="1:34" ht="13.5" customHeight="1">
      <c r="A441" s="431" t="s">
        <v>324</v>
      </c>
      <c r="B441" s="432" t="s">
        <v>305</v>
      </c>
      <c r="C441" s="433" t="s">
        <v>337</v>
      </c>
      <c r="D441" s="434">
        <v>106130</v>
      </c>
      <c r="E441" s="435">
        <v>174150</v>
      </c>
      <c r="F441" s="434">
        <v>100340</v>
      </c>
      <c r="G441" s="435">
        <v>168360</v>
      </c>
      <c r="H441" s="436">
        <v>950</v>
      </c>
      <c r="I441" s="437">
        <v>1630</v>
      </c>
      <c r="J441" s="438" t="s">
        <v>731</v>
      </c>
      <c r="K441" s="436">
        <v>890</v>
      </c>
      <c r="L441" s="437">
        <v>1570</v>
      </c>
      <c r="M441" s="438" t="s">
        <v>287</v>
      </c>
      <c r="N441" s="446"/>
      <c r="O441" s="447"/>
      <c r="P441" s="462"/>
      <c r="Q441" s="462"/>
      <c r="R441" s="1279"/>
      <c r="S441" s="1282"/>
      <c r="T441" s="393" t="s">
        <v>293</v>
      </c>
      <c r="U441" s="442">
        <v>3400</v>
      </c>
      <c r="V441" s="443">
        <v>3800</v>
      </c>
      <c r="W441" s="441">
        <v>5100</v>
      </c>
      <c r="X441" s="444">
        <v>50</v>
      </c>
      <c r="Y441" s="448"/>
      <c r="Z441" s="1301"/>
      <c r="AA441" s="462"/>
      <c r="AB441" s="1287"/>
      <c r="AC441" s="1290"/>
      <c r="AD441" s="1271">
        <v>0.02</v>
      </c>
      <c r="AE441" s="1273">
        <v>0.03</v>
      </c>
      <c r="AF441" s="1273">
        <v>0.05</v>
      </c>
      <c r="AG441" s="1275">
        <v>7.0000000000000007E-2</v>
      </c>
      <c r="AH441" s="1277">
        <v>0.89</v>
      </c>
    </row>
    <row r="442" spans="1:34" ht="13.5" customHeight="1">
      <c r="A442" s="431" t="s">
        <v>324</v>
      </c>
      <c r="B442" s="449" t="s">
        <v>305</v>
      </c>
      <c r="C442" s="450" t="s">
        <v>338</v>
      </c>
      <c r="D442" s="451">
        <v>174150</v>
      </c>
      <c r="E442" s="452"/>
      <c r="F442" s="451">
        <v>168360</v>
      </c>
      <c r="G442" s="452"/>
      <c r="H442" s="439">
        <v>1630</v>
      </c>
      <c r="I442" s="453"/>
      <c r="J442" s="454" t="s">
        <v>731</v>
      </c>
      <c r="K442" s="439">
        <v>1570</v>
      </c>
      <c r="L442" s="453"/>
      <c r="M442" s="454" t="s">
        <v>287</v>
      </c>
      <c r="N442" s="446"/>
      <c r="O442" s="455"/>
      <c r="P442" s="441"/>
      <c r="Q442" s="441"/>
      <c r="R442" s="1280"/>
      <c r="S442" s="1283"/>
      <c r="T442" s="456" t="s">
        <v>294</v>
      </c>
      <c r="U442" s="457">
        <v>3000</v>
      </c>
      <c r="V442" s="458">
        <v>3400</v>
      </c>
      <c r="W442" s="459">
        <v>5100</v>
      </c>
      <c r="X442" s="460">
        <v>50</v>
      </c>
      <c r="Y442" s="448"/>
      <c r="Z442" s="1301"/>
      <c r="AA442" s="462"/>
      <c r="AB442" s="1288"/>
      <c r="AC442" s="1291"/>
      <c r="AD442" s="1272"/>
      <c r="AE442" s="1274"/>
      <c r="AF442" s="1274"/>
      <c r="AG442" s="1276"/>
      <c r="AH442" s="1277"/>
    </row>
    <row r="443" spans="1:34" ht="13.5" customHeight="1">
      <c r="A443" s="431" t="s">
        <v>324</v>
      </c>
      <c r="B443" s="416" t="s">
        <v>306</v>
      </c>
      <c r="C443" s="417" t="s">
        <v>334</v>
      </c>
      <c r="D443" s="418">
        <v>40630</v>
      </c>
      <c r="E443" s="419">
        <v>47430</v>
      </c>
      <c r="F443" s="418">
        <v>35480</v>
      </c>
      <c r="G443" s="419">
        <v>42280</v>
      </c>
      <c r="H443" s="420">
        <v>380</v>
      </c>
      <c r="I443" s="421">
        <v>440</v>
      </c>
      <c r="J443" s="422" t="s">
        <v>731</v>
      </c>
      <c r="K443" s="420">
        <v>330</v>
      </c>
      <c r="L443" s="421">
        <v>390</v>
      </c>
      <c r="M443" s="422" t="s">
        <v>287</v>
      </c>
      <c r="N443" s="423">
        <v>6800</v>
      </c>
      <c r="O443" s="424">
        <v>60</v>
      </c>
      <c r="P443" s="441"/>
      <c r="Q443" s="441"/>
      <c r="R443" s="1278">
        <v>2900</v>
      </c>
      <c r="S443" s="1281">
        <v>3200</v>
      </c>
      <c r="T443" s="426" t="s">
        <v>288</v>
      </c>
      <c r="U443" s="427">
        <v>6300</v>
      </c>
      <c r="V443" s="428">
        <v>7100</v>
      </c>
      <c r="W443" s="425">
        <v>4530</v>
      </c>
      <c r="X443" s="429">
        <v>40</v>
      </c>
      <c r="Y443" s="1284">
        <v>4500</v>
      </c>
      <c r="Z443" s="1301"/>
      <c r="AA443" s="462"/>
      <c r="AB443" s="1286">
        <v>5190</v>
      </c>
      <c r="AC443" s="1289">
        <v>50</v>
      </c>
      <c r="AD443" s="1292" t="s">
        <v>290</v>
      </c>
      <c r="AE443" s="1294" t="s">
        <v>290</v>
      </c>
      <c r="AF443" s="1294" t="s">
        <v>290</v>
      </c>
      <c r="AG443" s="1297" t="s">
        <v>290</v>
      </c>
      <c r="AH443" s="1269" t="s">
        <v>296</v>
      </c>
    </row>
    <row r="444" spans="1:34" ht="13.5" customHeight="1">
      <c r="A444" s="431" t="s">
        <v>324</v>
      </c>
      <c r="B444" s="432" t="s">
        <v>306</v>
      </c>
      <c r="C444" s="433" t="s">
        <v>336</v>
      </c>
      <c r="D444" s="434">
        <v>47430</v>
      </c>
      <c r="E444" s="435">
        <v>103070</v>
      </c>
      <c r="F444" s="434">
        <v>42280</v>
      </c>
      <c r="G444" s="435">
        <v>97920</v>
      </c>
      <c r="H444" s="436">
        <v>440</v>
      </c>
      <c r="I444" s="437">
        <v>920</v>
      </c>
      <c r="J444" s="438" t="s">
        <v>731</v>
      </c>
      <c r="K444" s="436">
        <v>390</v>
      </c>
      <c r="L444" s="437">
        <v>860</v>
      </c>
      <c r="M444" s="438" t="s">
        <v>287</v>
      </c>
      <c r="N444" s="439">
        <v>6800</v>
      </c>
      <c r="O444" s="440">
        <v>60</v>
      </c>
      <c r="P444" s="462"/>
      <c r="Q444" s="462"/>
      <c r="R444" s="1279"/>
      <c r="S444" s="1282"/>
      <c r="T444" s="393" t="s">
        <v>292</v>
      </c>
      <c r="U444" s="442">
        <v>3500</v>
      </c>
      <c r="V444" s="443">
        <v>3900</v>
      </c>
      <c r="W444" s="441">
        <v>4530</v>
      </c>
      <c r="X444" s="444">
        <v>40</v>
      </c>
      <c r="Y444" s="1285"/>
      <c r="Z444" s="1301"/>
      <c r="AA444" s="462"/>
      <c r="AB444" s="1287"/>
      <c r="AC444" s="1290"/>
      <c r="AD444" s="1293"/>
      <c r="AE444" s="1295"/>
      <c r="AF444" s="1295"/>
      <c r="AG444" s="1298"/>
      <c r="AH444" s="1270"/>
    </row>
    <row r="445" spans="1:34" ht="13.5" customHeight="1">
      <c r="A445" s="431" t="s">
        <v>324</v>
      </c>
      <c r="B445" s="432" t="s">
        <v>306</v>
      </c>
      <c r="C445" s="433" t="s">
        <v>337</v>
      </c>
      <c r="D445" s="434">
        <v>103070</v>
      </c>
      <c r="E445" s="435">
        <v>171090</v>
      </c>
      <c r="F445" s="434">
        <v>97920</v>
      </c>
      <c r="G445" s="435">
        <v>165940</v>
      </c>
      <c r="H445" s="436">
        <v>920</v>
      </c>
      <c r="I445" s="437">
        <v>1600</v>
      </c>
      <c r="J445" s="438" t="s">
        <v>731</v>
      </c>
      <c r="K445" s="436">
        <v>860</v>
      </c>
      <c r="L445" s="437">
        <v>1540</v>
      </c>
      <c r="M445" s="438" t="s">
        <v>287</v>
      </c>
      <c r="N445" s="446"/>
      <c r="O445" s="447"/>
      <c r="P445" s="441"/>
      <c r="Q445" s="441"/>
      <c r="R445" s="1279"/>
      <c r="S445" s="1282"/>
      <c r="T445" s="393" t="s">
        <v>293</v>
      </c>
      <c r="U445" s="442">
        <v>3000</v>
      </c>
      <c r="V445" s="443">
        <v>3400</v>
      </c>
      <c r="W445" s="441">
        <v>4530</v>
      </c>
      <c r="X445" s="444">
        <v>40</v>
      </c>
      <c r="Y445" s="448"/>
      <c r="Z445" s="1301"/>
      <c r="AA445" s="464"/>
      <c r="AB445" s="1287"/>
      <c r="AC445" s="1290"/>
      <c r="AD445" s="1271">
        <v>0.02</v>
      </c>
      <c r="AE445" s="1273">
        <v>0.03</v>
      </c>
      <c r="AF445" s="1273">
        <v>0.05</v>
      </c>
      <c r="AG445" s="1275">
        <v>7.0000000000000007E-2</v>
      </c>
      <c r="AH445" s="1277">
        <v>0.91</v>
      </c>
    </row>
    <row r="446" spans="1:34" ht="13.5" customHeight="1">
      <c r="A446" s="431" t="s">
        <v>324</v>
      </c>
      <c r="B446" s="449" t="s">
        <v>306</v>
      </c>
      <c r="C446" s="450" t="s">
        <v>338</v>
      </c>
      <c r="D446" s="451">
        <v>171090</v>
      </c>
      <c r="E446" s="452"/>
      <c r="F446" s="451">
        <v>165940</v>
      </c>
      <c r="G446" s="452"/>
      <c r="H446" s="439">
        <v>1600</v>
      </c>
      <c r="I446" s="453"/>
      <c r="J446" s="454" t="s">
        <v>731</v>
      </c>
      <c r="K446" s="439">
        <v>1540</v>
      </c>
      <c r="L446" s="453"/>
      <c r="M446" s="454" t="s">
        <v>287</v>
      </c>
      <c r="N446" s="446"/>
      <c r="O446" s="455"/>
      <c r="P446" s="441"/>
      <c r="Q446" s="441"/>
      <c r="R446" s="1280"/>
      <c r="S446" s="1283"/>
      <c r="T446" s="456" t="s">
        <v>294</v>
      </c>
      <c r="U446" s="457">
        <v>2700</v>
      </c>
      <c r="V446" s="458">
        <v>3000</v>
      </c>
      <c r="W446" s="459">
        <v>4530</v>
      </c>
      <c r="X446" s="460">
        <v>40</v>
      </c>
      <c r="Y446" s="448"/>
      <c r="Z446" s="1301"/>
      <c r="AA446" s="464"/>
      <c r="AB446" s="1288"/>
      <c r="AC446" s="1291"/>
      <c r="AD446" s="1272"/>
      <c r="AE446" s="1274"/>
      <c r="AF446" s="1274"/>
      <c r="AG446" s="1276"/>
      <c r="AH446" s="1277"/>
    </row>
    <row r="447" spans="1:34" ht="13.5" customHeight="1">
      <c r="A447" s="431" t="s">
        <v>324</v>
      </c>
      <c r="B447" s="416" t="s">
        <v>307</v>
      </c>
      <c r="C447" s="417" t="s">
        <v>334</v>
      </c>
      <c r="D447" s="418">
        <v>35280</v>
      </c>
      <c r="E447" s="419">
        <v>42080</v>
      </c>
      <c r="F447" s="418">
        <v>30640</v>
      </c>
      <c r="G447" s="419">
        <v>37440</v>
      </c>
      <c r="H447" s="420">
        <v>330</v>
      </c>
      <c r="I447" s="421">
        <v>390</v>
      </c>
      <c r="J447" s="422" t="s">
        <v>731</v>
      </c>
      <c r="K447" s="420">
        <v>280</v>
      </c>
      <c r="L447" s="421">
        <v>340</v>
      </c>
      <c r="M447" s="422" t="s">
        <v>287</v>
      </c>
      <c r="N447" s="423">
        <v>6800</v>
      </c>
      <c r="O447" s="424">
        <v>60</v>
      </c>
      <c r="P447" s="462"/>
      <c r="Q447" s="462"/>
      <c r="R447" s="1278">
        <v>2600</v>
      </c>
      <c r="S447" s="1281">
        <v>2800</v>
      </c>
      <c r="T447" s="426" t="s">
        <v>288</v>
      </c>
      <c r="U447" s="427">
        <v>5500</v>
      </c>
      <c r="V447" s="428">
        <v>6200</v>
      </c>
      <c r="W447" s="425">
        <v>4080</v>
      </c>
      <c r="X447" s="429">
        <v>40</v>
      </c>
      <c r="Y447" s="1284">
        <v>4500</v>
      </c>
      <c r="Z447" s="1301"/>
      <c r="AA447" s="1300" t="s">
        <v>319</v>
      </c>
      <c r="AB447" s="1286">
        <v>4670</v>
      </c>
      <c r="AC447" s="1289">
        <v>40</v>
      </c>
      <c r="AD447" s="1292" t="s">
        <v>290</v>
      </c>
      <c r="AE447" s="1294" t="s">
        <v>290</v>
      </c>
      <c r="AF447" s="1294" t="s">
        <v>290</v>
      </c>
      <c r="AG447" s="1297" t="s">
        <v>290</v>
      </c>
      <c r="AH447" s="1269" t="s">
        <v>296</v>
      </c>
    </row>
    <row r="448" spans="1:34" ht="13.5" customHeight="1">
      <c r="A448" s="431" t="s">
        <v>324</v>
      </c>
      <c r="B448" s="432" t="s">
        <v>307</v>
      </c>
      <c r="C448" s="433" t="s">
        <v>336</v>
      </c>
      <c r="D448" s="434">
        <v>42080</v>
      </c>
      <c r="E448" s="435">
        <v>97720</v>
      </c>
      <c r="F448" s="434">
        <v>37440</v>
      </c>
      <c r="G448" s="435">
        <v>93080</v>
      </c>
      <c r="H448" s="436">
        <v>390</v>
      </c>
      <c r="I448" s="437">
        <v>860</v>
      </c>
      <c r="J448" s="438" t="s">
        <v>731</v>
      </c>
      <c r="K448" s="436">
        <v>340</v>
      </c>
      <c r="L448" s="437">
        <v>820</v>
      </c>
      <c r="M448" s="438" t="s">
        <v>287</v>
      </c>
      <c r="N448" s="439">
        <v>6800</v>
      </c>
      <c r="O448" s="440">
        <v>60</v>
      </c>
      <c r="P448" s="441"/>
      <c r="Q448" s="441"/>
      <c r="R448" s="1279"/>
      <c r="S448" s="1282"/>
      <c r="T448" s="393" t="s">
        <v>292</v>
      </c>
      <c r="U448" s="442">
        <v>3000</v>
      </c>
      <c r="V448" s="443">
        <v>3400</v>
      </c>
      <c r="W448" s="441">
        <v>4080</v>
      </c>
      <c r="X448" s="444">
        <v>40</v>
      </c>
      <c r="Y448" s="1285"/>
      <c r="Z448" s="1301"/>
      <c r="AA448" s="1300"/>
      <c r="AB448" s="1287"/>
      <c r="AC448" s="1290"/>
      <c r="AD448" s="1293"/>
      <c r="AE448" s="1295"/>
      <c r="AF448" s="1295"/>
      <c r="AG448" s="1298"/>
      <c r="AH448" s="1270"/>
    </row>
    <row r="449" spans="1:34" ht="13.5" customHeight="1">
      <c r="A449" s="431" t="s">
        <v>324</v>
      </c>
      <c r="B449" s="432" t="s">
        <v>307</v>
      </c>
      <c r="C449" s="433" t="s">
        <v>337</v>
      </c>
      <c r="D449" s="434">
        <v>97720</v>
      </c>
      <c r="E449" s="435">
        <v>165740</v>
      </c>
      <c r="F449" s="434">
        <v>93080</v>
      </c>
      <c r="G449" s="435">
        <v>161100</v>
      </c>
      <c r="H449" s="436">
        <v>860</v>
      </c>
      <c r="I449" s="437">
        <v>1540</v>
      </c>
      <c r="J449" s="438" t="s">
        <v>731</v>
      </c>
      <c r="K449" s="436">
        <v>820</v>
      </c>
      <c r="L449" s="437">
        <v>1500</v>
      </c>
      <c r="M449" s="438" t="s">
        <v>287</v>
      </c>
      <c r="N449" s="446"/>
      <c r="O449" s="447"/>
      <c r="P449" s="441"/>
      <c r="Q449" s="441"/>
      <c r="R449" s="1279"/>
      <c r="S449" s="1282"/>
      <c r="T449" s="393" t="s">
        <v>293</v>
      </c>
      <c r="U449" s="442">
        <v>2600</v>
      </c>
      <c r="V449" s="443">
        <v>2900</v>
      </c>
      <c r="W449" s="441">
        <v>4080</v>
      </c>
      <c r="X449" s="444">
        <v>40</v>
      </c>
      <c r="Y449" s="448"/>
      <c r="Z449" s="1301"/>
      <c r="AA449" s="1299">
        <v>0.1</v>
      </c>
      <c r="AB449" s="1287"/>
      <c r="AC449" s="1290"/>
      <c r="AD449" s="1271">
        <v>0.02</v>
      </c>
      <c r="AE449" s="1273">
        <v>0.03</v>
      </c>
      <c r="AF449" s="1273">
        <v>0.05</v>
      </c>
      <c r="AG449" s="1275">
        <v>7.0000000000000007E-2</v>
      </c>
      <c r="AH449" s="1277">
        <v>0.96</v>
      </c>
    </row>
    <row r="450" spans="1:34" ht="13.5" customHeight="1">
      <c r="A450" s="431" t="s">
        <v>324</v>
      </c>
      <c r="B450" s="449" t="s">
        <v>307</v>
      </c>
      <c r="C450" s="450" t="s">
        <v>338</v>
      </c>
      <c r="D450" s="451">
        <v>165740</v>
      </c>
      <c r="E450" s="452"/>
      <c r="F450" s="451">
        <v>161100</v>
      </c>
      <c r="G450" s="452"/>
      <c r="H450" s="439">
        <v>1540</v>
      </c>
      <c r="I450" s="453"/>
      <c r="J450" s="454" t="s">
        <v>731</v>
      </c>
      <c r="K450" s="439">
        <v>1500</v>
      </c>
      <c r="L450" s="453"/>
      <c r="M450" s="454" t="s">
        <v>287</v>
      </c>
      <c r="N450" s="446"/>
      <c r="O450" s="455"/>
      <c r="P450" s="462"/>
      <c r="Q450" s="462"/>
      <c r="R450" s="1280"/>
      <c r="S450" s="1283"/>
      <c r="T450" s="456" t="s">
        <v>294</v>
      </c>
      <c r="U450" s="457">
        <v>2400</v>
      </c>
      <c r="V450" s="458">
        <v>2600</v>
      </c>
      <c r="W450" s="459">
        <v>4080</v>
      </c>
      <c r="X450" s="460">
        <v>40</v>
      </c>
      <c r="Y450" s="448"/>
      <c r="Z450" s="1301"/>
      <c r="AA450" s="1299"/>
      <c r="AB450" s="1288"/>
      <c r="AC450" s="1291"/>
      <c r="AD450" s="1272"/>
      <c r="AE450" s="1274"/>
      <c r="AF450" s="1274"/>
      <c r="AG450" s="1276"/>
      <c r="AH450" s="1277"/>
    </row>
    <row r="451" spans="1:34" ht="13.5" customHeight="1">
      <c r="A451" s="431" t="s">
        <v>324</v>
      </c>
      <c r="B451" s="416" t="s">
        <v>309</v>
      </c>
      <c r="C451" s="417" t="s">
        <v>334</v>
      </c>
      <c r="D451" s="418">
        <v>33580</v>
      </c>
      <c r="E451" s="419">
        <v>40380</v>
      </c>
      <c r="F451" s="418">
        <v>29360</v>
      </c>
      <c r="G451" s="419">
        <v>36160</v>
      </c>
      <c r="H451" s="420">
        <v>310</v>
      </c>
      <c r="I451" s="421">
        <v>370</v>
      </c>
      <c r="J451" s="422" t="s">
        <v>731</v>
      </c>
      <c r="K451" s="420">
        <v>270</v>
      </c>
      <c r="L451" s="421">
        <v>330</v>
      </c>
      <c r="M451" s="422" t="s">
        <v>287</v>
      </c>
      <c r="N451" s="423">
        <v>6800</v>
      </c>
      <c r="O451" s="424">
        <v>60</v>
      </c>
      <c r="P451" s="441"/>
      <c r="Q451" s="441"/>
      <c r="R451" s="1278">
        <v>2800</v>
      </c>
      <c r="S451" s="1281">
        <v>3100</v>
      </c>
      <c r="T451" s="426" t="s">
        <v>288</v>
      </c>
      <c r="U451" s="427">
        <v>6100</v>
      </c>
      <c r="V451" s="428">
        <v>6800</v>
      </c>
      <c r="W451" s="425">
        <v>3710</v>
      </c>
      <c r="X451" s="429">
        <v>30</v>
      </c>
      <c r="Y451" s="1284">
        <v>4500</v>
      </c>
      <c r="Z451" s="1301"/>
      <c r="AA451" s="464"/>
      <c r="AB451" s="1286">
        <v>4240</v>
      </c>
      <c r="AC451" s="1289">
        <v>40</v>
      </c>
      <c r="AD451" s="1292" t="s">
        <v>290</v>
      </c>
      <c r="AE451" s="1294" t="s">
        <v>290</v>
      </c>
      <c r="AF451" s="1294" t="s">
        <v>290</v>
      </c>
      <c r="AG451" s="1297" t="s">
        <v>290</v>
      </c>
      <c r="AH451" s="1269" t="s">
        <v>296</v>
      </c>
    </row>
    <row r="452" spans="1:34" ht="13.5" customHeight="1">
      <c r="A452" s="431" t="s">
        <v>324</v>
      </c>
      <c r="B452" s="432" t="s">
        <v>309</v>
      </c>
      <c r="C452" s="433" t="s">
        <v>336</v>
      </c>
      <c r="D452" s="434">
        <v>40380</v>
      </c>
      <c r="E452" s="435">
        <v>96020</v>
      </c>
      <c r="F452" s="434">
        <v>36160</v>
      </c>
      <c r="G452" s="435">
        <v>91800</v>
      </c>
      <c r="H452" s="436">
        <v>370</v>
      </c>
      <c r="I452" s="437">
        <v>850</v>
      </c>
      <c r="J452" s="438" t="s">
        <v>731</v>
      </c>
      <c r="K452" s="436">
        <v>330</v>
      </c>
      <c r="L452" s="437">
        <v>800</v>
      </c>
      <c r="M452" s="438" t="s">
        <v>287</v>
      </c>
      <c r="N452" s="439">
        <v>6800</v>
      </c>
      <c r="O452" s="440">
        <v>60</v>
      </c>
      <c r="P452" s="441"/>
      <c r="Q452" s="441"/>
      <c r="R452" s="1279"/>
      <c r="S452" s="1282"/>
      <c r="T452" s="393" t="s">
        <v>292</v>
      </c>
      <c r="U452" s="442">
        <v>3300</v>
      </c>
      <c r="V452" s="443">
        <v>3700</v>
      </c>
      <c r="W452" s="441">
        <v>3710</v>
      </c>
      <c r="X452" s="444">
        <v>30</v>
      </c>
      <c r="Y452" s="1285"/>
      <c r="Z452" s="1301"/>
      <c r="AA452" s="464"/>
      <c r="AB452" s="1287"/>
      <c r="AC452" s="1290"/>
      <c r="AD452" s="1293"/>
      <c r="AE452" s="1295"/>
      <c r="AF452" s="1295"/>
      <c r="AG452" s="1298"/>
      <c r="AH452" s="1270"/>
    </row>
    <row r="453" spans="1:34" ht="13.5" customHeight="1">
      <c r="A453" s="431" t="s">
        <v>324</v>
      </c>
      <c r="B453" s="432" t="s">
        <v>309</v>
      </c>
      <c r="C453" s="433" t="s">
        <v>337</v>
      </c>
      <c r="D453" s="434">
        <v>96020</v>
      </c>
      <c r="E453" s="435">
        <v>164040</v>
      </c>
      <c r="F453" s="434">
        <v>91800</v>
      </c>
      <c r="G453" s="435">
        <v>159820</v>
      </c>
      <c r="H453" s="436">
        <v>850</v>
      </c>
      <c r="I453" s="437">
        <v>1530</v>
      </c>
      <c r="J453" s="438" t="s">
        <v>731</v>
      </c>
      <c r="K453" s="436">
        <v>800</v>
      </c>
      <c r="L453" s="437">
        <v>1480</v>
      </c>
      <c r="M453" s="438" t="s">
        <v>287</v>
      </c>
      <c r="N453" s="446"/>
      <c r="O453" s="447"/>
      <c r="P453" s="462"/>
      <c r="Q453" s="462"/>
      <c r="R453" s="1279"/>
      <c r="S453" s="1282"/>
      <c r="T453" s="393" t="s">
        <v>293</v>
      </c>
      <c r="U453" s="442">
        <v>2900</v>
      </c>
      <c r="V453" s="443">
        <v>3200</v>
      </c>
      <c r="W453" s="441">
        <v>3710</v>
      </c>
      <c r="X453" s="444">
        <v>30</v>
      </c>
      <c r="Y453" s="448"/>
      <c r="Z453" s="1301"/>
      <c r="AA453" s="464"/>
      <c r="AB453" s="1287"/>
      <c r="AC453" s="1290"/>
      <c r="AD453" s="1271">
        <v>0.02</v>
      </c>
      <c r="AE453" s="1273">
        <v>0.03</v>
      </c>
      <c r="AF453" s="1273">
        <v>0.05</v>
      </c>
      <c r="AG453" s="1275">
        <v>7.0000000000000007E-2</v>
      </c>
      <c r="AH453" s="1277">
        <v>0.95</v>
      </c>
    </row>
    <row r="454" spans="1:34" ht="13.5" customHeight="1">
      <c r="A454" s="431" t="s">
        <v>324</v>
      </c>
      <c r="B454" s="449" t="s">
        <v>309</v>
      </c>
      <c r="C454" s="450" t="s">
        <v>338</v>
      </c>
      <c r="D454" s="451">
        <v>164040</v>
      </c>
      <c r="E454" s="452"/>
      <c r="F454" s="451">
        <v>159820</v>
      </c>
      <c r="G454" s="452"/>
      <c r="H454" s="439">
        <v>1530</v>
      </c>
      <c r="I454" s="453"/>
      <c r="J454" s="454" t="s">
        <v>731</v>
      </c>
      <c r="K454" s="439">
        <v>1480</v>
      </c>
      <c r="L454" s="453"/>
      <c r="M454" s="454" t="s">
        <v>287</v>
      </c>
      <c r="N454" s="446"/>
      <c r="O454" s="455"/>
      <c r="P454" s="441"/>
      <c r="Q454" s="441"/>
      <c r="R454" s="1280"/>
      <c r="S454" s="1283"/>
      <c r="T454" s="456" t="s">
        <v>294</v>
      </c>
      <c r="U454" s="457">
        <v>2600</v>
      </c>
      <c r="V454" s="458">
        <v>2900</v>
      </c>
      <c r="W454" s="459">
        <v>3710</v>
      </c>
      <c r="X454" s="460">
        <v>30</v>
      </c>
      <c r="Y454" s="448"/>
      <c r="Z454" s="1301"/>
      <c r="AA454" s="464"/>
      <c r="AB454" s="1288"/>
      <c r="AC454" s="1291"/>
      <c r="AD454" s="1272"/>
      <c r="AE454" s="1274"/>
      <c r="AF454" s="1274"/>
      <c r="AG454" s="1276"/>
      <c r="AH454" s="1277"/>
    </row>
    <row r="455" spans="1:34" ht="13.5" customHeight="1">
      <c r="A455" s="431" t="s">
        <v>324</v>
      </c>
      <c r="B455" s="416" t="s">
        <v>310</v>
      </c>
      <c r="C455" s="417" t="s">
        <v>334</v>
      </c>
      <c r="D455" s="418">
        <v>32120</v>
      </c>
      <c r="E455" s="419">
        <v>38920</v>
      </c>
      <c r="F455" s="418">
        <v>28260</v>
      </c>
      <c r="G455" s="419">
        <v>35060</v>
      </c>
      <c r="H455" s="420">
        <v>300</v>
      </c>
      <c r="I455" s="421">
        <v>360</v>
      </c>
      <c r="J455" s="422" t="s">
        <v>731</v>
      </c>
      <c r="K455" s="420">
        <v>260</v>
      </c>
      <c r="L455" s="421">
        <v>320</v>
      </c>
      <c r="M455" s="422" t="s">
        <v>287</v>
      </c>
      <c r="N455" s="423">
        <v>6800</v>
      </c>
      <c r="O455" s="424">
        <v>60</v>
      </c>
      <c r="P455" s="441"/>
      <c r="Q455" s="441"/>
      <c r="R455" s="1278">
        <v>2600</v>
      </c>
      <c r="S455" s="1281">
        <v>2800</v>
      </c>
      <c r="T455" s="426" t="s">
        <v>288</v>
      </c>
      <c r="U455" s="427">
        <v>5500</v>
      </c>
      <c r="V455" s="428">
        <v>6200</v>
      </c>
      <c r="W455" s="425">
        <v>3400</v>
      </c>
      <c r="X455" s="429">
        <v>30</v>
      </c>
      <c r="Y455" s="1284">
        <v>4500</v>
      </c>
      <c r="Z455" s="1301"/>
      <c r="AA455" s="464"/>
      <c r="AB455" s="1286">
        <v>3890</v>
      </c>
      <c r="AC455" s="1289">
        <v>30</v>
      </c>
      <c r="AD455" s="1292" t="s">
        <v>290</v>
      </c>
      <c r="AE455" s="1294" t="s">
        <v>290</v>
      </c>
      <c r="AF455" s="1294" t="s">
        <v>290</v>
      </c>
      <c r="AG455" s="1297" t="s">
        <v>290</v>
      </c>
      <c r="AH455" s="1269" t="s">
        <v>296</v>
      </c>
    </row>
    <row r="456" spans="1:34" ht="13.5" customHeight="1">
      <c r="A456" s="431" t="s">
        <v>324</v>
      </c>
      <c r="B456" s="432" t="s">
        <v>310</v>
      </c>
      <c r="C456" s="433" t="s">
        <v>336</v>
      </c>
      <c r="D456" s="434">
        <v>38920</v>
      </c>
      <c r="E456" s="435">
        <v>94560</v>
      </c>
      <c r="F456" s="434">
        <v>35060</v>
      </c>
      <c r="G456" s="435">
        <v>90700</v>
      </c>
      <c r="H456" s="436">
        <v>360</v>
      </c>
      <c r="I456" s="437">
        <v>830</v>
      </c>
      <c r="J456" s="438" t="s">
        <v>731</v>
      </c>
      <c r="K456" s="436">
        <v>320</v>
      </c>
      <c r="L456" s="437">
        <v>790</v>
      </c>
      <c r="M456" s="438" t="s">
        <v>287</v>
      </c>
      <c r="N456" s="439">
        <v>6800</v>
      </c>
      <c r="O456" s="440">
        <v>60</v>
      </c>
      <c r="P456" s="462"/>
      <c r="Q456" s="462"/>
      <c r="R456" s="1279"/>
      <c r="S456" s="1282"/>
      <c r="T456" s="393" t="s">
        <v>292</v>
      </c>
      <c r="U456" s="442">
        <v>3000</v>
      </c>
      <c r="V456" s="443">
        <v>3400</v>
      </c>
      <c r="W456" s="441">
        <v>3400</v>
      </c>
      <c r="X456" s="444">
        <v>30</v>
      </c>
      <c r="Y456" s="1285"/>
      <c r="Z456" s="1301"/>
      <c r="AA456" s="464"/>
      <c r="AB456" s="1287"/>
      <c r="AC456" s="1290"/>
      <c r="AD456" s="1293"/>
      <c r="AE456" s="1295"/>
      <c r="AF456" s="1295"/>
      <c r="AG456" s="1298"/>
      <c r="AH456" s="1270"/>
    </row>
    <row r="457" spans="1:34" ht="13.5" customHeight="1">
      <c r="A457" s="431" t="s">
        <v>324</v>
      </c>
      <c r="B457" s="432" t="s">
        <v>310</v>
      </c>
      <c r="C457" s="433" t="s">
        <v>337</v>
      </c>
      <c r="D457" s="434">
        <v>94560</v>
      </c>
      <c r="E457" s="435">
        <v>162580</v>
      </c>
      <c r="F457" s="434">
        <v>90700</v>
      </c>
      <c r="G457" s="435">
        <v>158720</v>
      </c>
      <c r="H457" s="436">
        <v>830</v>
      </c>
      <c r="I457" s="437">
        <v>1510</v>
      </c>
      <c r="J457" s="438" t="s">
        <v>731</v>
      </c>
      <c r="K457" s="436">
        <v>790</v>
      </c>
      <c r="L457" s="437">
        <v>1470</v>
      </c>
      <c r="M457" s="438" t="s">
        <v>287</v>
      </c>
      <c r="N457" s="446"/>
      <c r="O457" s="447"/>
      <c r="P457" s="441"/>
      <c r="Q457" s="441"/>
      <c r="R457" s="1279"/>
      <c r="S457" s="1282"/>
      <c r="T457" s="393" t="s">
        <v>293</v>
      </c>
      <c r="U457" s="442">
        <v>2600</v>
      </c>
      <c r="V457" s="443">
        <v>2900</v>
      </c>
      <c r="W457" s="441">
        <v>3400</v>
      </c>
      <c r="X457" s="444">
        <v>30</v>
      </c>
      <c r="Y457" s="448"/>
      <c r="Z457" s="1301"/>
      <c r="AA457" s="464"/>
      <c r="AB457" s="1287"/>
      <c r="AC457" s="1290"/>
      <c r="AD457" s="1271">
        <v>0.02</v>
      </c>
      <c r="AE457" s="1273">
        <v>0.03</v>
      </c>
      <c r="AF457" s="1273">
        <v>0.05</v>
      </c>
      <c r="AG457" s="1275">
        <v>7.0000000000000007E-2</v>
      </c>
      <c r="AH457" s="1277">
        <v>0.95</v>
      </c>
    </row>
    <row r="458" spans="1:34" ht="13.5" customHeight="1">
      <c r="A458" s="431" t="s">
        <v>324</v>
      </c>
      <c r="B458" s="449" t="s">
        <v>310</v>
      </c>
      <c r="C458" s="450" t="s">
        <v>338</v>
      </c>
      <c r="D458" s="451">
        <v>162580</v>
      </c>
      <c r="E458" s="452"/>
      <c r="F458" s="451">
        <v>158720</v>
      </c>
      <c r="G458" s="452"/>
      <c r="H458" s="439">
        <v>1510</v>
      </c>
      <c r="I458" s="453"/>
      <c r="J458" s="454" t="s">
        <v>731</v>
      </c>
      <c r="K458" s="439">
        <v>1470</v>
      </c>
      <c r="L458" s="453"/>
      <c r="M458" s="454" t="s">
        <v>287</v>
      </c>
      <c r="N458" s="446"/>
      <c r="O458" s="455"/>
      <c r="P458" s="441"/>
      <c r="Q458" s="441"/>
      <c r="R458" s="1280"/>
      <c r="S458" s="1283"/>
      <c r="T458" s="456" t="s">
        <v>294</v>
      </c>
      <c r="U458" s="457">
        <v>2400</v>
      </c>
      <c r="V458" s="458">
        <v>2600</v>
      </c>
      <c r="W458" s="459">
        <v>3400</v>
      </c>
      <c r="X458" s="460">
        <v>30</v>
      </c>
      <c r="Y458" s="448"/>
      <c r="Z458" s="1301"/>
      <c r="AA458" s="464"/>
      <c r="AB458" s="1288"/>
      <c r="AC458" s="1291"/>
      <c r="AD458" s="1272"/>
      <c r="AE458" s="1274"/>
      <c r="AF458" s="1274"/>
      <c r="AG458" s="1276"/>
      <c r="AH458" s="1277"/>
    </row>
    <row r="459" spans="1:34" ht="13.5" customHeight="1">
      <c r="A459" s="431" t="s">
        <v>324</v>
      </c>
      <c r="B459" s="416" t="s">
        <v>311</v>
      </c>
      <c r="C459" s="417" t="s">
        <v>334</v>
      </c>
      <c r="D459" s="418">
        <v>30890</v>
      </c>
      <c r="E459" s="419">
        <v>37690</v>
      </c>
      <c r="F459" s="418">
        <v>27330</v>
      </c>
      <c r="G459" s="419">
        <v>34130</v>
      </c>
      <c r="H459" s="420">
        <v>290</v>
      </c>
      <c r="I459" s="421">
        <v>350</v>
      </c>
      <c r="J459" s="422" t="s">
        <v>731</v>
      </c>
      <c r="K459" s="420">
        <v>250</v>
      </c>
      <c r="L459" s="421">
        <v>310</v>
      </c>
      <c r="M459" s="422" t="s">
        <v>287</v>
      </c>
      <c r="N459" s="423">
        <v>6800</v>
      </c>
      <c r="O459" s="424">
        <v>60</v>
      </c>
      <c r="P459" s="462"/>
      <c r="Q459" s="462"/>
      <c r="R459" s="1278">
        <v>2400</v>
      </c>
      <c r="S459" s="1281">
        <v>2600</v>
      </c>
      <c r="T459" s="426" t="s">
        <v>288</v>
      </c>
      <c r="U459" s="427">
        <v>5100</v>
      </c>
      <c r="V459" s="428">
        <v>5700</v>
      </c>
      <c r="W459" s="425">
        <v>3130</v>
      </c>
      <c r="X459" s="429">
        <v>30</v>
      </c>
      <c r="Y459" s="1284">
        <v>4500</v>
      </c>
      <c r="Z459" s="1301"/>
      <c r="AA459" s="464"/>
      <c r="AB459" s="1286">
        <v>3590</v>
      </c>
      <c r="AC459" s="1289">
        <v>30</v>
      </c>
      <c r="AD459" s="1292" t="s">
        <v>290</v>
      </c>
      <c r="AE459" s="1294" t="s">
        <v>290</v>
      </c>
      <c r="AF459" s="1294" t="s">
        <v>290</v>
      </c>
      <c r="AG459" s="1297" t="s">
        <v>290</v>
      </c>
      <c r="AH459" s="1269" t="s">
        <v>296</v>
      </c>
    </row>
    <row r="460" spans="1:34" ht="13.5" customHeight="1">
      <c r="A460" s="431" t="s">
        <v>324</v>
      </c>
      <c r="B460" s="432" t="s">
        <v>311</v>
      </c>
      <c r="C460" s="433" t="s">
        <v>336</v>
      </c>
      <c r="D460" s="434">
        <v>37690</v>
      </c>
      <c r="E460" s="435">
        <v>93330</v>
      </c>
      <c r="F460" s="434">
        <v>34130</v>
      </c>
      <c r="G460" s="435">
        <v>89770</v>
      </c>
      <c r="H460" s="436">
        <v>350</v>
      </c>
      <c r="I460" s="437">
        <v>820</v>
      </c>
      <c r="J460" s="438" t="s">
        <v>731</v>
      </c>
      <c r="K460" s="436">
        <v>310</v>
      </c>
      <c r="L460" s="437">
        <v>780</v>
      </c>
      <c r="M460" s="438" t="s">
        <v>287</v>
      </c>
      <c r="N460" s="439">
        <v>6800</v>
      </c>
      <c r="O460" s="440">
        <v>60</v>
      </c>
      <c r="P460" s="441"/>
      <c r="Q460" s="441"/>
      <c r="R460" s="1279"/>
      <c r="S460" s="1282"/>
      <c r="T460" s="393" t="s">
        <v>292</v>
      </c>
      <c r="U460" s="442">
        <v>2800</v>
      </c>
      <c r="V460" s="443">
        <v>3100</v>
      </c>
      <c r="W460" s="441">
        <v>3130</v>
      </c>
      <c r="X460" s="444">
        <v>30</v>
      </c>
      <c r="Y460" s="1285"/>
      <c r="Z460" s="1301"/>
      <c r="AA460" s="464"/>
      <c r="AB460" s="1287"/>
      <c r="AC460" s="1290"/>
      <c r="AD460" s="1293"/>
      <c r="AE460" s="1295"/>
      <c r="AF460" s="1295"/>
      <c r="AG460" s="1298"/>
      <c r="AH460" s="1270"/>
    </row>
    <row r="461" spans="1:34" ht="13.5" customHeight="1">
      <c r="A461" s="431" t="s">
        <v>324</v>
      </c>
      <c r="B461" s="432" t="s">
        <v>311</v>
      </c>
      <c r="C461" s="433" t="s">
        <v>337</v>
      </c>
      <c r="D461" s="434">
        <v>93330</v>
      </c>
      <c r="E461" s="435">
        <v>161350</v>
      </c>
      <c r="F461" s="434">
        <v>89770</v>
      </c>
      <c r="G461" s="435">
        <v>157790</v>
      </c>
      <c r="H461" s="436">
        <v>820</v>
      </c>
      <c r="I461" s="437">
        <v>1500</v>
      </c>
      <c r="J461" s="438" t="s">
        <v>731</v>
      </c>
      <c r="K461" s="436">
        <v>780</v>
      </c>
      <c r="L461" s="437">
        <v>1460</v>
      </c>
      <c r="M461" s="438" t="s">
        <v>287</v>
      </c>
      <c r="N461" s="446"/>
      <c r="O461" s="447"/>
      <c r="P461" s="441"/>
      <c r="Q461" s="441"/>
      <c r="R461" s="1279"/>
      <c r="S461" s="1282"/>
      <c r="T461" s="393" t="s">
        <v>293</v>
      </c>
      <c r="U461" s="442">
        <v>2400</v>
      </c>
      <c r="V461" s="443">
        <v>2700</v>
      </c>
      <c r="W461" s="441">
        <v>3130</v>
      </c>
      <c r="X461" s="444">
        <v>30</v>
      </c>
      <c r="Y461" s="448"/>
      <c r="Z461" s="1301"/>
      <c r="AA461" s="464"/>
      <c r="AB461" s="1287"/>
      <c r="AC461" s="1290"/>
      <c r="AD461" s="1271">
        <v>0.02</v>
      </c>
      <c r="AE461" s="1273">
        <v>0.03</v>
      </c>
      <c r="AF461" s="1273">
        <v>0.05</v>
      </c>
      <c r="AG461" s="1275">
        <v>7.0000000000000007E-2</v>
      </c>
      <c r="AH461" s="1277">
        <v>0.97</v>
      </c>
    </row>
    <row r="462" spans="1:34" ht="13.5" customHeight="1">
      <c r="A462" s="431" t="s">
        <v>324</v>
      </c>
      <c r="B462" s="449" t="s">
        <v>311</v>
      </c>
      <c r="C462" s="450" t="s">
        <v>338</v>
      </c>
      <c r="D462" s="451">
        <v>161350</v>
      </c>
      <c r="E462" s="452"/>
      <c r="F462" s="451">
        <v>157790</v>
      </c>
      <c r="G462" s="452"/>
      <c r="H462" s="439">
        <v>1500</v>
      </c>
      <c r="I462" s="453"/>
      <c r="J462" s="454" t="s">
        <v>731</v>
      </c>
      <c r="K462" s="439">
        <v>1460</v>
      </c>
      <c r="L462" s="453"/>
      <c r="M462" s="454" t="s">
        <v>287</v>
      </c>
      <c r="N462" s="446"/>
      <c r="O462" s="455"/>
      <c r="P462" s="462"/>
      <c r="Q462" s="462"/>
      <c r="R462" s="1280"/>
      <c r="S462" s="1283"/>
      <c r="T462" s="456" t="s">
        <v>294</v>
      </c>
      <c r="U462" s="457">
        <v>2200</v>
      </c>
      <c r="V462" s="458">
        <v>2400</v>
      </c>
      <c r="W462" s="459">
        <v>3130</v>
      </c>
      <c r="X462" s="460">
        <v>30</v>
      </c>
      <c r="Y462" s="448"/>
      <c r="Z462" s="1301"/>
      <c r="AA462" s="464"/>
      <c r="AB462" s="1288"/>
      <c r="AC462" s="1291"/>
      <c r="AD462" s="1272"/>
      <c r="AE462" s="1274"/>
      <c r="AF462" s="1274"/>
      <c r="AG462" s="1276"/>
      <c r="AH462" s="1277"/>
    </row>
    <row r="463" spans="1:34" ht="13.5" customHeight="1">
      <c r="A463" s="431" t="s">
        <v>324</v>
      </c>
      <c r="B463" s="416" t="s">
        <v>312</v>
      </c>
      <c r="C463" s="417" t="s">
        <v>334</v>
      </c>
      <c r="D463" s="418">
        <v>29870</v>
      </c>
      <c r="E463" s="419">
        <v>36670</v>
      </c>
      <c r="F463" s="418">
        <v>26550</v>
      </c>
      <c r="G463" s="419">
        <v>33350</v>
      </c>
      <c r="H463" s="420">
        <v>280</v>
      </c>
      <c r="I463" s="421">
        <v>340</v>
      </c>
      <c r="J463" s="422" t="s">
        <v>731</v>
      </c>
      <c r="K463" s="420">
        <v>240</v>
      </c>
      <c r="L463" s="421">
        <v>300</v>
      </c>
      <c r="M463" s="422" t="s">
        <v>287</v>
      </c>
      <c r="N463" s="423">
        <v>6800</v>
      </c>
      <c r="O463" s="424">
        <v>60</v>
      </c>
      <c r="P463" s="441"/>
      <c r="Q463" s="441"/>
      <c r="R463" s="1278">
        <v>2600</v>
      </c>
      <c r="S463" s="1281">
        <v>2800</v>
      </c>
      <c r="T463" s="426" t="s">
        <v>288</v>
      </c>
      <c r="U463" s="427">
        <v>5500</v>
      </c>
      <c r="V463" s="428">
        <v>6200</v>
      </c>
      <c r="W463" s="425">
        <v>2910</v>
      </c>
      <c r="X463" s="429">
        <v>20</v>
      </c>
      <c r="Y463" s="1284">
        <v>4500</v>
      </c>
      <c r="Z463" s="1301"/>
      <c r="AA463" s="464"/>
      <c r="AB463" s="1286">
        <v>3330</v>
      </c>
      <c r="AC463" s="1289">
        <v>30</v>
      </c>
      <c r="AD463" s="1292" t="s">
        <v>290</v>
      </c>
      <c r="AE463" s="1294" t="s">
        <v>290</v>
      </c>
      <c r="AF463" s="1294" t="s">
        <v>290</v>
      </c>
      <c r="AG463" s="1297" t="s">
        <v>290</v>
      </c>
      <c r="AH463" s="1269" t="s">
        <v>296</v>
      </c>
    </row>
    <row r="464" spans="1:34" ht="13.5" customHeight="1">
      <c r="A464" s="431" t="s">
        <v>324</v>
      </c>
      <c r="B464" s="432" t="s">
        <v>312</v>
      </c>
      <c r="C464" s="433" t="s">
        <v>336</v>
      </c>
      <c r="D464" s="434">
        <v>36670</v>
      </c>
      <c r="E464" s="435">
        <v>92310</v>
      </c>
      <c r="F464" s="434">
        <v>33350</v>
      </c>
      <c r="G464" s="435">
        <v>88990</v>
      </c>
      <c r="H464" s="436">
        <v>340</v>
      </c>
      <c r="I464" s="437">
        <v>810</v>
      </c>
      <c r="J464" s="438" t="s">
        <v>731</v>
      </c>
      <c r="K464" s="436">
        <v>300</v>
      </c>
      <c r="L464" s="437">
        <v>780</v>
      </c>
      <c r="M464" s="438" t="s">
        <v>287</v>
      </c>
      <c r="N464" s="439">
        <v>6800</v>
      </c>
      <c r="O464" s="440">
        <v>60</v>
      </c>
      <c r="P464" s="441"/>
      <c r="Q464" s="441"/>
      <c r="R464" s="1279"/>
      <c r="S464" s="1282"/>
      <c r="T464" s="393" t="s">
        <v>292</v>
      </c>
      <c r="U464" s="442">
        <v>3000</v>
      </c>
      <c r="V464" s="443">
        <v>3400</v>
      </c>
      <c r="W464" s="441">
        <v>2910</v>
      </c>
      <c r="X464" s="444">
        <v>20</v>
      </c>
      <c r="Y464" s="1285"/>
      <c r="Z464" s="1301"/>
      <c r="AA464" s="464"/>
      <c r="AB464" s="1287"/>
      <c r="AC464" s="1290"/>
      <c r="AD464" s="1293"/>
      <c r="AE464" s="1295"/>
      <c r="AF464" s="1295"/>
      <c r="AG464" s="1298"/>
      <c r="AH464" s="1270"/>
    </row>
    <row r="465" spans="1:34" ht="13.5" customHeight="1">
      <c r="A465" s="431" t="s">
        <v>324</v>
      </c>
      <c r="B465" s="432" t="s">
        <v>312</v>
      </c>
      <c r="C465" s="433" t="s">
        <v>337</v>
      </c>
      <c r="D465" s="434">
        <v>92310</v>
      </c>
      <c r="E465" s="435">
        <v>160330</v>
      </c>
      <c r="F465" s="434">
        <v>88990</v>
      </c>
      <c r="G465" s="435">
        <v>157010</v>
      </c>
      <c r="H465" s="436">
        <v>810</v>
      </c>
      <c r="I465" s="437">
        <v>1490</v>
      </c>
      <c r="J465" s="438" t="s">
        <v>731</v>
      </c>
      <c r="K465" s="436">
        <v>780</v>
      </c>
      <c r="L465" s="437">
        <v>1460</v>
      </c>
      <c r="M465" s="438" t="s">
        <v>287</v>
      </c>
      <c r="N465" s="446"/>
      <c r="O465" s="447"/>
      <c r="P465" s="462"/>
      <c r="Q465" s="462"/>
      <c r="R465" s="1279"/>
      <c r="S465" s="1282"/>
      <c r="T465" s="393" t="s">
        <v>293</v>
      </c>
      <c r="U465" s="442">
        <v>2600</v>
      </c>
      <c r="V465" s="443">
        <v>2900</v>
      </c>
      <c r="W465" s="441">
        <v>2910</v>
      </c>
      <c r="X465" s="444">
        <v>20</v>
      </c>
      <c r="Y465" s="448"/>
      <c r="Z465" s="1301"/>
      <c r="AA465" s="464"/>
      <c r="AB465" s="1287"/>
      <c r="AC465" s="1290"/>
      <c r="AD465" s="1271">
        <v>0.02</v>
      </c>
      <c r="AE465" s="1273">
        <v>0.03</v>
      </c>
      <c r="AF465" s="1273">
        <v>0.05</v>
      </c>
      <c r="AG465" s="1275">
        <v>7.0000000000000007E-2</v>
      </c>
      <c r="AH465" s="1277">
        <v>0.98</v>
      </c>
    </row>
    <row r="466" spans="1:34" ht="13.5" customHeight="1">
      <c r="A466" s="431" t="s">
        <v>324</v>
      </c>
      <c r="B466" s="449" t="s">
        <v>312</v>
      </c>
      <c r="C466" s="450" t="s">
        <v>338</v>
      </c>
      <c r="D466" s="451">
        <v>160330</v>
      </c>
      <c r="E466" s="452"/>
      <c r="F466" s="451">
        <v>157010</v>
      </c>
      <c r="G466" s="452"/>
      <c r="H466" s="439">
        <v>1490</v>
      </c>
      <c r="I466" s="453"/>
      <c r="J466" s="454" t="s">
        <v>731</v>
      </c>
      <c r="K466" s="439">
        <v>1460</v>
      </c>
      <c r="L466" s="453"/>
      <c r="M466" s="454" t="s">
        <v>287</v>
      </c>
      <c r="N466" s="446"/>
      <c r="O466" s="455"/>
      <c r="P466" s="441"/>
      <c r="Q466" s="441"/>
      <c r="R466" s="1280"/>
      <c r="S466" s="1283"/>
      <c r="T466" s="456" t="s">
        <v>294</v>
      </c>
      <c r="U466" s="457">
        <v>2400</v>
      </c>
      <c r="V466" s="458">
        <v>2600</v>
      </c>
      <c r="W466" s="459">
        <v>2910</v>
      </c>
      <c r="X466" s="460">
        <v>20</v>
      </c>
      <c r="Y466" s="448"/>
      <c r="Z466" s="1301"/>
      <c r="AA466" s="464"/>
      <c r="AB466" s="1288"/>
      <c r="AC466" s="1291"/>
      <c r="AD466" s="1272"/>
      <c r="AE466" s="1274"/>
      <c r="AF466" s="1274"/>
      <c r="AG466" s="1276"/>
      <c r="AH466" s="1277"/>
    </row>
    <row r="467" spans="1:34" ht="13.5" customHeight="1">
      <c r="A467" s="431" t="s">
        <v>324</v>
      </c>
      <c r="B467" s="416" t="s">
        <v>313</v>
      </c>
      <c r="C467" s="417" t="s">
        <v>334</v>
      </c>
      <c r="D467" s="418">
        <v>28960</v>
      </c>
      <c r="E467" s="419">
        <v>35760</v>
      </c>
      <c r="F467" s="418">
        <v>25870</v>
      </c>
      <c r="G467" s="419">
        <v>32670</v>
      </c>
      <c r="H467" s="420">
        <v>270</v>
      </c>
      <c r="I467" s="421">
        <v>330</v>
      </c>
      <c r="J467" s="422" t="s">
        <v>731</v>
      </c>
      <c r="K467" s="420">
        <v>240</v>
      </c>
      <c r="L467" s="421">
        <v>300</v>
      </c>
      <c r="M467" s="422" t="s">
        <v>287</v>
      </c>
      <c r="N467" s="423">
        <v>6800</v>
      </c>
      <c r="O467" s="424">
        <v>60</v>
      </c>
      <c r="P467" s="441"/>
      <c r="Q467" s="441"/>
      <c r="R467" s="1278">
        <v>2400</v>
      </c>
      <c r="S467" s="1281">
        <v>2600</v>
      </c>
      <c r="T467" s="426" t="s">
        <v>288</v>
      </c>
      <c r="U467" s="427">
        <v>5400</v>
      </c>
      <c r="V467" s="428">
        <v>6000</v>
      </c>
      <c r="W467" s="425">
        <v>2720</v>
      </c>
      <c r="X467" s="429">
        <v>20</v>
      </c>
      <c r="Y467" s="1284">
        <v>4500</v>
      </c>
      <c r="Z467" s="1301"/>
      <c r="AA467" s="464"/>
      <c r="AB467" s="1286">
        <v>3110</v>
      </c>
      <c r="AC467" s="1289">
        <v>30</v>
      </c>
      <c r="AD467" s="1292" t="s">
        <v>290</v>
      </c>
      <c r="AE467" s="1294" t="s">
        <v>290</v>
      </c>
      <c r="AF467" s="1294" t="s">
        <v>290</v>
      </c>
      <c r="AG467" s="1297" t="s">
        <v>290</v>
      </c>
      <c r="AH467" s="1269" t="s">
        <v>296</v>
      </c>
    </row>
    <row r="468" spans="1:34" ht="13.5" customHeight="1">
      <c r="A468" s="431" t="s">
        <v>324</v>
      </c>
      <c r="B468" s="432" t="s">
        <v>313</v>
      </c>
      <c r="C468" s="433" t="s">
        <v>336</v>
      </c>
      <c r="D468" s="434">
        <v>35760</v>
      </c>
      <c r="E468" s="435">
        <v>91400</v>
      </c>
      <c r="F468" s="434">
        <v>32670</v>
      </c>
      <c r="G468" s="435">
        <v>88310</v>
      </c>
      <c r="H468" s="436">
        <v>330</v>
      </c>
      <c r="I468" s="437">
        <v>800</v>
      </c>
      <c r="J468" s="438" t="s">
        <v>731</v>
      </c>
      <c r="K468" s="436">
        <v>300</v>
      </c>
      <c r="L468" s="437">
        <v>770</v>
      </c>
      <c r="M468" s="438" t="s">
        <v>287</v>
      </c>
      <c r="N468" s="439">
        <v>6800</v>
      </c>
      <c r="O468" s="440">
        <v>60</v>
      </c>
      <c r="P468" s="462"/>
      <c r="Q468" s="462"/>
      <c r="R468" s="1279"/>
      <c r="S468" s="1282"/>
      <c r="T468" s="393" t="s">
        <v>292</v>
      </c>
      <c r="U468" s="442">
        <v>2900</v>
      </c>
      <c r="V468" s="443">
        <v>3300</v>
      </c>
      <c r="W468" s="441">
        <v>2720</v>
      </c>
      <c r="X468" s="444">
        <v>20</v>
      </c>
      <c r="Y468" s="1285"/>
      <c r="Z468" s="1301"/>
      <c r="AA468" s="464"/>
      <c r="AB468" s="1287"/>
      <c r="AC468" s="1290"/>
      <c r="AD468" s="1293"/>
      <c r="AE468" s="1295"/>
      <c r="AF468" s="1295"/>
      <c r="AG468" s="1298"/>
      <c r="AH468" s="1270"/>
    </row>
    <row r="469" spans="1:34" ht="13.5" customHeight="1">
      <c r="A469" s="431" t="s">
        <v>324</v>
      </c>
      <c r="B469" s="432" t="s">
        <v>313</v>
      </c>
      <c r="C469" s="433" t="s">
        <v>337</v>
      </c>
      <c r="D469" s="434">
        <v>91400</v>
      </c>
      <c r="E469" s="435">
        <v>159420</v>
      </c>
      <c r="F469" s="434">
        <v>88310</v>
      </c>
      <c r="G469" s="435">
        <v>156330</v>
      </c>
      <c r="H469" s="436">
        <v>800</v>
      </c>
      <c r="I469" s="437">
        <v>1480</v>
      </c>
      <c r="J469" s="438" t="s">
        <v>731</v>
      </c>
      <c r="K469" s="436">
        <v>770</v>
      </c>
      <c r="L469" s="437">
        <v>1450</v>
      </c>
      <c r="M469" s="438" t="s">
        <v>287</v>
      </c>
      <c r="N469" s="446"/>
      <c r="O469" s="447"/>
      <c r="P469" s="441"/>
      <c r="Q469" s="441"/>
      <c r="R469" s="1279"/>
      <c r="S469" s="1282"/>
      <c r="T469" s="393" t="s">
        <v>293</v>
      </c>
      <c r="U469" s="442">
        <v>2500</v>
      </c>
      <c r="V469" s="443">
        <v>2800</v>
      </c>
      <c r="W469" s="441">
        <v>2720</v>
      </c>
      <c r="X469" s="444">
        <v>20</v>
      </c>
      <c r="Y469" s="448"/>
      <c r="Z469" s="1301"/>
      <c r="AA469" s="464"/>
      <c r="AB469" s="1287"/>
      <c r="AC469" s="1290"/>
      <c r="AD469" s="1271">
        <v>0.02</v>
      </c>
      <c r="AE469" s="1273">
        <v>0.03</v>
      </c>
      <c r="AF469" s="1273">
        <v>0.05</v>
      </c>
      <c r="AG469" s="1275">
        <v>7.0000000000000007E-2</v>
      </c>
      <c r="AH469" s="1277">
        <v>0.98</v>
      </c>
    </row>
    <row r="470" spans="1:34" ht="13.5" customHeight="1">
      <c r="A470" s="431" t="s">
        <v>324</v>
      </c>
      <c r="B470" s="449" t="s">
        <v>313</v>
      </c>
      <c r="C470" s="450" t="s">
        <v>338</v>
      </c>
      <c r="D470" s="451">
        <v>159420</v>
      </c>
      <c r="E470" s="452"/>
      <c r="F470" s="451">
        <v>156330</v>
      </c>
      <c r="G470" s="452"/>
      <c r="H470" s="439">
        <v>1480</v>
      </c>
      <c r="I470" s="453"/>
      <c r="J470" s="454" t="s">
        <v>731</v>
      </c>
      <c r="K470" s="439">
        <v>1450</v>
      </c>
      <c r="L470" s="453"/>
      <c r="M470" s="454" t="s">
        <v>287</v>
      </c>
      <c r="N470" s="446"/>
      <c r="O470" s="455"/>
      <c r="P470" s="441"/>
      <c r="Q470" s="441"/>
      <c r="R470" s="1280"/>
      <c r="S470" s="1283"/>
      <c r="T470" s="456" t="s">
        <v>294</v>
      </c>
      <c r="U470" s="457">
        <v>2300</v>
      </c>
      <c r="V470" s="458">
        <v>2500</v>
      </c>
      <c r="W470" s="459">
        <v>2720</v>
      </c>
      <c r="X470" s="460">
        <v>20</v>
      </c>
      <c r="Y470" s="448"/>
      <c r="Z470" s="1301"/>
      <c r="AA470" s="464"/>
      <c r="AB470" s="1288"/>
      <c r="AC470" s="1291"/>
      <c r="AD470" s="1272"/>
      <c r="AE470" s="1274"/>
      <c r="AF470" s="1274"/>
      <c r="AG470" s="1276"/>
      <c r="AH470" s="1277"/>
    </row>
    <row r="471" spans="1:34" ht="13.5" customHeight="1">
      <c r="A471" s="431" t="s">
        <v>324</v>
      </c>
      <c r="B471" s="416" t="s">
        <v>314</v>
      </c>
      <c r="C471" s="417" t="s">
        <v>334</v>
      </c>
      <c r="D471" s="418">
        <v>29030</v>
      </c>
      <c r="E471" s="419">
        <v>35830</v>
      </c>
      <c r="F471" s="418">
        <v>26130</v>
      </c>
      <c r="G471" s="419">
        <v>32930</v>
      </c>
      <c r="H471" s="420">
        <v>270</v>
      </c>
      <c r="I471" s="421">
        <v>330</v>
      </c>
      <c r="J471" s="422" t="s">
        <v>731</v>
      </c>
      <c r="K471" s="420">
        <v>240</v>
      </c>
      <c r="L471" s="421">
        <v>300</v>
      </c>
      <c r="M471" s="422" t="s">
        <v>287</v>
      </c>
      <c r="N471" s="423">
        <v>6800</v>
      </c>
      <c r="O471" s="424">
        <v>60</v>
      </c>
      <c r="P471" s="462"/>
      <c r="Q471" s="462"/>
      <c r="R471" s="1278">
        <v>2200</v>
      </c>
      <c r="S471" s="1281">
        <v>2500</v>
      </c>
      <c r="T471" s="426" t="s">
        <v>288</v>
      </c>
      <c r="U471" s="427">
        <v>4800</v>
      </c>
      <c r="V471" s="428">
        <v>5400</v>
      </c>
      <c r="W471" s="425">
        <v>2550</v>
      </c>
      <c r="X471" s="429">
        <v>20</v>
      </c>
      <c r="Y471" s="1284">
        <v>4500</v>
      </c>
      <c r="Z471" s="1301"/>
      <c r="AA471" s="464"/>
      <c r="AB471" s="1286">
        <v>2920</v>
      </c>
      <c r="AC471" s="1289">
        <v>20</v>
      </c>
      <c r="AD471" s="1292" t="s">
        <v>290</v>
      </c>
      <c r="AE471" s="1294" t="s">
        <v>290</v>
      </c>
      <c r="AF471" s="1294" t="s">
        <v>290</v>
      </c>
      <c r="AG471" s="1297" t="s">
        <v>290</v>
      </c>
      <c r="AH471" s="1269" t="s">
        <v>296</v>
      </c>
    </row>
    <row r="472" spans="1:34" ht="13.5" customHeight="1">
      <c r="A472" s="431" t="s">
        <v>324</v>
      </c>
      <c r="B472" s="432" t="s">
        <v>314</v>
      </c>
      <c r="C472" s="433" t="s">
        <v>336</v>
      </c>
      <c r="D472" s="434">
        <v>35830</v>
      </c>
      <c r="E472" s="435">
        <v>91470</v>
      </c>
      <c r="F472" s="434">
        <v>32930</v>
      </c>
      <c r="G472" s="435">
        <v>88570</v>
      </c>
      <c r="H472" s="436">
        <v>330</v>
      </c>
      <c r="I472" s="437">
        <v>800</v>
      </c>
      <c r="J472" s="438" t="s">
        <v>731</v>
      </c>
      <c r="K472" s="436">
        <v>300</v>
      </c>
      <c r="L472" s="437">
        <v>770</v>
      </c>
      <c r="M472" s="438" t="s">
        <v>287</v>
      </c>
      <c r="N472" s="439">
        <v>6800</v>
      </c>
      <c r="O472" s="440">
        <v>60</v>
      </c>
      <c r="P472" s="462"/>
      <c r="Q472" s="462"/>
      <c r="R472" s="1279"/>
      <c r="S472" s="1282"/>
      <c r="T472" s="393" t="s">
        <v>292</v>
      </c>
      <c r="U472" s="442">
        <v>2600</v>
      </c>
      <c r="V472" s="443">
        <v>2900</v>
      </c>
      <c r="W472" s="441">
        <v>2550</v>
      </c>
      <c r="X472" s="444">
        <v>20</v>
      </c>
      <c r="Y472" s="1285"/>
      <c r="Z472" s="1301"/>
      <c r="AA472" s="464"/>
      <c r="AB472" s="1287"/>
      <c r="AC472" s="1290"/>
      <c r="AD472" s="1293"/>
      <c r="AE472" s="1295"/>
      <c r="AF472" s="1295"/>
      <c r="AG472" s="1298"/>
      <c r="AH472" s="1270"/>
    </row>
    <row r="473" spans="1:34" ht="13.5" customHeight="1">
      <c r="A473" s="431" t="s">
        <v>324</v>
      </c>
      <c r="B473" s="432" t="s">
        <v>314</v>
      </c>
      <c r="C473" s="433" t="s">
        <v>337</v>
      </c>
      <c r="D473" s="434">
        <v>91470</v>
      </c>
      <c r="E473" s="435">
        <v>159490</v>
      </c>
      <c r="F473" s="434">
        <v>88570</v>
      </c>
      <c r="G473" s="435">
        <v>156590</v>
      </c>
      <c r="H473" s="436">
        <v>800</v>
      </c>
      <c r="I473" s="437">
        <v>1480</v>
      </c>
      <c r="J473" s="438" t="s">
        <v>731</v>
      </c>
      <c r="K473" s="436">
        <v>770</v>
      </c>
      <c r="L473" s="437">
        <v>1450</v>
      </c>
      <c r="M473" s="438" t="s">
        <v>287</v>
      </c>
      <c r="N473" s="446"/>
      <c r="O473" s="447"/>
      <c r="P473" s="462"/>
      <c r="Q473" s="462"/>
      <c r="R473" s="1279"/>
      <c r="S473" s="1282"/>
      <c r="T473" s="393" t="s">
        <v>293</v>
      </c>
      <c r="U473" s="442">
        <v>2300</v>
      </c>
      <c r="V473" s="443">
        <v>2500</v>
      </c>
      <c r="W473" s="441">
        <v>2550</v>
      </c>
      <c r="X473" s="444">
        <v>20</v>
      </c>
      <c r="Y473" s="448"/>
      <c r="Z473" s="1301"/>
      <c r="AA473" s="464"/>
      <c r="AB473" s="1287"/>
      <c r="AC473" s="1290"/>
      <c r="AD473" s="1271">
        <v>0.02</v>
      </c>
      <c r="AE473" s="1273">
        <v>0.03</v>
      </c>
      <c r="AF473" s="1273">
        <v>0.05</v>
      </c>
      <c r="AG473" s="1275">
        <v>7.0000000000000007E-2</v>
      </c>
      <c r="AH473" s="1277">
        <v>0.98</v>
      </c>
    </row>
    <row r="474" spans="1:34" ht="13.5" customHeight="1">
      <c r="A474" s="431" t="s">
        <v>324</v>
      </c>
      <c r="B474" s="449" t="s">
        <v>314</v>
      </c>
      <c r="C474" s="450" t="s">
        <v>338</v>
      </c>
      <c r="D474" s="451">
        <v>159490</v>
      </c>
      <c r="E474" s="452"/>
      <c r="F474" s="451">
        <v>156590</v>
      </c>
      <c r="G474" s="452"/>
      <c r="H474" s="439">
        <v>1480</v>
      </c>
      <c r="I474" s="453"/>
      <c r="J474" s="454" t="s">
        <v>731</v>
      </c>
      <c r="K474" s="439">
        <v>1450</v>
      </c>
      <c r="L474" s="453"/>
      <c r="M474" s="454" t="s">
        <v>287</v>
      </c>
      <c r="N474" s="446"/>
      <c r="O474" s="455"/>
      <c r="P474" s="462"/>
      <c r="Q474" s="462"/>
      <c r="R474" s="1280"/>
      <c r="S474" s="1283"/>
      <c r="T474" s="456" t="s">
        <v>294</v>
      </c>
      <c r="U474" s="457">
        <v>2000</v>
      </c>
      <c r="V474" s="458">
        <v>2300</v>
      </c>
      <c r="W474" s="459">
        <v>2550</v>
      </c>
      <c r="X474" s="460">
        <v>20</v>
      </c>
      <c r="Y474" s="448"/>
      <c r="Z474" s="1301"/>
      <c r="AA474" s="464"/>
      <c r="AB474" s="1288"/>
      <c r="AC474" s="1291"/>
      <c r="AD474" s="1272"/>
      <c r="AE474" s="1274"/>
      <c r="AF474" s="1274"/>
      <c r="AG474" s="1276"/>
      <c r="AH474" s="1277"/>
    </row>
    <row r="475" spans="1:34" ht="13.5" customHeight="1">
      <c r="A475" s="431" t="s">
        <v>324</v>
      </c>
      <c r="B475" s="416" t="s">
        <v>315</v>
      </c>
      <c r="C475" s="417" t="s">
        <v>334</v>
      </c>
      <c r="D475" s="418">
        <v>28290</v>
      </c>
      <c r="E475" s="419">
        <v>35090</v>
      </c>
      <c r="F475" s="418">
        <v>25560</v>
      </c>
      <c r="G475" s="419">
        <v>32360</v>
      </c>
      <c r="H475" s="420">
        <v>260</v>
      </c>
      <c r="I475" s="421">
        <v>320</v>
      </c>
      <c r="J475" s="422" t="s">
        <v>731</v>
      </c>
      <c r="K475" s="420">
        <v>230</v>
      </c>
      <c r="L475" s="421">
        <v>290</v>
      </c>
      <c r="M475" s="422" t="s">
        <v>287</v>
      </c>
      <c r="N475" s="423">
        <v>6800</v>
      </c>
      <c r="O475" s="424">
        <v>60</v>
      </c>
      <c r="P475" s="462"/>
      <c r="Q475" s="462"/>
      <c r="R475" s="1278">
        <v>2400</v>
      </c>
      <c r="S475" s="1281">
        <v>2600</v>
      </c>
      <c r="T475" s="426" t="s">
        <v>288</v>
      </c>
      <c r="U475" s="427">
        <v>5400</v>
      </c>
      <c r="V475" s="428">
        <v>6000</v>
      </c>
      <c r="W475" s="425">
        <v>2400</v>
      </c>
      <c r="X475" s="429">
        <v>20</v>
      </c>
      <c r="Y475" s="1284">
        <v>4500</v>
      </c>
      <c r="Z475" s="1301"/>
      <c r="AA475" s="464"/>
      <c r="AB475" s="1286">
        <v>2740</v>
      </c>
      <c r="AC475" s="1289">
        <v>20</v>
      </c>
      <c r="AD475" s="1292" t="s">
        <v>290</v>
      </c>
      <c r="AE475" s="1294" t="s">
        <v>290</v>
      </c>
      <c r="AF475" s="1294" t="s">
        <v>290</v>
      </c>
      <c r="AG475" s="1297" t="s">
        <v>290</v>
      </c>
      <c r="AH475" s="1269" t="s">
        <v>296</v>
      </c>
    </row>
    <row r="476" spans="1:34" ht="13.5" customHeight="1">
      <c r="A476" s="431" t="s">
        <v>324</v>
      </c>
      <c r="B476" s="432" t="s">
        <v>315</v>
      </c>
      <c r="C476" s="433" t="s">
        <v>336</v>
      </c>
      <c r="D476" s="434">
        <v>35090</v>
      </c>
      <c r="E476" s="435">
        <v>90730</v>
      </c>
      <c r="F476" s="434">
        <v>32360</v>
      </c>
      <c r="G476" s="435">
        <v>88000</v>
      </c>
      <c r="H476" s="436">
        <v>320</v>
      </c>
      <c r="I476" s="437">
        <v>790</v>
      </c>
      <c r="J476" s="438" t="s">
        <v>731</v>
      </c>
      <c r="K476" s="436">
        <v>290</v>
      </c>
      <c r="L476" s="437">
        <v>770</v>
      </c>
      <c r="M476" s="438" t="s">
        <v>287</v>
      </c>
      <c r="N476" s="439">
        <v>6800</v>
      </c>
      <c r="O476" s="440">
        <v>60</v>
      </c>
      <c r="P476" s="462"/>
      <c r="Q476" s="462"/>
      <c r="R476" s="1279"/>
      <c r="S476" s="1282"/>
      <c r="T476" s="393" t="s">
        <v>292</v>
      </c>
      <c r="U476" s="442">
        <v>2900</v>
      </c>
      <c r="V476" s="443">
        <v>3300</v>
      </c>
      <c r="W476" s="441">
        <v>2400</v>
      </c>
      <c r="X476" s="444">
        <v>20</v>
      </c>
      <c r="Y476" s="1285"/>
      <c r="Z476" s="1301"/>
      <c r="AA476" s="464"/>
      <c r="AB476" s="1287"/>
      <c r="AC476" s="1290"/>
      <c r="AD476" s="1293"/>
      <c r="AE476" s="1295"/>
      <c r="AF476" s="1295"/>
      <c r="AG476" s="1298"/>
      <c r="AH476" s="1270"/>
    </row>
    <row r="477" spans="1:34" ht="13.5" customHeight="1">
      <c r="A477" s="431" t="s">
        <v>324</v>
      </c>
      <c r="B477" s="432" t="s">
        <v>315</v>
      </c>
      <c r="C477" s="433" t="s">
        <v>337</v>
      </c>
      <c r="D477" s="434">
        <v>90730</v>
      </c>
      <c r="E477" s="435">
        <v>158750</v>
      </c>
      <c r="F477" s="434">
        <v>88000</v>
      </c>
      <c r="G477" s="435">
        <v>156020</v>
      </c>
      <c r="H477" s="436">
        <v>790</v>
      </c>
      <c r="I477" s="437">
        <v>1470</v>
      </c>
      <c r="J477" s="438" t="s">
        <v>731</v>
      </c>
      <c r="K477" s="436">
        <v>770</v>
      </c>
      <c r="L477" s="437">
        <v>1450</v>
      </c>
      <c r="M477" s="438" t="s">
        <v>287</v>
      </c>
      <c r="N477" s="446"/>
      <c r="O477" s="447"/>
      <c r="P477" s="441"/>
      <c r="Q477" s="441"/>
      <c r="R477" s="1279"/>
      <c r="S477" s="1282"/>
      <c r="T477" s="393" t="s">
        <v>293</v>
      </c>
      <c r="U477" s="442">
        <v>2500</v>
      </c>
      <c r="V477" s="443">
        <v>2800</v>
      </c>
      <c r="W477" s="441">
        <v>2400</v>
      </c>
      <c r="X477" s="444">
        <v>20</v>
      </c>
      <c r="Y477" s="448"/>
      <c r="Z477" s="1301"/>
      <c r="AA477" s="464"/>
      <c r="AB477" s="1287"/>
      <c r="AC477" s="1290"/>
      <c r="AD477" s="1271">
        <v>0.02</v>
      </c>
      <c r="AE477" s="1273">
        <v>0.03</v>
      </c>
      <c r="AF477" s="1273">
        <v>0.05</v>
      </c>
      <c r="AG477" s="1275">
        <v>7.0000000000000007E-2</v>
      </c>
      <c r="AH477" s="1277">
        <v>0.99</v>
      </c>
    </row>
    <row r="478" spans="1:34" ht="13.5" customHeight="1">
      <c r="A478" s="431" t="s">
        <v>324</v>
      </c>
      <c r="B478" s="449" t="s">
        <v>315</v>
      </c>
      <c r="C478" s="450" t="s">
        <v>338</v>
      </c>
      <c r="D478" s="451">
        <v>158750</v>
      </c>
      <c r="E478" s="452"/>
      <c r="F478" s="451">
        <v>156020</v>
      </c>
      <c r="G478" s="452"/>
      <c r="H478" s="439">
        <v>1470</v>
      </c>
      <c r="I478" s="453"/>
      <c r="J478" s="454" t="s">
        <v>731</v>
      </c>
      <c r="K478" s="439">
        <v>1450</v>
      </c>
      <c r="L478" s="453"/>
      <c r="M478" s="454" t="s">
        <v>287</v>
      </c>
      <c r="N478" s="446"/>
      <c r="O478" s="455"/>
      <c r="P478" s="441"/>
      <c r="Q478" s="441"/>
      <c r="R478" s="1280"/>
      <c r="S478" s="1283"/>
      <c r="T478" s="456" t="s">
        <v>294</v>
      </c>
      <c r="U478" s="457">
        <v>2300</v>
      </c>
      <c r="V478" s="458">
        <v>2500</v>
      </c>
      <c r="W478" s="459">
        <v>2400</v>
      </c>
      <c r="X478" s="460">
        <v>20</v>
      </c>
      <c r="Y478" s="448"/>
      <c r="Z478" s="1301"/>
      <c r="AA478" s="464"/>
      <c r="AB478" s="1288"/>
      <c r="AC478" s="1291"/>
      <c r="AD478" s="1272"/>
      <c r="AE478" s="1274"/>
      <c r="AF478" s="1274"/>
      <c r="AG478" s="1276"/>
      <c r="AH478" s="1277"/>
    </row>
    <row r="479" spans="1:34" ht="13.5" customHeight="1">
      <c r="A479" s="431" t="s">
        <v>324</v>
      </c>
      <c r="B479" s="416" t="s">
        <v>316</v>
      </c>
      <c r="C479" s="417" t="s">
        <v>334</v>
      </c>
      <c r="D479" s="418">
        <v>27620</v>
      </c>
      <c r="E479" s="419">
        <v>34420</v>
      </c>
      <c r="F479" s="418">
        <v>25040</v>
      </c>
      <c r="G479" s="419">
        <v>31840</v>
      </c>
      <c r="H479" s="420">
        <v>250</v>
      </c>
      <c r="I479" s="421">
        <v>310</v>
      </c>
      <c r="J479" s="422" t="s">
        <v>731</v>
      </c>
      <c r="K479" s="420">
        <v>230</v>
      </c>
      <c r="L479" s="421">
        <v>290</v>
      </c>
      <c r="M479" s="422" t="s">
        <v>287</v>
      </c>
      <c r="N479" s="423">
        <v>6800</v>
      </c>
      <c r="O479" s="424">
        <v>60</v>
      </c>
      <c r="P479" s="441"/>
      <c r="Q479" s="441"/>
      <c r="R479" s="1278">
        <v>2300</v>
      </c>
      <c r="S479" s="1281">
        <v>2500</v>
      </c>
      <c r="T479" s="426" t="s">
        <v>288</v>
      </c>
      <c r="U479" s="427">
        <v>4800</v>
      </c>
      <c r="V479" s="428">
        <v>5400</v>
      </c>
      <c r="W479" s="425">
        <v>2260</v>
      </c>
      <c r="X479" s="429">
        <v>20</v>
      </c>
      <c r="Y479" s="1284">
        <v>4500</v>
      </c>
      <c r="Z479" s="1301"/>
      <c r="AA479" s="464"/>
      <c r="AB479" s="1286">
        <v>2590</v>
      </c>
      <c r="AC479" s="1289">
        <v>20</v>
      </c>
      <c r="AD479" s="1292" t="s">
        <v>290</v>
      </c>
      <c r="AE479" s="1294" t="s">
        <v>290</v>
      </c>
      <c r="AF479" s="1294" t="s">
        <v>290</v>
      </c>
      <c r="AG479" s="1297" t="s">
        <v>290</v>
      </c>
      <c r="AH479" s="1269" t="s">
        <v>296</v>
      </c>
    </row>
    <row r="480" spans="1:34" ht="13.5" customHeight="1">
      <c r="A480" s="431" t="s">
        <v>324</v>
      </c>
      <c r="B480" s="432" t="s">
        <v>317</v>
      </c>
      <c r="C480" s="433" t="s">
        <v>336</v>
      </c>
      <c r="D480" s="434">
        <v>34420</v>
      </c>
      <c r="E480" s="435">
        <v>90060</v>
      </c>
      <c r="F480" s="434">
        <v>31840</v>
      </c>
      <c r="G480" s="435">
        <v>87480</v>
      </c>
      <c r="H480" s="436">
        <v>310</v>
      </c>
      <c r="I480" s="437">
        <v>790</v>
      </c>
      <c r="J480" s="438" t="s">
        <v>731</v>
      </c>
      <c r="K480" s="436">
        <v>290</v>
      </c>
      <c r="L480" s="437">
        <v>760</v>
      </c>
      <c r="M480" s="438" t="s">
        <v>287</v>
      </c>
      <c r="N480" s="439">
        <v>6800</v>
      </c>
      <c r="O480" s="440">
        <v>60</v>
      </c>
      <c r="P480" s="441"/>
      <c r="Q480" s="441"/>
      <c r="R480" s="1279"/>
      <c r="S480" s="1282"/>
      <c r="T480" s="393" t="s">
        <v>292</v>
      </c>
      <c r="U480" s="442">
        <v>2600</v>
      </c>
      <c r="V480" s="443">
        <v>2900</v>
      </c>
      <c r="W480" s="441">
        <v>2260</v>
      </c>
      <c r="X480" s="444">
        <v>20</v>
      </c>
      <c r="Y480" s="1285"/>
      <c r="Z480" s="1301"/>
      <c r="AA480" s="464"/>
      <c r="AB480" s="1287"/>
      <c r="AC480" s="1290"/>
      <c r="AD480" s="1293"/>
      <c r="AE480" s="1295"/>
      <c r="AF480" s="1295"/>
      <c r="AG480" s="1298"/>
      <c r="AH480" s="1270"/>
    </row>
    <row r="481" spans="1:87" ht="13.5" customHeight="1">
      <c r="A481" s="431" t="s">
        <v>324</v>
      </c>
      <c r="B481" s="432" t="s">
        <v>316</v>
      </c>
      <c r="C481" s="433" t="s">
        <v>337</v>
      </c>
      <c r="D481" s="434">
        <v>90060</v>
      </c>
      <c r="E481" s="435">
        <v>158080</v>
      </c>
      <c r="F481" s="434">
        <v>87480</v>
      </c>
      <c r="G481" s="435">
        <v>155500</v>
      </c>
      <c r="H481" s="436">
        <v>790</v>
      </c>
      <c r="I481" s="437">
        <v>1470</v>
      </c>
      <c r="J481" s="438" t="s">
        <v>731</v>
      </c>
      <c r="K481" s="436">
        <v>760</v>
      </c>
      <c r="L481" s="437">
        <v>1440</v>
      </c>
      <c r="M481" s="438" t="s">
        <v>287</v>
      </c>
      <c r="N481" s="446"/>
      <c r="O481" s="447"/>
      <c r="P481" s="441"/>
      <c r="Q481" s="441"/>
      <c r="R481" s="1279"/>
      <c r="S481" s="1282"/>
      <c r="T481" s="393" t="s">
        <v>293</v>
      </c>
      <c r="U481" s="442">
        <v>2300</v>
      </c>
      <c r="V481" s="443">
        <v>2500</v>
      </c>
      <c r="W481" s="441">
        <v>2260</v>
      </c>
      <c r="X481" s="444">
        <v>20</v>
      </c>
      <c r="Y481" s="448"/>
      <c r="Z481" s="1301"/>
      <c r="AA481" s="464"/>
      <c r="AB481" s="1287"/>
      <c r="AC481" s="1290"/>
      <c r="AD481" s="1271">
        <v>0.02</v>
      </c>
      <c r="AE481" s="1273">
        <v>0.03</v>
      </c>
      <c r="AF481" s="1273">
        <v>0.05</v>
      </c>
      <c r="AG481" s="1275">
        <v>7.0000000000000007E-2</v>
      </c>
      <c r="AH481" s="1277">
        <v>0.99</v>
      </c>
    </row>
    <row r="482" spans="1:87" ht="13.5" customHeight="1">
      <c r="A482" s="463" t="s">
        <v>324</v>
      </c>
      <c r="B482" s="449" t="s">
        <v>316</v>
      </c>
      <c r="C482" s="450" t="s">
        <v>338</v>
      </c>
      <c r="D482" s="451">
        <v>158080</v>
      </c>
      <c r="E482" s="452"/>
      <c r="F482" s="451">
        <v>155500</v>
      </c>
      <c r="G482" s="452"/>
      <c r="H482" s="439">
        <v>1470</v>
      </c>
      <c r="I482" s="453"/>
      <c r="J482" s="454" t="s">
        <v>731</v>
      </c>
      <c r="K482" s="439">
        <v>1440</v>
      </c>
      <c r="L482" s="453"/>
      <c r="M482" s="454" t="s">
        <v>287</v>
      </c>
      <c r="N482" s="446"/>
      <c r="O482" s="465"/>
      <c r="P482" s="459"/>
      <c r="Q482" s="459"/>
      <c r="R482" s="1280"/>
      <c r="S482" s="1283"/>
      <c r="T482" s="456" t="s">
        <v>294</v>
      </c>
      <c r="U482" s="457">
        <v>2000</v>
      </c>
      <c r="V482" s="458">
        <v>2300</v>
      </c>
      <c r="W482" s="459">
        <v>2260</v>
      </c>
      <c r="X482" s="460">
        <v>20</v>
      </c>
      <c r="Y482" s="448"/>
      <c r="Z482" s="1301"/>
      <c r="AA482" s="403"/>
      <c r="AB482" s="1288"/>
      <c r="AC482" s="1291"/>
      <c r="AD482" s="1272"/>
      <c r="AE482" s="1274"/>
      <c r="AF482" s="1274"/>
      <c r="AG482" s="1276"/>
      <c r="AH482" s="1296"/>
    </row>
    <row r="483" spans="1:87" s="89" customFormat="1" ht="13.5" customHeight="1">
      <c r="A483" s="416" t="s">
        <v>325</v>
      </c>
      <c r="B483" s="416" t="s">
        <v>286</v>
      </c>
      <c r="C483" s="417" t="s">
        <v>334</v>
      </c>
      <c r="D483" s="418">
        <v>107890</v>
      </c>
      <c r="E483" s="419">
        <v>114510</v>
      </c>
      <c r="F483" s="418">
        <v>85230</v>
      </c>
      <c r="G483" s="419">
        <v>91850</v>
      </c>
      <c r="H483" s="420">
        <v>1060</v>
      </c>
      <c r="I483" s="421">
        <v>1120</v>
      </c>
      <c r="J483" s="422" t="s">
        <v>731</v>
      </c>
      <c r="K483" s="420">
        <v>830</v>
      </c>
      <c r="L483" s="421">
        <v>890</v>
      </c>
      <c r="M483" s="422" t="s">
        <v>287</v>
      </c>
      <c r="N483" s="423">
        <v>6620</v>
      </c>
      <c r="O483" s="424">
        <v>60</v>
      </c>
      <c r="P483" s="425"/>
      <c r="Q483" s="425"/>
      <c r="R483" s="1278">
        <v>7200</v>
      </c>
      <c r="S483" s="1281">
        <v>7900</v>
      </c>
      <c r="T483" s="426" t="s">
        <v>288</v>
      </c>
      <c r="U483" s="427">
        <v>15800</v>
      </c>
      <c r="V483" s="428">
        <v>17600</v>
      </c>
      <c r="W483" s="425">
        <v>19880</v>
      </c>
      <c r="X483" s="429">
        <v>190</v>
      </c>
      <c r="Y483" s="1284">
        <v>4500</v>
      </c>
      <c r="Z483" s="1301" t="s">
        <v>289</v>
      </c>
      <c r="AA483" s="430"/>
      <c r="AB483" s="1286">
        <v>22680</v>
      </c>
      <c r="AC483" s="1289">
        <v>220</v>
      </c>
      <c r="AD483" s="1292" t="s">
        <v>290</v>
      </c>
      <c r="AE483" s="1294" t="s">
        <v>290</v>
      </c>
      <c r="AF483" s="1294" t="s">
        <v>290</v>
      </c>
      <c r="AG483" s="1297" t="s">
        <v>290</v>
      </c>
      <c r="AH483" s="1269" t="s">
        <v>296</v>
      </c>
      <c r="AI483" s="88"/>
      <c r="AJ483" s="88"/>
      <c r="AK483" s="88"/>
      <c r="AL483" s="88"/>
      <c r="AM483" s="88"/>
      <c r="AN483" s="88"/>
      <c r="AO483" s="88"/>
      <c r="AP483" s="88"/>
      <c r="AQ483" s="88"/>
      <c r="AR483" s="88"/>
      <c r="AS483" s="88"/>
      <c r="AT483" s="88"/>
      <c r="AU483" s="88"/>
      <c r="AV483" s="88"/>
      <c r="AW483" s="88"/>
      <c r="AY483" s="94"/>
      <c r="AZ483" s="94"/>
      <c r="BA483" s="94"/>
      <c r="BB483" s="94"/>
      <c r="BC483" s="94"/>
      <c r="BD483" s="94"/>
      <c r="BE483" s="94"/>
      <c r="BF483" s="94"/>
      <c r="BG483" s="94"/>
      <c r="BH483" s="94"/>
      <c r="BI483" s="94"/>
      <c r="BJ483" s="94"/>
      <c r="BK483" s="94"/>
      <c r="BL483" s="94"/>
      <c r="BM483" s="94"/>
      <c r="BN483" s="94"/>
      <c r="BO483" s="94"/>
      <c r="BP483" s="94"/>
      <c r="BQ483" s="94"/>
      <c r="BR483" s="94"/>
      <c r="BS483" s="94"/>
      <c r="BT483" s="94"/>
      <c r="BU483" s="94"/>
      <c r="BV483" s="94"/>
      <c r="BW483" s="94"/>
      <c r="BX483" s="94"/>
      <c r="BY483" s="94"/>
      <c r="BZ483" s="94"/>
      <c r="CA483" s="94"/>
      <c r="CB483" s="94"/>
      <c r="CC483" s="94"/>
      <c r="CD483" s="94"/>
      <c r="CE483" s="94"/>
      <c r="CF483" s="94"/>
      <c r="CG483" s="94"/>
      <c r="CH483" s="94"/>
      <c r="CI483" s="94"/>
    </row>
    <row r="484" spans="1:87" s="89" customFormat="1" ht="13.5" customHeight="1">
      <c r="A484" s="431" t="s">
        <v>325</v>
      </c>
      <c r="B484" s="432" t="s">
        <v>286</v>
      </c>
      <c r="C484" s="433" t="s">
        <v>336</v>
      </c>
      <c r="D484" s="434">
        <v>114510</v>
      </c>
      <c r="E484" s="435">
        <v>168930</v>
      </c>
      <c r="F484" s="434">
        <v>91850</v>
      </c>
      <c r="G484" s="435">
        <v>146270</v>
      </c>
      <c r="H484" s="436">
        <v>1120</v>
      </c>
      <c r="I484" s="437">
        <v>1580</v>
      </c>
      <c r="J484" s="438" t="s">
        <v>731</v>
      </c>
      <c r="K484" s="436">
        <v>890</v>
      </c>
      <c r="L484" s="437">
        <v>1350</v>
      </c>
      <c r="M484" s="438" t="s">
        <v>287</v>
      </c>
      <c r="N484" s="439">
        <v>6620</v>
      </c>
      <c r="O484" s="440">
        <v>60</v>
      </c>
      <c r="P484" s="441"/>
      <c r="Q484" s="441"/>
      <c r="R484" s="1279"/>
      <c r="S484" s="1282"/>
      <c r="T484" s="393" t="s">
        <v>292</v>
      </c>
      <c r="U484" s="442">
        <v>8700</v>
      </c>
      <c r="V484" s="443">
        <v>9700</v>
      </c>
      <c r="W484" s="441">
        <v>19880</v>
      </c>
      <c r="X484" s="444">
        <v>190</v>
      </c>
      <c r="Y484" s="1285"/>
      <c r="Z484" s="1301"/>
      <c r="AA484" s="445"/>
      <c r="AB484" s="1287"/>
      <c r="AC484" s="1290"/>
      <c r="AD484" s="1293"/>
      <c r="AE484" s="1295"/>
      <c r="AF484" s="1295"/>
      <c r="AG484" s="1298"/>
      <c r="AH484" s="1270"/>
      <c r="AI484" s="88"/>
      <c r="AJ484" s="88"/>
      <c r="AK484" s="88"/>
      <c r="AL484" s="88"/>
      <c r="AM484" s="88"/>
      <c r="AN484" s="88"/>
      <c r="AO484" s="88"/>
      <c r="AP484" s="88"/>
      <c r="AQ484" s="88"/>
      <c r="AR484" s="88"/>
      <c r="AS484" s="88"/>
      <c r="AT484" s="88"/>
      <c r="AU484" s="88"/>
      <c r="AV484" s="88"/>
      <c r="AW484" s="88"/>
    </row>
    <row r="485" spans="1:87" s="89" customFormat="1" ht="13.5" customHeight="1">
      <c r="A485" s="431" t="s">
        <v>325</v>
      </c>
      <c r="B485" s="432" t="s">
        <v>286</v>
      </c>
      <c r="C485" s="433" t="s">
        <v>337</v>
      </c>
      <c r="D485" s="434">
        <v>168930</v>
      </c>
      <c r="E485" s="435">
        <v>235190</v>
      </c>
      <c r="F485" s="434">
        <v>146270</v>
      </c>
      <c r="G485" s="435">
        <v>212530</v>
      </c>
      <c r="H485" s="436">
        <v>1580</v>
      </c>
      <c r="I485" s="437">
        <v>2240</v>
      </c>
      <c r="J485" s="438" t="s">
        <v>731</v>
      </c>
      <c r="K485" s="436">
        <v>1350</v>
      </c>
      <c r="L485" s="437">
        <v>2010</v>
      </c>
      <c r="M485" s="438" t="s">
        <v>287</v>
      </c>
      <c r="N485" s="446"/>
      <c r="O485" s="447"/>
      <c r="P485" s="441"/>
      <c r="Q485" s="441"/>
      <c r="R485" s="1279"/>
      <c r="S485" s="1282"/>
      <c r="T485" s="393" t="s">
        <v>293</v>
      </c>
      <c r="U485" s="442">
        <v>7600</v>
      </c>
      <c r="V485" s="443">
        <v>8400</v>
      </c>
      <c r="W485" s="441">
        <v>19880</v>
      </c>
      <c r="X485" s="444">
        <v>190</v>
      </c>
      <c r="Y485" s="448"/>
      <c r="Z485" s="1301"/>
      <c r="AA485" s="445"/>
      <c r="AB485" s="1287"/>
      <c r="AC485" s="1290"/>
      <c r="AD485" s="1271">
        <v>0.02</v>
      </c>
      <c r="AE485" s="1273">
        <v>0.03</v>
      </c>
      <c r="AF485" s="1273">
        <v>0.05</v>
      </c>
      <c r="AG485" s="1275">
        <v>0.06</v>
      </c>
      <c r="AH485" s="1277">
        <v>0.79</v>
      </c>
      <c r="AI485" s="88"/>
      <c r="AJ485" s="88"/>
      <c r="AK485" s="88"/>
      <c r="AL485" s="88"/>
      <c r="AM485" s="88"/>
      <c r="AN485" s="88"/>
      <c r="AO485" s="88"/>
      <c r="AP485" s="88"/>
      <c r="AQ485" s="88"/>
      <c r="AR485" s="88"/>
      <c r="AS485" s="88"/>
      <c r="AT485" s="88"/>
      <c r="AU485" s="88"/>
      <c r="AV485" s="88"/>
      <c r="AW485" s="88"/>
    </row>
    <row r="486" spans="1:87" s="89" customFormat="1" ht="13.5" customHeight="1">
      <c r="A486" s="431" t="s">
        <v>325</v>
      </c>
      <c r="B486" s="449" t="s">
        <v>286</v>
      </c>
      <c r="C486" s="450" t="s">
        <v>338</v>
      </c>
      <c r="D486" s="451">
        <v>235190</v>
      </c>
      <c r="E486" s="452"/>
      <c r="F486" s="451">
        <v>212530</v>
      </c>
      <c r="G486" s="452"/>
      <c r="H486" s="439">
        <v>2240</v>
      </c>
      <c r="I486" s="453"/>
      <c r="J486" s="454" t="s">
        <v>731</v>
      </c>
      <c r="K486" s="439">
        <v>2010</v>
      </c>
      <c r="L486" s="453"/>
      <c r="M486" s="454" t="s">
        <v>287</v>
      </c>
      <c r="N486" s="446"/>
      <c r="O486" s="455"/>
      <c r="P486" s="441"/>
      <c r="Q486" s="441"/>
      <c r="R486" s="1280"/>
      <c r="S486" s="1283"/>
      <c r="T486" s="456" t="s">
        <v>294</v>
      </c>
      <c r="U486" s="457">
        <v>6800</v>
      </c>
      <c r="V486" s="458">
        <v>7500</v>
      </c>
      <c r="W486" s="459">
        <v>19880</v>
      </c>
      <c r="X486" s="460">
        <v>190</v>
      </c>
      <c r="Y486" s="448"/>
      <c r="Z486" s="1301"/>
      <c r="AA486" s="445"/>
      <c r="AB486" s="1288"/>
      <c r="AC486" s="1291"/>
      <c r="AD486" s="1272"/>
      <c r="AE486" s="1274"/>
      <c r="AF486" s="1274"/>
      <c r="AG486" s="1276"/>
      <c r="AH486" s="1277"/>
      <c r="AI486" s="88"/>
      <c r="AJ486" s="88"/>
      <c r="AK486" s="88"/>
      <c r="AL486" s="88"/>
      <c r="AM486" s="88"/>
      <c r="AN486" s="88"/>
      <c r="AO486" s="88"/>
      <c r="AP486" s="88"/>
      <c r="AQ486" s="88"/>
      <c r="AR486" s="88"/>
      <c r="AS486" s="88"/>
      <c r="AT486" s="88"/>
      <c r="AU486" s="88"/>
      <c r="AV486" s="88"/>
      <c r="AW486" s="88"/>
    </row>
    <row r="487" spans="1:87" s="89" customFormat="1" ht="13.5" customHeight="1">
      <c r="A487" s="431" t="s">
        <v>325</v>
      </c>
      <c r="B487" s="416" t="s">
        <v>295</v>
      </c>
      <c r="C487" s="417" t="s">
        <v>334</v>
      </c>
      <c r="D487" s="418">
        <v>77830</v>
      </c>
      <c r="E487" s="419">
        <v>84450</v>
      </c>
      <c r="F487" s="418">
        <v>62730</v>
      </c>
      <c r="G487" s="419">
        <v>69350</v>
      </c>
      <c r="H487" s="420">
        <v>760</v>
      </c>
      <c r="I487" s="421">
        <v>820</v>
      </c>
      <c r="J487" s="422" t="s">
        <v>731</v>
      </c>
      <c r="K487" s="420">
        <v>600</v>
      </c>
      <c r="L487" s="421">
        <v>660</v>
      </c>
      <c r="M487" s="422" t="s">
        <v>287</v>
      </c>
      <c r="N487" s="423">
        <v>6620</v>
      </c>
      <c r="O487" s="424">
        <v>60</v>
      </c>
      <c r="P487" s="441"/>
      <c r="Q487" s="441"/>
      <c r="R487" s="1278">
        <v>5000</v>
      </c>
      <c r="S487" s="1281">
        <v>5500</v>
      </c>
      <c r="T487" s="426" t="s">
        <v>288</v>
      </c>
      <c r="U487" s="427">
        <v>10900</v>
      </c>
      <c r="V487" s="428">
        <v>12200</v>
      </c>
      <c r="W487" s="425">
        <v>13250</v>
      </c>
      <c r="X487" s="429">
        <v>130</v>
      </c>
      <c r="Y487" s="1284">
        <v>4500</v>
      </c>
      <c r="Z487" s="1301"/>
      <c r="AA487" s="445"/>
      <c r="AB487" s="1286">
        <v>15120</v>
      </c>
      <c r="AC487" s="1289">
        <v>150</v>
      </c>
      <c r="AD487" s="1292" t="s">
        <v>290</v>
      </c>
      <c r="AE487" s="1294" t="s">
        <v>290</v>
      </c>
      <c r="AF487" s="1294" t="s">
        <v>290</v>
      </c>
      <c r="AG487" s="1297" t="s">
        <v>290</v>
      </c>
      <c r="AH487" s="1269" t="s">
        <v>296</v>
      </c>
      <c r="AI487" s="88"/>
      <c r="AJ487" s="88"/>
      <c r="AK487" s="88"/>
      <c r="AL487" s="88"/>
      <c r="AM487" s="88"/>
      <c r="AN487" s="88"/>
      <c r="AO487" s="88"/>
      <c r="AP487" s="88"/>
      <c r="AQ487" s="88"/>
      <c r="AR487" s="88"/>
      <c r="AS487" s="88"/>
      <c r="AT487" s="88"/>
      <c r="AU487" s="88"/>
      <c r="AV487" s="88"/>
      <c r="AW487" s="88"/>
    </row>
    <row r="488" spans="1:87" s="89" customFormat="1" ht="13.5" customHeight="1">
      <c r="A488" s="431" t="s">
        <v>325</v>
      </c>
      <c r="B488" s="432" t="s">
        <v>297</v>
      </c>
      <c r="C488" s="433" t="s">
        <v>336</v>
      </c>
      <c r="D488" s="434">
        <v>84450</v>
      </c>
      <c r="E488" s="435">
        <v>138870</v>
      </c>
      <c r="F488" s="434">
        <v>69350</v>
      </c>
      <c r="G488" s="435">
        <v>123770</v>
      </c>
      <c r="H488" s="436">
        <v>820</v>
      </c>
      <c r="I488" s="437">
        <v>1280</v>
      </c>
      <c r="J488" s="438" t="s">
        <v>731</v>
      </c>
      <c r="K488" s="436">
        <v>660</v>
      </c>
      <c r="L488" s="437">
        <v>1130</v>
      </c>
      <c r="M488" s="438" t="s">
        <v>287</v>
      </c>
      <c r="N488" s="439">
        <v>6620</v>
      </c>
      <c r="O488" s="440">
        <v>60</v>
      </c>
      <c r="P488" s="441"/>
      <c r="Q488" s="441"/>
      <c r="R488" s="1279"/>
      <c r="S488" s="1282"/>
      <c r="T488" s="393" t="s">
        <v>292</v>
      </c>
      <c r="U488" s="442">
        <v>6000</v>
      </c>
      <c r="V488" s="443">
        <v>6700</v>
      </c>
      <c r="W488" s="441">
        <v>13250</v>
      </c>
      <c r="X488" s="444">
        <v>130</v>
      </c>
      <c r="Y488" s="1285"/>
      <c r="Z488" s="1301"/>
      <c r="AA488" s="445"/>
      <c r="AB488" s="1287"/>
      <c r="AC488" s="1290"/>
      <c r="AD488" s="1293"/>
      <c r="AE488" s="1295"/>
      <c r="AF488" s="1295"/>
      <c r="AG488" s="1298"/>
      <c r="AH488" s="1270"/>
      <c r="AI488" s="88"/>
      <c r="AJ488" s="88"/>
      <c r="AK488" s="88"/>
      <c r="AL488" s="88"/>
      <c r="AM488" s="88"/>
      <c r="AN488" s="88"/>
      <c r="AO488" s="88"/>
      <c r="AP488" s="88"/>
      <c r="AQ488" s="88"/>
      <c r="AR488" s="88"/>
      <c r="AS488" s="88"/>
      <c r="AT488" s="88"/>
      <c r="AU488" s="88"/>
      <c r="AV488" s="88"/>
      <c r="AW488" s="88"/>
    </row>
    <row r="489" spans="1:87" s="89" customFormat="1" ht="13.5" customHeight="1">
      <c r="A489" s="431" t="s">
        <v>325</v>
      </c>
      <c r="B489" s="432" t="s">
        <v>297</v>
      </c>
      <c r="C489" s="433" t="s">
        <v>337</v>
      </c>
      <c r="D489" s="434">
        <v>138870</v>
      </c>
      <c r="E489" s="435">
        <v>205130</v>
      </c>
      <c r="F489" s="434">
        <v>123770</v>
      </c>
      <c r="G489" s="435">
        <v>190030</v>
      </c>
      <c r="H489" s="436">
        <v>1280</v>
      </c>
      <c r="I489" s="437">
        <v>1940</v>
      </c>
      <c r="J489" s="438" t="s">
        <v>731</v>
      </c>
      <c r="K489" s="436">
        <v>1130</v>
      </c>
      <c r="L489" s="437">
        <v>1790</v>
      </c>
      <c r="M489" s="438" t="s">
        <v>287</v>
      </c>
      <c r="N489" s="446"/>
      <c r="O489" s="447"/>
      <c r="P489" s="461"/>
      <c r="Q489" s="461"/>
      <c r="R489" s="1279"/>
      <c r="S489" s="1282"/>
      <c r="T489" s="393" t="s">
        <v>293</v>
      </c>
      <c r="U489" s="442">
        <v>5200</v>
      </c>
      <c r="V489" s="443">
        <v>5800</v>
      </c>
      <c r="W489" s="441">
        <v>13250</v>
      </c>
      <c r="X489" s="444">
        <v>130</v>
      </c>
      <c r="Y489" s="448"/>
      <c r="Z489" s="1301"/>
      <c r="AA489" s="445"/>
      <c r="AB489" s="1287"/>
      <c r="AC489" s="1290"/>
      <c r="AD489" s="1271">
        <v>0.02</v>
      </c>
      <c r="AE489" s="1273">
        <v>0.03</v>
      </c>
      <c r="AF489" s="1273">
        <v>0.05</v>
      </c>
      <c r="AG489" s="1275">
        <v>0.06</v>
      </c>
      <c r="AH489" s="1277">
        <v>0.87</v>
      </c>
      <c r="AI489" s="88"/>
      <c r="AJ489" s="88"/>
      <c r="AK489" s="88"/>
      <c r="AL489" s="88"/>
      <c r="AM489" s="88"/>
      <c r="AN489" s="88"/>
      <c r="AO489" s="88"/>
      <c r="AP489" s="88"/>
      <c r="AQ489" s="88"/>
      <c r="AR489" s="88"/>
      <c r="AS489" s="88"/>
      <c r="AT489" s="88"/>
      <c r="AU489" s="88"/>
      <c r="AV489" s="88"/>
      <c r="AW489" s="88"/>
    </row>
    <row r="490" spans="1:87" s="89" customFormat="1" ht="13.5" customHeight="1">
      <c r="A490" s="431" t="s">
        <v>325</v>
      </c>
      <c r="B490" s="449" t="s">
        <v>297</v>
      </c>
      <c r="C490" s="450" t="s">
        <v>338</v>
      </c>
      <c r="D490" s="451">
        <v>205130</v>
      </c>
      <c r="E490" s="452"/>
      <c r="F490" s="451">
        <v>190030</v>
      </c>
      <c r="G490" s="452"/>
      <c r="H490" s="439">
        <v>1940</v>
      </c>
      <c r="I490" s="453"/>
      <c r="J490" s="454" t="s">
        <v>731</v>
      </c>
      <c r="K490" s="439">
        <v>1790</v>
      </c>
      <c r="L490" s="453"/>
      <c r="M490" s="454" t="s">
        <v>287</v>
      </c>
      <c r="N490" s="446"/>
      <c r="O490" s="455"/>
      <c r="P490" s="461"/>
      <c r="Q490" s="461"/>
      <c r="R490" s="1280"/>
      <c r="S490" s="1283"/>
      <c r="T490" s="456" t="s">
        <v>294</v>
      </c>
      <c r="U490" s="457">
        <v>4700</v>
      </c>
      <c r="V490" s="458">
        <v>5200</v>
      </c>
      <c r="W490" s="459">
        <v>13250</v>
      </c>
      <c r="X490" s="460">
        <v>130</v>
      </c>
      <c r="Y490" s="448"/>
      <c r="Z490" s="1301"/>
      <c r="AA490" s="445"/>
      <c r="AB490" s="1288"/>
      <c r="AC490" s="1291"/>
      <c r="AD490" s="1272"/>
      <c r="AE490" s="1274"/>
      <c r="AF490" s="1274"/>
      <c r="AG490" s="1276"/>
      <c r="AH490" s="1277"/>
      <c r="AI490" s="88"/>
      <c r="AJ490" s="88"/>
      <c r="AK490" s="88"/>
      <c r="AL490" s="88"/>
      <c r="AM490" s="88"/>
      <c r="AN490" s="88"/>
      <c r="AO490" s="88"/>
      <c r="AP490" s="88"/>
      <c r="AQ490" s="88"/>
      <c r="AR490" s="88"/>
      <c r="AS490" s="88"/>
      <c r="AT490" s="88"/>
      <c r="AU490" s="88"/>
      <c r="AV490" s="88"/>
      <c r="AW490" s="88"/>
    </row>
    <row r="491" spans="1:87" ht="13.5" customHeight="1">
      <c r="A491" s="431" t="s">
        <v>325</v>
      </c>
      <c r="B491" s="416" t="s">
        <v>298</v>
      </c>
      <c r="C491" s="417" t="s">
        <v>334</v>
      </c>
      <c r="D491" s="418">
        <v>62880</v>
      </c>
      <c r="E491" s="419">
        <v>69500</v>
      </c>
      <c r="F491" s="418">
        <v>51560</v>
      </c>
      <c r="G491" s="419">
        <v>58180</v>
      </c>
      <c r="H491" s="420">
        <v>610</v>
      </c>
      <c r="I491" s="421">
        <v>670</v>
      </c>
      <c r="J491" s="422" t="s">
        <v>731</v>
      </c>
      <c r="K491" s="420">
        <v>490</v>
      </c>
      <c r="L491" s="421">
        <v>550</v>
      </c>
      <c r="M491" s="422" t="s">
        <v>287</v>
      </c>
      <c r="N491" s="423">
        <v>6620</v>
      </c>
      <c r="O491" s="424">
        <v>60</v>
      </c>
      <c r="P491" s="461"/>
      <c r="Q491" s="461"/>
      <c r="R491" s="1278">
        <v>4400</v>
      </c>
      <c r="S491" s="1281">
        <v>4800</v>
      </c>
      <c r="T491" s="426" t="s">
        <v>288</v>
      </c>
      <c r="U491" s="427">
        <v>9800</v>
      </c>
      <c r="V491" s="428">
        <v>10900</v>
      </c>
      <c r="W491" s="425">
        <v>9940</v>
      </c>
      <c r="X491" s="429">
        <v>90</v>
      </c>
      <c r="Y491" s="1284">
        <v>4500</v>
      </c>
      <c r="Z491" s="1301"/>
      <c r="AA491" s="445"/>
      <c r="AB491" s="1286">
        <v>11340</v>
      </c>
      <c r="AC491" s="1289">
        <v>110</v>
      </c>
      <c r="AD491" s="1292" t="s">
        <v>290</v>
      </c>
      <c r="AE491" s="1294" t="s">
        <v>290</v>
      </c>
      <c r="AF491" s="1294" t="s">
        <v>290</v>
      </c>
      <c r="AG491" s="1297" t="s">
        <v>290</v>
      </c>
      <c r="AH491" s="1269" t="s">
        <v>296</v>
      </c>
      <c r="AY491" s="89"/>
      <c r="AZ491" s="89"/>
      <c r="BA491" s="89"/>
      <c r="BB491" s="89"/>
      <c r="BC491" s="89"/>
      <c r="BD491" s="89"/>
      <c r="BE491" s="89"/>
      <c r="BF491" s="89"/>
      <c r="BG491" s="89"/>
      <c r="BH491" s="89"/>
      <c r="BI491" s="89"/>
      <c r="BJ491" s="89"/>
      <c r="BK491" s="89"/>
      <c r="BL491" s="89"/>
      <c r="BM491" s="89"/>
      <c r="BN491" s="89"/>
      <c r="BO491" s="89"/>
      <c r="BP491" s="89"/>
      <c r="BQ491" s="89"/>
      <c r="BR491" s="89"/>
      <c r="BS491" s="89"/>
      <c r="BT491" s="89"/>
      <c r="BU491" s="89"/>
      <c r="BV491" s="89"/>
      <c r="BW491" s="89"/>
      <c r="BX491" s="89"/>
      <c r="BY491" s="89"/>
      <c r="BZ491" s="89"/>
      <c r="CA491" s="89"/>
      <c r="CB491" s="89"/>
      <c r="CC491" s="89"/>
      <c r="CD491" s="89"/>
      <c r="CE491" s="89"/>
      <c r="CF491" s="89"/>
      <c r="CG491" s="89"/>
      <c r="CH491" s="89"/>
      <c r="CI491" s="89"/>
    </row>
    <row r="492" spans="1:87" ht="13.5" customHeight="1">
      <c r="A492" s="431" t="s">
        <v>325</v>
      </c>
      <c r="B492" s="432" t="s">
        <v>299</v>
      </c>
      <c r="C492" s="433" t="s">
        <v>336</v>
      </c>
      <c r="D492" s="434">
        <v>69500</v>
      </c>
      <c r="E492" s="435">
        <v>123920</v>
      </c>
      <c r="F492" s="434">
        <v>58180</v>
      </c>
      <c r="G492" s="435">
        <v>112600</v>
      </c>
      <c r="H492" s="436">
        <v>670</v>
      </c>
      <c r="I492" s="437">
        <v>1130</v>
      </c>
      <c r="J492" s="438" t="s">
        <v>731</v>
      </c>
      <c r="K492" s="436">
        <v>550</v>
      </c>
      <c r="L492" s="437">
        <v>1020</v>
      </c>
      <c r="M492" s="438" t="s">
        <v>287</v>
      </c>
      <c r="N492" s="439">
        <v>6620</v>
      </c>
      <c r="O492" s="440">
        <v>60</v>
      </c>
      <c r="P492" s="461"/>
      <c r="Q492" s="461"/>
      <c r="R492" s="1279"/>
      <c r="S492" s="1282"/>
      <c r="T492" s="393" t="s">
        <v>292</v>
      </c>
      <c r="U492" s="442">
        <v>5400</v>
      </c>
      <c r="V492" s="443">
        <v>6000</v>
      </c>
      <c r="W492" s="441">
        <v>9940</v>
      </c>
      <c r="X492" s="444">
        <v>90</v>
      </c>
      <c r="Y492" s="1285"/>
      <c r="Z492" s="1301"/>
      <c r="AA492" s="445"/>
      <c r="AB492" s="1287"/>
      <c r="AC492" s="1290"/>
      <c r="AD492" s="1293"/>
      <c r="AE492" s="1295"/>
      <c r="AF492" s="1295"/>
      <c r="AG492" s="1298"/>
      <c r="AH492" s="1270"/>
    </row>
    <row r="493" spans="1:87" ht="13.5" customHeight="1">
      <c r="A493" s="431" t="s">
        <v>325</v>
      </c>
      <c r="B493" s="432" t="s">
        <v>299</v>
      </c>
      <c r="C493" s="433" t="s">
        <v>337</v>
      </c>
      <c r="D493" s="434">
        <v>123920</v>
      </c>
      <c r="E493" s="435">
        <v>190180</v>
      </c>
      <c r="F493" s="434">
        <v>112600</v>
      </c>
      <c r="G493" s="435">
        <v>178860</v>
      </c>
      <c r="H493" s="436">
        <v>1130</v>
      </c>
      <c r="I493" s="437">
        <v>1790</v>
      </c>
      <c r="J493" s="438" t="s">
        <v>731</v>
      </c>
      <c r="K493" s="436">
        <v>1020</v>
      </c>
      <c r="L493" s="437">
        <v>1680</v>
      </c>
      <c r="M493" s="438" t="s">
        <v>287</v>
      </c>
      <c r="N493" s="446"/>
      <c r="O493" s="447"/>
      <c r="P493" s="461"/>
      <c r="Q493" s="461"/>
      <c r="R493" s="1279"/>
      <c r="S493" s="1282"/>
      <c r="T493" s="393" t="s">
        <v>293</v>
      </c>
      <c r="U493" s="442">
        <v>4700</v>
      </c>
      <c r="V493" s="443">
        <v>5200</v>
      </c>
      <c r="W493" s="441">
        <v>9940</v>
      </c>
      <c r="X493" s="444">
        <v>90</v>
      </c>
      <c r="Y493" s="448"/>
      <c r="Z493" s="1301"/>
      <c r="AA493" s="445"/>
      <c r="AB493" s="1287"/>
      <c r="AC493" s="1290"/>
      <c r="AD493" s="1271">
        <v>0.02</v>
      </c>
      <c r="AE493" s="1273">
        <v>0.03</v>
      </c>
      <c r="AF493" s="1273">
        <v>0.05</v>
      </c>
      <c r="AG493" s="1275">
        <v>0.06</v>
      </c>
      <c r="AH493" s="1277">
        <v>0.96</v>
      </c>
    </row>
    <row r="494" spans="1:87" ht="13.5" customHeight="1">
      <c r="A494" s="431" t="s">
        <v>325</v>
      </c>
      <c r="B494" s="449" t="s">
        <v>299</v>
      </c>
      <c r="C494" s="450" t="s">
        <v>338</v>
      </c>
      <c r="D494" s="451">
        <v>190180</v>
      </c>
      <c r="E494" s="452"/>
      <c r="F494" s="451">
        <v>178860</v>
      </c>
      <c r="G494" s="452"/>
      <c r="H494" s="439">
        <v>1790</v>
      </c>
      <c r="I494" s="453"/>
      <c r="J494" s="454" t="s">
        <v>731</v>
      </c>
      <c r="K494" s="439">
        <v>1680</v>
      </c>
      <c r="L494" s="453"/>
      <c r="M494" s="454" t="s">
        <v>287</v>
      </c>
      <c r="N494" s="446"/>
      <c r="O494" s="455"/>
      <c r="P494" s="461"/>
      <c r="Q494" s="461"/>
      <c r="R494" s="1280"/>
      <c r="S494" s="1283"/>
      <c r="T494" s="456" t="s">
        <v>294</v>
      </c>
      <c r="U494" s="457">
        <v>4200</v>
      </c>
      <c r="V494" s="458">
        <v>4600</v>
      </c>
      <c r="W494" s="459">
        <v>9940</v>
      </c>
      <c r="X494" s="460">
        <v>90</v>
      </c>
      <c r="Y494" s="448"/>
      <c r="Z494" s="1301"/>
      <c r="AA494" s="445"/>
      <c r="AB494" s="1288"/>
      <c r="AC494" s="1291"/>
      <c r="AD494" s="1272"/>
      <c r="AE494" s="1274"/>
      <c r="AF494" s="1274"/>
      <c r="AG494" s="1276"/>
      <c r="AH494" s="1277"/>
    </row>
    <row r="495" spans="1:87" ht="13.5" customHeight="1">
      <c r="A495" s="431" t="s">
        <v>325</v>
      </c>
      <c r="B495" s="416" t="s">
        <v>300</v>
      </c>
      <c r="C495" s="417" t="s">
        <v>334</v>
      </c>
      <c r="D495" s="418">
        <v>58830</v>
      </c>
      <c r="E495" s="419">
        <v>65450</v>
      </c>
      <c r="F495" s="418">
        <v>49760</v>
      </c>
      <c r="G495" s="419">
        <v>56380</v>
      </c>
      <c r="H495" s="420">
        <v>570</v>
      </c>
      <c r="I495" s="421">
        <v>630</v>
      </c>
      <c r="J495" s="422" t="s">
        <v>731</v>
      </c>
      <c r="K495" s="420">
        <v>470</v>
      </c>
      <c r="L495" s="421">
        <v>530</v>
      </c>
      <c r="M495" s="422" t="s">
        <v>287</v>
      </c>
      <c r="N495" s="423">
        <v>6620</v>
      </c>
      <c r="O495" s="424">
        <v>60</v>
      </c>
      <c r="P495" s="1300"/>
      <c r="Q495" s="1300"/>
      <c r="R495" s="1278">
        <v>4000</v>
      </c>
      <c r="S495" s="1281">
        <v>4400</v>
      </c>
      <c r="T495" s="426" t="s">
        <v>288</v>
      </c>
      <c r="U495" s="427">
        <v>8800</v>
      </c>
      <c r="V495" s="428">
        <v>9800</v>
      </c>
      <c r="W495" s="425">
        <v>7950</v>
      </c>
      <c r="X495" s="429">
        <v>70</v>
      </c>
      <c r="Y495" s="1284">
        <v>4500</v>
      </c>
      <c r="Z495" s="1301"/>
      <c r="AA495" s="445"/>
      <c r="AB495" s="1286">
        <v>9070</v>
      </c>
      <c r="AC495" s="1289">
        <v>90</v>
      </c>
      <c r="AD495" s="1292" t="s">
        <v>290</v>
      </c>
      <c r="AE495" s="1294" t="s">
        <v>290</v>
      </c>
      <c r="AF495" s="1294" t="s">
        <v>290</v>
      </c>
      <c r="AG495" s="1297" t="s">
        <v>290</v>
      </c>
      <c r="AH495" s="1269" t="s">
        <v>296</v>
      </c>
    </row>
    <row r="496" spans="1:87" ht="13.5" customHeight="1">
      <c r="A496" s="431" t="s">
        <v>325</v>
      </c>
      <c r="B496" s="432" t="s">
        <v>301</v>
      </c>
      <c r="C496" s="433" t="s">
        <v>336</v>
      </c>
      <c r="D496" s="434">
        <v>65450</v>
      </c>
      <c r="E496" s="435">
        <v>119870</v>
      </c>
      <c r="F496" s="434">
        <v>56380</v>
      </c>
      <c r="G496" s="435">
        <v>110800</v>
      </c>
      <c r="H496" s="436">
        <v>630</v>
      </c>
      <c r="I496" s="437">
        <v>1090</v>
      </c>
      <c r="J496" s="438" t="s">
        <v>731</v>
      </c>
      <c r="K496" s="436">
        <v>530</v>
      </c>
      <c r="L496" s="437">
        <v>1000</v>
      </c>
      <c r="M496" s="438" t="s">
        <v>287</v>
      </c>
      <c r="N496" s="439">
        <v>6620</v>
      </c>
      <c r="O496" s="440">
        <v>60</v>
      </c>
      <c r="P496" s="1300"/>
      <c r="Q496" s="1300"/>
      <c r="R496" s="1279"/>
      <c r="S496" s="1282"/>
      <c r="T496" s="393" t="s">
        <v>292</v>
      </c>
      <c r="U496" s="442">
        <v>4800</v>
      </c>
      <c r="V496" s="443">
        <v>5400</v>
      </c>
      <c r="W496" s="441">
        <v>7950</v>
      </c>
      <c r="X496" s="444">
        <v>70</v>
      </c>
      <c r="Y496" s="1285"/>
      <c r="Z496" s="1301"/>
      <c r="AA496" s="445"/>
      <c r="AB496" s="1287"/>
      <c r="AC496" s="1290"/>
      <c r="AD496" s="1293"/>
      <c r="AE496" s="1295"/>
      <c r="AF496" s="1295"/>
      <c r="AG496" s="1298"/>
      <c r="AH496" s="1270"/>
    </row>
    <row r="497" spans="1:34" ht="13.5" customHeight="1">
      <c r="A497" s="431" t="s">
        <v>325</v>
      </c>
      <c r="B497" s="432" t="s">
        <v>301</v>
      </c>
      <c r="C497" s="433" t="s">
        <v>337</v>
      </c>
      <c r="D497" s="434">
        <v>119870</v>
      </c>
      <c r="E497" s="435">
        <v>186130</v>
      </c>
      <c r="F497" s="434">
        <v>110800</v>
      </c>
      <c r="G497" s="435">
        <v>177060</v>
      </c>
      <c r="H497" s="436">
        <v>1090</v>
      </c>
      <c r="I497" s="437">
        <v>1750</v>
      </c>
      <c r="J497" s="438" t="s">
        <v>731</v>
      </c>
      <c r="K497" s="436">
        <v>1000</v>
      </c>
      <c r="L497" s="437">
        <v>1660</v>
      </c>
      <c r="M497" s="438" t="s">
        <v>287</v>
      </c>
      <c r="N497" s="446"/>
      <c r="O497" s="447"/>
      <c r="P497" s="1300"/>
      <c r="Q497" s="1300"/>
      <c r="R497" s="1279"/>
      <c r="S497" s="1282"/>
      <c r="T497" s="393" t="s">
        <v>293</v>
      </c>
      <c r="U497" s="442">
        <v>4200</v>
      </c>
      <c r="V497" s="443">
        <v>4700</v>
      </c>
      <c r="W497" s="441">
        <v>7950</v>
      </c>
      <c r="X497" s="444">
        <v>70</v>
      </c>
      <c r="Y497" s="448"/>
      <c r="Z497" s="1301"/>
      <c r="AA497" s="445"/>
      <c r="AB497" s="1287"/>
      <c r="AC497" s="1290"/>
      <c r="AD497" s="1271">
        <v>0.02</v>
      </c>
      <c r="AE497" s="1273">
        <v>0.03</v>
      </c>
      <c r="AF497" s="1273">
        <v>0.05</v>
      </c>
      <c r="AG497" s="1275">
        <v>0.06</v>
      </c>
      <c r="AH497" s="1277">
        <v>0.92</v>
      </c>
    </row>
    <row r="498" spans="1:34" ht="13.5" customHeight="1">
      <c r="A498" s="431" t="s">
        <v>325</v>
      </c>
      <c r="B498" s="449" t="s">
        <v>301</v>
      </c>
      <c r="C498" s="450" t="s">
        <v>338</v>
      </c>
      <c r="D498" s="451">
        <v>186130</v>
      </c>
      <c r="E498" s="452"/>
      <c r="F498" s="451">
        <v>177060</v>
      </c>
      <c r="G498" s="452"/>
      <c r="H498" s="439">
        <v>1750</v>
      </c>
      <c r="I498" s="453"/>
      <c r="J498" s="454" t="s">
        <v>731</v>
      </c>
      <c r="K498" s="439">
        <v>1660</v>
      </c>
      <c r="L498" s="453"/>
      <c r="M498" s="454" t="s">
        <v>287</v>
      </c>
      <c r="N498" s="446"/>
      <c r="O498" s="455"/>
      <c r="P498" s="441"/>
      <c r="Q498" s="441"/>
      <c r="R498" s="1280"/>
      <c r="S498" s="1283"/>
      <c r="T498" s="456" t="s">
        <v>294</v>
      </c>
      <c r="U498" s="457">
        <v>3800</v>
      </c>
      <c r="V498" s="458">
        <v>4200</v>
      </c>
      <c r="W498" s="459">
        <v>7950</v>
      </c>
      <c r="X498" s="460">
        <v>70</v>
      </c>
      <c r="Y498" s="448"/>
      <c r="Z498" s="1301"/>
      <c r="AA498" s="445"/>
      <c r="AB498" s="1288"/>
      <c r="AC498" s="1291"/>
      <c r="AD498" s="1272"/>
      <c r="AE498" s="1274"/>
      <c r="AF498" s="1274"/>
      <c r="AG498" s="1276"/>
      <c r="AH498" s="1277"/>
    </row>
    <row r="499" spans="1:34" ht="13.5" customHeight="1">
      <c r="A499" s="431" t="s">
        <v>325</v>
      </c>
      <c r="B499" s="416" t="s">
        <v>303</v>
      </c>
      <c r="C499" s="417" t="s">
        <v>334</v>
      </c>
      <c r="D499" s="418">
        <v>51560</v>
      </c>
      <c r="E499" s="419">
        <v>58180</v>
      </c>
      <c r="F499" s="418">
        <v>44010</v>
      </c>
      <c r="G499" s="419">
        <v>50630</v>
      </c>
      <c r="H499" s="420">
        <v>490</v>
      </c>
      <c r="I499" s="421">
        <v>550</v>
      </c>
      <c r="J499" s="422" t="s">
        <v>731</v>
      </c>
      <c r="K499" s="420">
        <v>420</v>
      </c>
      <c r="L499" s="421">
        <v>480</v>
      </c>
      <c r="M499" s="422" t="s">
        <v>287</v>
      </c>
      <c r="N499" s="423">
        <v>6620</v>
      </c>
      <c r="O499" s="424">
        <v>60</v>
      </c>
      <c r="P499" s="441"/>
      <c r="Q499" s="441"/>
      <c r="R499" s="1278">
        <v>3300</v>
      </c>
      <c r="S499" s="1281">
        <v>3600</v>
      </c>
      <c r="T499" s="426" t="s">
        <v>288</v>
      </c>
      <c r="U499" s="427">
        <v>7200</v>
      </c>
      <c r="V499" s="428">
        <v>8100</v>
      </c>
      <c r="W499" s="425">
        <v>6620</v>
      </c>
      <c r="X499" s="429">
        <v>60</v>
      </c>
      <c r="Y499" s="1284">
        <v>4500</v>
      </c>
      <c r="Z499" s="1301"/>
      <c r="AA499" s="445"/>
      <c r="AB499" s="1286">
        <v>7560</v>
      </c>
      <c r="AC499" s="1289">
        <v>70</v>
      </c>
      <c r="AD499" s="1292" t="s">
        <v>290</v>
      </c>
      <c r="AE499" s="1294" t="s">
        <v>290</v>
      </c>
      <c r="AF499" s="1294" t="s">
        <v>290</v>
      </c>
      <c r="AG499" s="1297" t="s">
        <v>290</v>
      </c>
      <c r="AH499" s="1269" t="s">
        <v>296</v>
      </c>
    </row>
    <row r="500" spans="1:34" ht="13.5" customHeight="1">
      <c r="A500" s="431" t="s">
        <v>325</v>
      </c>
      <c r="B500" s="431" t="s">
        <v>303</v>
      </c>
      <c r="C500" s="433" t="s">
        <v>336</v>
      </c>
      <c r="D500" s="434">
        <v>58180</v>
      </c>
      <c r="E500" s="435">
        <v>112600</v>
      </c>
      <c r="F500" s="434">
        <v>50630</v>
      </c>
      <c r="G500" s="435">
        <v>105050</v>
      </c>
      <c r="H500" s="436">
        <v>550</v>
      </c>
      <c r="I500" s="437">
        <v>1020</v>
      </c>
      <c r="J500" s="438" t="s">
        <v>731</v>
      </c>
      <c r="K500" s="436">
        <v>480</v>
      </c>
      <c r="L500" s="437">
        <v>940</v>
      </c>
      <c r="M500" s="438" t="s">
        <v>287</v>
      </c>
      <c r="N500" s="439">
        <v>6620</v>
      </c>
      <c r="O500" s="440">
        <v>60</v>
      </c>
      <c r="P500" s="462"/>
      <c r="Q500" s="462"/>
      <c r="R500" s="1279"/>
      <c r="S500" s="1282"/>
      <c r="T500" s="393" t="s">
        <v>292</v>
      </c>
      <c r="U500" s="442">
        <v>4000</v>
      </c>
      <c r="V500" s="443">
        <v>4400</v>
      </c>
      <c r="W500" s="441">
        <v>6620</v>
      </c>
      <c r="X500" s="444">
        <v>60</v>
      </c>
      <c r="Y500" s="1285"/>
      <c r="Z500" s="1301"/>
      <c r="AA500" s="445"/>
      <c r="AB500" s="1287"/>
      <c r="AC500" s="1290"/>
      <c r="AD500" s="1293"/>
      <c r="AE500" s="1295"/>
      <c r="AF500" s="1295"/>
      <c r="AG500" s="1298"/>
      <c r="AH500" s="1270"/>
    </row>
    <row r="501" spans="1:34" ht="13.5" customHeight="1">
      <c r="A501" s="431" t="s">
        <v>325</v>
      </c>
      <c r="B501" s="431" t="s">
        <v>303</v>
      </c>
      <c r="C501" s="433" t="s">
        <v>337</v>
      </c>
      <c r="D501" s="434">
        <v>112600</v>
      </c>
      <c r="E501" s="435">
        <v>178860</v>
      </c>
      <c r="F501" s="434">
        <v>105050</v>
      </c>
      <c r="G501" s="435">
        <v>171310</v>
      </c>
      <c r="H501" s="436">
        <v>1020</v>
      </c>
      <c r="I501" s="437">
        <v>1680</v>
      </c>
      <c r="J501" s="438" t="s">
        <v>731</v>
      </c>
      <c r="K501" s="436">
        <v>940</v>
      </c>
      <c r="L501" s="437">
        <v>1600</v>
      </c>
      <c r="M501" s="438" t="s">
        <v>287</v>
      </c>
      <c r="N501" s="446"/>
      <c r="O501" s="447"/>
      <c r="P501" s="441"/>
      <c r="Q501" s="441"/>
      <c r="R501" s="1279"/>
      <c r="S501" s="1282"/>
      <c r="T501" s="393" t="s">
        <v>293</v>
      </c>
      <c r="U501" s="442">
        <v>3500</v>
      </c>
      <c r="V501" s="443">
        <v>3800</v>
      </c>
      <c r="W501" s="441">
        <v>6620</v>
      </c>
      <c r="X501" s="444">
        <v>60</v>
      </c>
      <c r="Y501" s="448"/>
      <c r="Z501" s="1301"/>
      <c r="AA501" s="445"/>
      <c r="AB501" s="1287"/>
      <c r="AC501" s="1290"/>
      <c r="AD501" s="1271">
        <v>0.02</v>
      </c>
      <c r="AE501" s="1273">
        <v>0.03</v>
      </c>
      <c r="AF501" s="1273">
        <v>0.05</v>
      </c>
      <c r="AG501" s="1275">
        <v>0.06</v>
      </c>
      <c r="AH501" s="1277">
        <v>0.9</v>
      </c>
    </row>
    <row r="502" spans="1:34" ht="13.5" customHeight="1">
      <c r="A502" s="431" t="s">
        <v>325</v>
      </c>
      <c r="B502" s="463" t="s">
        <v>303</v>
      </c>
      <c r="C502" s="450" t="s">
        <v>338</v>
      </c>
      <c r="D502" s="451">
        <v>178860</v>
      </c>
      <c r="E502" s="452"/>
      <c r="F502" s="451">
        <v>171310</v>
      </c>
      <c r="G502" s="452"/>
      <c r="H502" s="439">
        <v>1680</v>
      </c>
      <c r="I502" s="453"/>
      <c r="J502" s="454" t="s">
        <v>731</v>
      </c>
      <c r="K502" s="439">
        <v>1600</v>
      </c>
      <c r="L502" s="453"/>
      <c r="M502" s="454" t="s">
        <v>287</v>
      </c>
      <c r="N502" s="446"/>
      <c r="O502" s="455"/>
      <c r="P502" s="441"/>
      <c r="Q502" s="441"/>
      <c r="R502" s="1280"/>
      <c r="S502" s="1283"/>
      <c r="T502" s="456" t="s">
        <v>294</v>
      </c>
      <c r="U502" s="457">
        <v>3100</v>
      </c>
      <c r="V502" s="458">
        <v>3400</v>
      </c>
      <c r="W502" s="459">
        <v>6620</v>
      </c>
      <c r="X502" s="460">
        <v>60</v>
      </c>
      <c r="Y502" s="448"/>
      <c r="Z502" s="1301"/>
      <c r="AA502" s="445"/>
      <c r="AB502" s="1288"/>
      <c r="AC502" s="1291"/>
      <c r="AD502" s="1272"/>
      <c r="AE502" s="1274"/>
      <c r="AF502" s="1274"/>
      <c r="AG502" s="1276"/>
      <c r="AH502" s="1277"/>
    </row>
    <row r="503" spans="1:34" ht="13.5" customHeight="1">
      <c r="A503" s="431" t="s">
        <v>325</v>
      </c>
      <c r="B503" s="416" t="s">
        <v>304</v>
      </c>
      <c r="C503" s="417" t="s">
        <v>334</v>
      </c>
      <c r="D503" s="418">
        <v>46450</v>
      </c>
      <c r="E503" s="419">
        <v>53070</v>
      </c>
      <c r="F503" s="418">
        <v>39980</v>
      </c>
      <c r="G503" s="419">
        <v>46600</v>
      </c>
      <c r="H503" s="420">
        <v>440</v>
      </c>
      <c r="I503" s="421">
        <v>500</v>
      </c>
      <c r="J503" s="422" t="s">
        <v>731</v>
      </c>
      <c r="K503" s="420">
        <v>380</v>
      </c>
      <c r="L503" s="421">
        <v>440</v>
      </c>
      <c r="M503" s="422" t="s">
        <v>287</v>
      </c>
      <c r="N503" s="423">
        <v>6620</v>
      </c>
      <c r="O503" s="424">
        <v>60</v>
      </c>
      <c r="P503" s="462"/>
      <c r="Q503" s="462"/>
      <c r="R503" s="1278">
        <v>2800</v>
      </c>
      <c r="S503" s="1281">
        <v>3100</v>
      </c>
      <c r="T503" s="426" t="s">
        <v>288</v>
      </c>
      <c r="U503" s="427">
        <v>6300</v>
      </c>
      <c r="V503" s="428">
        <v>7100</v>
      </c>
      <c r="W503" s="425">
        <v>5680</v>
      </c>
      <c r="X503" s="429">
        <v>50</v>
      </c>
      <c r="Y503" s="1284">
        <v>4500</v>
      </c>
      <c r="Z503" s="1301"/>
      <c r="AA503" s="445"/>
      <c r="AB503" s="1286">
        <v>6480</v>
      </c>
      <c r="AC503" s="1289">
        <v>60</v>
      </c>
      <c r="AD503" s="1292" t="s">
        <v>290</v>
      </c>
      <c r="AE503" s="1294" t="s">
        <v>290</v>
      </c>
      <c r="AF503" s="1294" t="s">
        <v>290</v>
      </c>
      <c r="AG503" s="1297" t="s">
        <v>290</v>
      </c>
      <c r="AH503" s="1269" t="s">
        <v>296</v>
      </c>
    </row>
    <row r="504" spans="1:34" ht="13.5" customHeight="1">
      <c r="A504" s="431" t="s">
        <v>325</v>
      </c>
      <c r="B504" s="432" t="s">
        <v>304</v>
      </c>
      <c r="C504" s="433" t="s">
        <v>336</v>
      </c>
      <c r="D504" s="434">
        <v>53070</v>
      </c>
      <c r="E504" s="435">
        <v>107490</v>
      </c>
      <c r="F504" s="434">
        <v>46600</v>
      </c>
      <c r="G504" s="435">
        <v>101020</v>
      </c>
      <c r="H504" s="436">
        <v>500</v>
      </c>
      <c r="I504" s="437">
        <v>960</v>
      </c>
      <c r="J504" s="438" t="s">
        <v>731</v>
      </c>
      <c r="K504" s="436">
        <v>440</v>
      </c>
      <c r="L504" s="437">
        <v>900</v>
      </c>
      <c r="M504" s="438" t="s">
        <v>287</v>
      </c>
      <c r="N504" s="439">
        <v>6620</v>
      </c>
      <c r="O504" s="440">
        <v>60</v>
      </c>
      <c r="P504" s="441"/>
      <c r="Q504" s="441"/>
      <c r="R504" s="1279"/>
      <c r="S504" s="1282"/>
      <c r="T504" s="393" t="s">
        <v>292</v>
      </c>
      <c r="U504" s="442">
        <v>3500</v>
      </c>
      <c r="V504" s="443">
        <v>3900</v>
      </c>
      <c r="W504" s="441">
        <v>5680</v>
      </c>
      <c r="X504" s="444">
        <v>50</v>
      </c>
      <c r="Y504" s="1285"/>
      <c r="Z504" s="1301"/>
      <c r="AA504" s="445"/>
      <c r="AB504" s="1287"/>
      <c r="AC504" s="1290"/>
      <c r="AD504" s="1293"/>
      <c r="AE504" s="1295"/>
      <c r="AF504" s="1295"/>
      <c r="AG504" s="1298"/>
      <c r="AH504" s="1270"/>
    </row>
    <row r="505" spans="1:34" ht="13.5" customHeight="1">
      <c r="A505" s="431" t="s">
        <v>325</v>
      </c>
      <c r="B505" s="432" t="s">
        <v>304</v>
      </c>
      <c r="C505" s="433" t="s">
        <v>337</v>
      </c>
      <c r="D505" s="434">
        <v>107490</v>
      </c>
      <c r="E505" s="435">
        <v>173750</v>
      </c>
      <c r="F505" s="434">
        <v>101020</v>
      </c>
      <c r="G505" s="435">
        <v>167280</v>
      </c>
      <c r="H505" s="436">
        <v>960</v>
      </c>
      <c r="I505" s="437">
        <v>1620</v>
      </c>
      <c r="J505" s="438" t="s">
        <v>731</v>
      </c>
      <c r="K505" s="436">
        <v>900</v>
      </c>
      <c r="L505" s="437">
        <v>1560</v>
      </c>
      <c r="M505" s="438" t="s">
        <v>287</v>
      </c>
      <c r="N505" s="446"/>
      <c r="O505" s="447"/>
      <c r="P505" s="441"/>
      <c r="Q505" s="441"/>
      <c r="R505" s="1279"/>
      <c r="S505" s="1282"/>
      <c r="T505" s="393" t="s">
        <v>293</v>
      </c>
      <c r="U505" s="442">
        <v>3000</v>
      </c>
      <c r="V505" s="443">
        <v>3400</v>
      </c>
      <c r="W505" s="441">
        <v>5680</v>
      </c>
      <c r="X505" s="444">
        <v>50</v>
      </c>
      <c r="Y505" s="448"/>
      <c r="Z505" s="1301"/>
      <c r="AA505" s="445"/>
      <c r="AB505" s="1287"/>
      <c r="AC505" s="1290"/>
      <c r="AD505" s="1271">
        <v>0.02</v>
      </c>
      <c r="AE505" s="1273">
        <v>0.03</v>
      </c>
      <c r="AF505" s="1273">
        <v>0.05</v>
      </c>
      <c r="AG505" s="1275">
        <v>7.0000000000000007E-2</v>
      </c>
      <c r="AH505" s="1277">
        <v>0.92</v>
      </c>
    </row>
    <row r="506" spans="1:34" ht="13.5" customHeight="1">
      <c r="A506" s="431" t="s">
        <v>325</v>
      </c>
      <c r="B506" s="449" t="s">
        <v>304</v>
      </c>
      <c r="C506" s="450" t="s">
        <v>338</v>
      </c>
      <c r="D506" s="451">
        <v>173750</v>
      </c>
      <c r="E506" s="452"/>
      <c r="F506" s="451">
        <v>167280</v>
      </c>
      <c r="G506" s="452"/>
      <c r="H506" s="439">
        <v>1620</v>
      </c>
      <c r="I506" s="453"/>
      <c r="J506" s="454" t="s">
        <v>731</v>
      </c>
      <c r="K506" s="439">
        <v>1560</v>
      </c>
      <c r="L506" s="453"/>
      <c r="M506" s="454" t="s">
        <v>287</v>
      </c>
      <c r="N506" s="446"/>
      <c r="O506" s="455"/>
      <c r="P506" s="462"/>
      <c r="Q506" s="462"/>
      <c r="R506" s="1280"/>
      <c r="S506" s="1283"/>
      <c r="T506" s="456" t="s">
        <v>294</v>
      </c>
      <c r="U506" s="457">
        <v>2700</v>
      </c>
      <c r="V506" s="458">
        <v>3000</v>
      </c>
      <c r="W506" s="459">
        <v>5680</v>
      </c>
      <c r="X506" s="460">
        <v>50</v>
      </c>
      <c r="Y506" s="448"/>
      <c r="Z506" s="1301"/>
      <c r="AA506" s="445"/>
      <c r="AB506" s="1288"/>
      <c r="AC506" s="1291"/>
      <c r="AD506" s="1272"/>
      <c r="AE506" s="1274"/>
      <c r="AF506" s="1274"/>
      <c r="AG506" s="1276"/>
      <c r="AH506" s="1277"/>
    </row>
    <row r="507" spans="1:34" ht="13.5" customHeight="1">
      <c r="A507" s="431" t="s">
        <v>325</v>
      </c>
      <c r="B507" s="416" t="s">
        <v>305</v>
      </c>
      <c r="C507" s="417" t="s">
        <v>334</v>
      </c>
      <c r="D507" s="418">
        <v>42670</v>
      </c>
      <c r="E507" s="419">
        <v>49290</v>
      </c>
      <c r="F507" s="418">
        <v>37000</v>
      </c>
      <c r="G507" s="419">
        <v>43620</v>
      </c>
      <c r="H507" s="420">
        <v>400</v>
      </c>
      <c r="I507" s="421">
        <v>460</v>
      </c>
      <c r="J507" s="422" t="s">
        <v>731</v>
      </c>
      <c r="K507" s="420">
        <v>350</v>
      </c>
      <c r="L507" s="421">
        <v>410</v>
      </c>
      <c r="M507" s="422" t="s">
        <v>287</v>
      </c>
      <c r="N507" s="423">
        <v>6620</v>
      </c>
      <c r="O507" s="424">
        <v>60</v>
      </c>
      <c r="P507" s="441"/>
      <c r="Q507" s="441"/>
      <c r="R507" s="1278">
        <v>3200</v>
      </c>
      <c r="S507" s="1281">
        <v>3600</v>
      </c>
      <c r="T507" s="426" t="s">
        <v>288</v>
      </c>
      <c r="U507" s="427">
        <v>7100</v>
      </c>
      <c r="V507" s="428">
        <v>7900</v>
      </c>
      <c r="W507" s="425">
        <v>4970</v>
      </c>
      <c r="X507" s="429">
        <v>40</v>
      </c>
      <c r="Y507" s="1284">
        <v>4500</v>
      </c>
      <c r="Z507" s="1301"/>
      <c r="AA507" s="445"/>
      <c r="AB507" s="1286">
        <v>5670</v>
      </c>
      <c r="AC507" s="1289">
        <v>50</v>
      </c>
      <c r="AD507" s="1292" t="s">
        <v>290</v>
      </c>
      <c r="AE507" s="1294" t="s">
        <v>290</v>
      </c>
      <c r="AF507" s="1294" t="s">
        <v>290</v>
      </c>
      <c r="AG507" s="1297" t="s">
        <v>290</v>
      </c>
      <c r="AH507" s="1269" t="s">
        <v>296</v>
      </c>
    </row>
    <row r="508" spans="1:34" ht="13.5" customHeight="1">
      <c r="A508" s="431" t="s">
        <v>325</v>
      </c>
      <c r="B508" s="432" t="s">
        <v>305</v>
      </c>
      <c r="C508" s="433" t="s">
        <v>336</v>
      </c>
      <c r="D508" s="434">
        <v>49290</v>
      </c>
      <c r="E508" s="435">
        <v>103710</v>
      </c>
      <c r="F508" s="434">
        <v>43620</v>
      </c>
      <c r="G508" s="435">
        <v>98040</v>
      </c>
      <c r="H508" s="436">
        <v>460</v>
      </c>
      <c r="I508" s="437">
        <v>930</v>
      </c>
      <c r="J508" s="438" t="s">
        <v>731</v>
      </c>
      <c r="K508" s="436">
        <v>410</v>
      </c>
      <c r="L508" s="437">
        <v>870</v>
      </c>
      <c r="M508" s="438" t="s">
        <v>287</v>
      </c>
      <c r="N508" s="439">
        <v>6620</v>
      </c>
      <c r="O508" s="440">
        <v>60</v>
      </c>
      <c r="P508" s="441"/>
      <c r="Q508" s="441"/>
      <c r="R508" s="1279"/>
      <c r="S508" s="1282"/>
      <c r="T508" s="393" t="s">
        <v>292</v>
      </c>
      <c r="U508" s="442">
        <v>3900</v>
      </c>
      <c r="V508" s="443">
        <v>4300</v>
      </c>
      <c r="W508" s="441">
        <v>4970</v>
      </c>
      <c r="X508" s="444">
        <v>40</v>
      </c>
      <c r="Y508" s="1285"/>
      <c r="Z508" s="1301"/>
      <c r="AA508" s="445"/>
      <c r="AB508" s="1287"/>
      <c r="AC508" s="1290"/>
      <c r="AD508" s="1293"/>
      <c r="AE508" s="1295"/>
      <c r="AF508" s="1295"/>
      <c r="AG508" s="1298"/>
      <c r="AH508" s="1270"/>
    </row>
    <row r="509" spans="1:34" ht="13.5" customHeight="1">
      <c r="A509" s="431" t="s">
        <v>325</v>
      </c>
      <c r="B509" s="432" t="s">
        <v>305</v>
      </c>
      <c r="C509" s="433" t="s">
        <v>337</v>
      </c>
      <c r="D509" s="434">
        <v>103710</v>
      </c>
      <c r="E509" s="435">
        <v>169970</v>
      </c>
      <c r="F509" s="434">
        <v>98040</v>
      </c>
      <c r="G509" s="435">
        <v>164300</v>
      </c>
      <c r="H509" s="436">
        <v>930</v>
      </c>
      <c r="I509" s="437">
        <v>1590</v>
      </c>
      <c r="J509" s="438" t="s">
        <v>731</v>
      </c>
      <c r="K509" s="436">
        <v>870</v>
      </c>
      <c r="L509" s="437">
        <v>1530</v>
      </c>
      <c r="M509" s="438" t="s">
        <v>287</v>
      </c>
      <c r="N509" s="446"/>
      <c r="O509" s="447"/>
      <c r="P509" s="462"/>
      <c r="Q509" s="462"/>
      <c r="R509" s="1279"/>
      <c r="S509" s="1282"/>
      <c r="T509" s="393" t="s">
        <v>293</v>
      </c>
      <c r="U509" s="442">
        <v>3400</v>
      </c>
      <c r="V509" s="443">
        <v>3800</v>
      </c>
      <c r="W509" s="441">
        <v>4970</v>
      </c>
      <c r="X509" s="444">
        <v>40</v>
      </c>
      <c r="Y509" s="448"/>
      <c r="Z509" s="1301"/>
      <c r="AA509" s="462"/>
      <c r="AB509" s="1287"/>
      <c r="AC509" s="1290"/>
      <c r="AD509" s="1271">
        <v>0.02</v>
      </c>
      <c r="AE509" s="1273">
        <v>0.03</v>
      </c>
      <c r="AF509" s="1273">
        <v>0.05</v>
      </c>
      <c r="AG509" s="1275">
        <v>7.0000000000000007E-2</v>
      </c>
      <c r="AH509" s="1277">
        <v>0.89</v>
      </c>
    </row>
    <row r="510" spans="1:34" ht="13.5" customHeight="1">
      <c r="A510" s="431" t="s">
        <v>325</v>
      </c>
      <c r="B510" s="449" t="s">
        <v>305</v>
      </c>
      <c r="C510" s="450" t="s">
        <v>338</v>
      </c>
      <c r="D510" s="451">
        <v>169970</v>
      </c>
      <c r="E510" s="452"/>
      <c r="F510" s="451">
        <v>164300</v>
      </c>
      <c r="G510" s="452"/>
      <c r="H510" s="439">
        <v>1590</v>
      </c>
      <c r="I510" s="453"/>
      <c r="J510" s="454" t="s">
        <v>731</v>
      </c>
      <c r="K510" s="439">
        <v>1530</v>
      </c>
      <c r="L510" s="453"/>
      <c r="M510" s="454" t="s">
        <v>287</v>
      </c>
      <c r="N510" s="446"/>
      <c r="O510" s="455"/>
      <c r="P510" s="441"/>
      <c r="Q510" s="441"/>
      <c r="R510" s="1280"/>
      <c r="S510" s="1283"/>
      <c r="T510" s="456" t="s">
        <v>294</v>
      </c>
      <c r="U510" s="457">
        <v>3000</v>
      </c>
      <c r="V510" s="458">
        <v>3400</v>
      </c>
      <c r="W510" s="459">
        <v>4970</v>
      </c>
      <c r="X510" s="460">
        <v>40</v>
      </c>
      <c r="Y510" s="448"/>
      <c r="Z510" s="1301"/>
      <c r="AA510" s="462"/>
      <c r="AB510" s="1288"/>
      <c r="AC510" s="1291"/>
      <c r="AD510" s="1272"/>
      <c r="AE510" s="1274"/>
      <c r="AF510" s="1274"/>
      <c r="AG510" s="1276"/>
      <c r="AH510" s="1277"/>
    </row>
    <row r="511" spans="1:34" ht="13.5" customHeight="1">
      <c r="A511" s="431" t="s">
        <v>325</v>
      </c>
      <c r="B511" s="416" t="s">
        <v>306</v>
      </c>
      <c r="C511" s="417" t="s">
        <v>334</v>
      </c>
      <c r="D511" s="418">
        <v>39680</v>
      </c>
      <c r="E511" s="419">
        <v>46300</v>
      </c>
      <c r="F511" s="418">
        <v>34650</v>
      </c>
      <c r="G511" s="419">
        <v>41270</v>
      </c>
      <c r="H511" s="420">
        <v>370</v>
      </c>
      <c r="I511" s="421">
        <v>430</v>
      </c>
      <c r="J511" s="422" t="s">
        <v>731</v>
      </c>
      <c r="K511" s="420">
        <v>320</v>
      </c>
      <c r="L511" s="421">
        <v>380</v>
      </c>
      <c r="M511" s="422" t="s">
        <v>287</v>
      </c>
      <c r="N511" s="423">
        <v>6620</v>
      </c>
      <c r="O511" s="424">
        <v>60</v>
      </c>
      <c r="P511" s="441"/>
      <c r="Q511" s="441"/>
      <c r="R511" s="1278">
        <v>2900</v>
      </c>
      <c r="S511" s="1281">
        <v>3200</v>
      </c>
      <c r="T511" s="426" t="s">
        <v>288</v>
      </c>
      <c r="U511" s="427">
        <v>6300</v>
      </c>
      <c r="V511" s="428">
        <v>7100</v>
      </c>
      <c r="W511" s="425">
        <v>4410</v>
      </c>
      <c r="X511" s="429">
        <v>40</v>
      </c>
      <c r="Y511" s="1284">
        <v>4500</v>
      </c>
      <c r="Z511" s="1301"/>
      <c r="AA511" s="462"/>
      <c r="AB511" s="1286">
        <v>5040</v>
      </c>
      <c r="AC511" s="1289">
        <v>50</v>
      </c>
      <c r="AD511" s="1292" t="s">
        <v>290</v>
      </c>
      <c r="AE511" s="1294" t="s">
        <v>290</v>
      </c>
      <c r="AF511" s="1294" t="s">
        <v>290</v>
      </c>
      <c r="AG511" s="1297" t="s">
        <v>290</v>
      </c>
      <c r="AH511" s="1269" t="s">
        <v>296</v>
      </c>
    </row>
    <row r="512" spans="1:34" ht="13.5" customHeight="1">
      <c r="A512" s="431" t="s">
        <v>325</v>
      </c>
      <c r="B512" s="432" t="s">
        <v>306</v>
      </c>
      <c r="C512" s="433" t="s">
        <v>336</v>
      </c>
      <c r="D512" s="434">
        <v>46300</v>
      </c>
      <c r="E512" s="435">
        <v>100720</v>
      </c>
      <c r="F512" s="434">
        <v>41270</v>
      </c>
      <c r="G512" s="435">
        <v>95690</v>
      </c>
      <c r="H512" s="436">
        <v>430</v>
      </c>
      <c r="I512" s="437">
        <v>900</v>
      </c>
      <c r="J512" s="438" t="s">
        <v>731</v>
      </c>
      <c r="K512" s="436">
        <v>380</v>
      </c>
      <c r="L512" s="437">
        <v>850</v>
      </c>
      <c r="M512" s="438" t="s">
        <v>287</v>
      </c>
      <c r="N512" s="439">
        <v>6620</v>
      </c>
      <c r="O512" s="440">
        <v>60</v>
      </c>
      <c r="P512" s="462"/>
      <c r="Q512" s="462"/>
      <c r="R512" s="1279"/>
      <c r="S512" s="1282"/>
      <c r="T512" s="393" t="s">
        <v>292</v>
      </c>
      <c r="U512" s="442">
        <v>3500</v>
      </c>
      <c r="V512" s="443">
        <v>3900</v>
      </c>
      <c r="W512" s="441">
        <v>4410</v>
      </c>
      <c r="X512" s="444">
        <v>40</v>
      </c>
      <c r="Y512" s="1285"/>
      <c r="Z512" s="1301"/>
      <c r="AA512" s="462"/>
      <c r="AB512" s="1287"/>
      <c r="AC512" s="1290"/>
      <c r="AD512" s="1293"/>
      <c r="AE512" s="1295"/>
      <c r="AF512" s="1295"/>
      <c r="AG512" s="1298"/>
      <c r="AH512" s="1270"/>
    </row>
    <row r="513" spans="1:34" ht="13.5" customHeight="1">
      <c r="A513" s="431" t="s">
        <v>325</v>
      </c>
      <c r="B513" s="432" t="s">
        <v>306</v>
      </c>
      <c r="C513" s="433" t="s">
        <v>337</v>
      </c>
      <c r="D513" s="434">
        <v>100720</v>
      </c>
      <c r="E513" s="435">
        <v>166980</v>
      </c>
      <c r="F513" s="434">
        <v>95690</v>
      </c>
      <c r="G513" s="435">
        <v>161950</v>
      </c>
      <c r="H513" s="436">
        <v>900</v>
      </c>
      <c r="I513" s="437">
        <v>1560</v>
      </c>
      <c r="J513" s="438" t="s">
        <v>731</v>
      </c>
      <c r="K513" s="436">
        <v>850</v>
      </c>
      <c r="L513" s="437">
        <v>1510</v>
      </c>
      <c r="M513" s="438" t="s">
        <v>287</v>
      </c>
      <c r="N513" s="446"/>
      <c r="O513" s="447"/>
      <c r="P513" s="441"/>
      <c r="Q513" s="441"/>
      <c r="R513" s="1279"/>
      <c r="S513" s="1282"/>
      <c r="T513" s="393" t="s">
        <v>293</v>
      </c>
      <c r="U513" s="442">
        <v>3000</v>
      </c>
      <c r="V513" s="443">
        <v>3400</v>
      </c>
      <c r="W513" s="441">
        <v>4410</v>
      </c>
      <c r="X513" s="444">
        <v>40</v>
      </c>
      <c r="Y513" s="448"/>
      <c r="Z513" s="1301"/>
      <c r="AA513" s="464"/>
      <c r="AB513" s="1287"/>
      <c r="AC513" s="1290"/>
      <c r="AD513" s="1271">
        <v>0.02</v>
      </c>
      <c r="AE513" s="1273">
        <v>0.03</v>
      </c>
      <c r="AF513" s="1273">
        <v>0.05</v>
      </c>
      <c r="AG513" s="1275">
        <v>0.06</v>
      </c>
      <c r="AH513" s="1277">
        <v>0.91</v>
      </c>
    </row>
    <row r="514" spans="1:34" ht="13.5" customHeight="1">
      <c r="A514" s="431" t="s">
        <v>325</v>
      </c>
      <c r="B514" s="449" t="s">
        <v>306</v>
      </c>
      <c r="C514" s="450" t="s">
        <v>338</v>
      </c>
      <c r="D514" s="451">
        <v>166980</v>
      </c>
      <c r="E514" s="452"/>
      <c r="F514" s="451">
        <v>161950</v>
      </c>
      <c r="G514" s="452"/>
      <c r="H514" s="439">
        <v>1560</v>
      </c>
      <c r="I514" s="453"/>
      <c r="J514" s="454" t="s">
        <v>731</v>
      </c>
      <c r="K514" s="439">
        <v>1510</v>
      </c>
      <c r="L514" s="453"/>
      <c r="M514" s="454" t="s">
        <v>287</v>
      </c>
      <c r="N514" s="446"/>
      <c r="O514" s="455"/>
      <c r="P514" s="441"/>
      <c r="Q514" s="441"/>
      <c r="R514" s="1280"/>
      <c r="S514" s="1283"/>
      <c r="T514" s="456" t="s">
        <v>294</v>
      </c>
      <c r="U514" s="457">
        <v>2700</v>
      </c>
      <c r="V514" s="458">
        <v>3000</v>
      </c>
      <c r="W514" s="459">
        <v>4410</v>
      </c>
      <c r="X514" s="460">
        <v>40</v>
      </c>
      <c r="Y514" s="448"/>
      <c r="Z514" s="1301"/>
      <c r="AA514" s="464"/>
      <c r="AB514" s="1288"/>
      <c r="AC514" s="1291"/>
      <c r="AD514" s="1272"/>
      <c r="AE514" s="1274"/>
      <c r="AF514" s="1274"/>
      <c r="AG514" s="1276"/>
      <c r="AH514" s="1277"/>
    </row>
    <row r="515" spans="1:34" ht="13.5" customHeight="1">
      <c r="A515" s="431" t="s">
        <v>325</v>
      </c>
      <c r="B515" s="416" t="s">
        <v>307</v>
      </c>
      <c r="C515" s="417" t="s">
        <v>334</v>
      </c>
      <c r="D515" s="418">
        <v>34490</v>
      </c>
      <c r="E515" s="419">
        <v>41110</v>
      </c>
      <c r="F515" s="418">
        <v>29960</v>
      </c>
      <c r="G515" s="419">
        <v>36580</v>
      </c>
      <c r="H515" s="420">
        <v>320</v>
      </c>
      <c r="I515" s="421">
        <v>380</v>
      </c>
      <c r="J515" s="422" t="s">
        <v>731</v>
      </c>
      <c r="K515" s="420">
        <v>280</v>
      </c>
      <c r="L515" s="421">
        <v>340</v>
      </c>
      <c r="M515" s="422" t="s">
        <v>287</v>
      </c>
      <c r="N515" s="423">
        <v>6620</v>
      </c>
      <c r="O515" s="424">
        <v>60</v>
      </c>
      <c r="P515" s="462"/>
      <c r="Q515" s="462"/>
      <c r="R515" s="1278">
        <v>2600</v>
      </c>
      <c r="S515" s="1281">
        <v>2800</v>
      </c>
      <c r="T515" s="426" t="s">
        <v>288</v>
      </c>
      <c r="U515" s="427">
        <v>5500</v>
      </c>
      <c r="V515" s="428">
        <v>6200</v>
      </c>
      <c r="W515" s="425">
        <v>3970</v>
      </c>
      <c r="X515" s="429">
        <v>30</v>
      </c>
      <c r="Y515" s="1284">
        <v>4500</v>
      </c>
      <c r="Z515" s="1301"/>
      <c r="AA515" s="1300" t="s">
        <v>319</v>
      </c>
      <c r="AB515" s="1286">
        <v>4530</v>
      </c>
      <c r="AC515" s="1289">
        <v>40</v>
      </c>
      <c r="AD515" s="1292" t="s">
        <v>290</v>
      </c>
      <c r="AE515" s="1294" t="s">
        <v>290</v>
      </c>
      <c r="AF515" s="1294" t="s">
        <v>290</v>
      </c>
      <c r="AG515" s="1297" t="s">
        <v>290</v>
      </c>
      <c r="AH515" s="1269" t="s">
        <v>296</v>
      </c>
    </row>
    <row r="516" spans="1:34" ht="13.5" customHeight="1">
      <c r="A516" s="431" t="s">
        <v>325</v>
      </c>
      <c r="B516" s="432" t="s">
        <v>307</v>
      </c>
      <c r="C516" s="433" t="s">
        <v>336</v>
      </c>
      <c r="D516" s="434">
        <v>41110</v>
      </c>
      <c r="E516" s="435">
        <v>95530</v>
      </c>
      <c r="F516" s="434">
        <v>36580</v>
      </c>
      <c r="G516" s="435">
        <v>91000</v>
      </c>
      <c r="H516" s="436">
        <v>380</v>
      </c>
      <c r="I516" s="437">
        <v>850</v>
      </c>
      <c r="J516" s="438" t="s">
        <v>731</v>
      </c>
      <c r="K516" s="436">
        <v>340</v>
      </c>
      <c r="L516" s="437">
        <v>800</v>
      </c>
      <c r="M516" s="438" t="s">
        <v>287</v>
      </c>
      <c r="N516" s="439">
        <v>6620</v>
      </c>
      <c r="O516" s="440">
        <v>60</v>
      </c>
      <c r="P516" s="441"/>
      <c r="Q516" s="441"/>
      <c r="R516" s="1279"/>
      <c r="S516" s="1282"/>
      <c r="T516" s="393" t="s">
        <v>292</v>
      </c>
      <c r="U516" s="442">
        <v>3000</v>
      </c>
      <c r="V516" s="443">
        <v>3400</v>
      </c>
      <c r="W516" s="441">
        <v>3970</v>
      </c>
      <c r="X516" s="444">
        <v>30</v>
      </c>
      <c r="Y516" s="1285"/>
      <c r="Z516" s="1301"/>
      <c r="AA516" s="1300"/>
      <c r="AB516" s="1287"/>
      <c r="AC516" s="1290"/>
      <c r="AD516" s="1293"/>
      <c r="AE516" s="1295"/>
      <c r="AF516" s="1295"/>
      <c r="AG516" s="1298"/>
      <c r="AH516" s="1270"/>
    </row>
    <row r="517" spans="1:34" ht="13.5" customHeight="1">
      <c r="A517" s="431" t="s">
        <v>325</v>
      </c>
      <c r="B517" s="432" t="s">
        <v>307</v>
      </c>
      <c r="C517" s="433" t="s">
        <v>337</v>
      </c>
      <c r="D517" s="434">
        <v>95530</v>
      </c>
      <c r="E517" s="435">
        <v>161790</v>
      </c>
      <c r="F517" s="434">
        <v>91000</v>
      </c>
      <c r="G517" s="435">
        <v>157260</v>
      </c>
      <c r="H517" s="436">
        <v>850</v>
      </c>
      <c r="I517" s="437">
        <v>1510</v>
      </c>
      <c r="J517" s="438" t="s">
        <v>731</v>
      </c>
      <c r="K517" s="436">
        <v>800</v>
      </c>
      <c r="L517" s="437">
        <v>1460</v>
      </c>
      <c r="M517" s="438" t="s">
        <v>287</v>
      </c>
      <c r="N517" s="446"/>
      <c r="O517" s="447"/>
      <c r="P517" s="441"/>
      <c r="Q517" s="441"/>
      <c r="R517" s="1279"/>
      <c r="S517" s="1282"/>
      <c r="T517" s="393" t="s">
        <v>293</v>
      </c>
      <c r="U517" s="442">
        <v>2600</v>
      </c>
      <c r="V517" s="443">
        <v>2900</v>
      </c>
      <c r="W517" s="441">
        <v>3970</v>
      </c>
      <c r="X517" s="444">
        <v>30</v>
      </c>
      <c r="Y517" s="448"/>
      <c r="Z517" s="1301"/>
      <c r="AA517" s="1299">
        <v>0.1</v>
      </c>
      <c r="AB517" s="1287"/>
      <c r="AC517" s="1290"/>
      <c r="AD517" s="1271">
        <v>0.02</v>
      </c>
      <c r="AE517" s="1273">
        <v>0.03</v>
      </c>
      <c r="AF517" s="1273">
        <v>0.05</v>
      </c>
      <c r="AG517" s="1275">
        <v>7.0000000000000007E-2</v>
      </c>
      <c r="AH517" s="1277">
        <v>0.96</v>
      </c>
    </row>
    <row r="518" spans="1:34" ht="13.5" customHeight="1">
      <c r="A518" s="431" t="s">
        <v>325</v>
      </c>
      <c r="B518" s="449" t="s">
        <v>307</v>
      </c>
      <c r="C518" s="450" t="s">
        <v>338</v>
      </c>
      <c r="D518" s="451">
        <v>161790</v>
      </c>
      <c r="E518" s="452"/>
      <c r="F518" s="451">
        <v>157260</v>
      </c>
      <c r="G518" s="452"/>
      <c r="H518" s="439">
        <v>1510</v>
      </c>
      <c r="I518" s="453"/>
      <c r="J518" s="454" t="s">
        <v>731</v>
      </c>
      <c r="K518" s="439">
        <v>1460</v>
      </c>
      <c r="L518" s="453"/>
      <c r="M518" s="454" t="s">
        <v>287</v>
      </c>
      <c r="N518" s="446"/>
      <c r="O518" s="455"/>
      <c r="P518" s="462"/>
      <c r="Q518" s="462"/>
      <c r="R518" s="1280"/>
      <c r="S518" s="1283"/>
      <c r="T518" s="456" t="s">
        <v>294</v>
      </c>
      <c r="U518" s="457">
        <v>2400</v>
      </c>
      <c r="V518" s="458">
        <v>2600</v>
      </c>
      <c r="W518" s="459">
        <v>3970</v>
      </c>
      <c r="X518" s="460">
        <v>30</v>
      </c>
      <c r="Y518" s="448"/>
      <c r="Z518" s="1301"/>
      <c r="AA518" s="1299"/>
      <c r="AB518" s="1288"/>
      <c r="AC518" s="1291"/>
      <c r="AD518" s="1272"/>
      <c r="AE518" s="1274"/>
      <c r="AF518" s="1274"/>
      <c r="AG518" s="1276"/>
      <c r="AH518" s="1277"/>
    </row>
    <row r="519" spans="1:34" ht="13.5" customHeight="1">
      <c r="A519" s="431" t="s">
        <v>325</v>
      </c>
      <c r="B519" s="416" t="s">
        <v>309</v>
      </c>
      <c r="C519" s="417" t="s">
        <v>334</v>
      </c>
      <c r="D519" s="418">
        <v>32830</v>
      </c>
      <c r="E519" s="419">
        <v>39450</v>
      </c>
      <c r="F519" s="418">
        <v>28710</v>
      </c>
      <c r="G519" s="419">
        <v>35330</v>
      </c>
      <c r="H519" s="420">
        <v>310</v>
      </c>
      <c r="I519" s="421">
        <v>370</v>
      </c>
      <c r="J519" s="422" t="s">
        <v>731</v>
      </c>
      <c r="K519" s="420">
        <v>260</v>
      </c>
      <c r="L519" s="421">
        <v>320</v>
      </c>
      <c r="M519" s="422" t="s">
        <v>287</v>
      </c>
      <c r="N519" s="423">
        <v>6620</v>
      </c>
      <c r="O519" s="424">
        <v>60</v>
      </c>
      <c r="P519" s="441"/>
      <c r="Q519" s="441"/>
      <c r="R519" s="1278">
        <v>2800</v>
      </c>
      <c r="S519" s="1281">
        <v>3100</v>
      </c>
      <c r="T519" s="426" t="s">
        <v>288</v>
      </c>
      <c r="U519" s="427">
        <v>6100</v>
      </c>
      <c r="V519" s="428">
        <v>6800</v>
      </c>
      <c r="W519" s="425">
        <v>3610</v>
      </c>
      <c r="X519" s="429">
        <v>30</v>
      </c>
      <c r="Y519" s="1284">
        <v>4500</v>
      </c>
      <c r="Z519" s="1301"/>
      <c r="AA519" s="464"/>
      <c r="AB519" s="1286">
        <v>4120</v>
      </c>
      <c r="AC519" s="1289">
        <v>40</v>
      </c>
      <c r="AD519" s="1292" t="s">
        <v>290</v>
      </c>
      <c r="AE519" s="1294" t="s">
        <v>290</v>
      </c>
      <c r="AF519" s="1294" t="s">
        <v>290</v>
      </c>
      <c r="AG519" s="1297" t="s">
        <v>290</v>
      </c>
      <c r="AH519" s="1269" t="s">
        <v>296</v>
      </c>
    </row>
    <row r="520" spans="1:34" ht="13.5" customHeight="1">
      <c r="A520" s="431" t="s">
        <v>325</v>
      </c>
      <c r="B520" s="432" t="s">
        <v>309</v>
      </c>
      <c r="C520" s="433" t="s">
        <v>336</v>
      </c>
      <c r="D520" s="434">
        <v>39450</v>
      </c>
      <c r="E520" s="435">
        <v>93870</v>
      </c>
      <c r="F520" s="434">
        <v>35330</v>
      </c>
      <c r="G520" s="435">
        <v>89750</v>
      </c>
      <c r="H520" s="436">
        <v>370</v>
      </c>
      <c r="I520" s="437">
        <v>830</v>
      </c>
      <c r="J520" s="438" t="s">
        <v>731</v>
      </c>
      <c r="K520" s="436">
        <v>320</v>
      </c>
      <c r="L520" s="437">
        <v>790</v>
      </c>
      <c r="M520" s="438" t="s">
        <v>287</v>
      </c>
      <c r="N520" s="439">
        <v>6620</v>
      </c>
      <c r="O520" s="440">
        <v>60</v>
      </c>
      <c r="P520" s="441"/>
      <c r="Q520" s="441"/>
      <c r="R520" s="1279"/>
      <c r="S520" s="1282"/>
      <c r="T520" s="393" t="s">
        <v>292</v>
      </c>
      <c r="U520" s="442">
        <v>3300</v>
      </c>
      <c r="V520" s="443">
        <v>3700</v>
      </c>
      <c r="W520" s="441">
        <v>3610</v>
      </c>
      <c r="X520" s="444">
        <v>30</v>
      </c>
      <c r="Y520" s="1285"/>
      <c r="Z520" s="1301"/>
      <c r="AA520" s="464"/>
      <c r="AB520" s="1287"/>
      <c r="AC520" s="1290"/>
      <c r="AD520" s="1293"/>
      <c r="AE520" s="1295"/>
      <c r="AF520" s="1295"/>
      <c r="AG520" s="1298"/>
      <c r="AH520" s="1270"/>
    </row>
    <row r="521" spans="1:34" ht="13.5" customHeight="1">
      <c r="A521" s="431" t="s">
        <v>325</v>
      </c>
      <c r="B521" s="432" t="s">
        <v>309</v>
      </c>
      <c r="C521" s="433" t="s">
        <v>337</v>
      </c>
      <c r="D521" s="434">
        <v>93870</v>
      </c>
      <c r="E521" s="435">
        <v>160130</v>
      </c>
      <c r="F521" s="434">
        <v>89750</v>
      </c>
      <c r="G521" s="435">
        <v>156010</v>
      </c>
      <c r="H521" s="436">
        <v>830</v>
      </c>
      <c r="I521" s="437">
        <v>1490</v>
      </c>
      <c r="J521" s="438" t="s">
        <v>731</v>
      </c>
      <c r="K521" s="436">
        <v>790</v>
      </c>
      <c r="L521" s="437">
        <v>1450</v>
      </c>
      <c r="M521" s="438" t="s">
        <v>287</v>
      </c>
      <c r="N521" s="446"/>
      <c r="O521" s="447"/>
      <c r="P521" s="462"/>
      <c r="Q521" s="462"/>
      <c r="R521" s="1279"/>
      <c r="S521" s="1282"/>
      <c r="T521" s="393" t="s">
        <v>293</v>
      </c>
      <c r="U521" s="442">
        <v>2900</v>
      </c>
      <c r="V521" s="443">
        <v>3200</v>
      </c>
      <c r="W521" s="441">
        <v>3610</v>
      </c>
      <c r="X521" s="444">
        <v>30</v>
      </c>
      <c r="Y521" s="448"/>
      <c r="Z521" s="1301"/>
      <c r="AA521" s="464"/>
      <c r="AB521" s="1287"/>
      <c r="AC521" s="1290"/>
      <c r="AD521" s="1271">
        <v>0.02</v>
      </c>
      <c r="AE521" s="1273">
        <v>0.03</v>
      </c>
      <c r="AF521" s="1273">
        <v>0.05</v>
      </c>
      <c r="AG521" s="1275">
        <v>7.0000000000000007E-2</v>
      </c>
      <c r="AH521" s="1277">
        <v>0.95</v>
      </c>
    </row>
    <row r="522" spans="1:34" ht="13.5" customHeight="1">
      <c r="A522" s="431" t="s">
        <v>325</v>
      </c>
      <c r="B522" s="449" t="s">
        <v>309</v>
      </c>
      <c r="C522" s="450" t="s">
        <v>338</v>
      </c>
      <c r="D522" s="451">
        <v>160130</v>
      </c>
      <c r="E522" s="452"/>
      <c r="F522" s="451">
        <v>156010</v>
      </c>
      <c r="G522" s="452"/>
      <c r="H522" s="439">
        <v>1490</v>
      </c>
      <c r="I522" s="453"/>
      <c r="J522" s="454" t="s">
        <v>731</v>
      </c>
      <c r="K522" s="439">
        <v>1450</v>
      </c>
      <c r="L522" s="453"/>
      <c r="M522" s="454" t="s">
        <v>287</v>
      </c>
      <c r="N522" s="446"/>
      <c r="O522" s="455"/>
      <c r="P522" s="441"/>
      <c r="Q522" s="441"/>
      <c r="R522" s="1280"/>
      <c r="S522" s="1283"/>
      <c r="T522" s="456" t="s">
        <v>294</v>
      </c>
      <c r="U522" s="457">
        <v>2600</v>
      </c>
      <c r="V522" s="458">
        <v>2900</v>
      </c>
      <c r="W522" s="459">
        <v>3610</v>
      </c>
      <c r="X522" s="460">
        <v>30</v>
      </c>
      <c r="Y522" s="448"/>
      <c r="Z522" s="1301"/>
      <c r="AA522" s="464"/>
      <c r="AB522" s="1288"/>
      <c r="AC522" s="1291"/>
      <c r="AD522" s="1272"/>
      <c r="AE522" s="1274"/>
      <c r="AF522" s="1274"/>
      <c r="AG522" s="1276"/>
      <c r="AH522" s="1277"/>
    </row>
    <row r="523" spans="1:34" ht="13.5" customHeight="1">
      <c r="A523" s="431" t="s">
        <v>325</v>
      </c>
      <c r="B523" s="416" t="s">
        <v>310</v>
      </c>
      <c r="C523" s="417" t="s">
        <v>334</v>
      </c>
      <c r="D523" s="418">
        <v>31410</v>
      </c>
      <c r="E523" s="419">
        <v>38030</v>
      </c>
      <c r="F523" s="418">
        <v>27630</v>
      </c>
      <c r="G523" s="419">
        <v>34250</v>
      </c>
      <c r="H523" s="420">
        <v>290</v>
      </c>
      <c r="I523" s="421">
        <v>350</v>
      </c>
      <c r="J523" s="422" t="s">
        <v>731</v>
      </c>
      <c r="K523" s="420">
        <v>250</v>
      </c>
      <c r="L523" s="421">
        <v>310</v>
      </c>
      <c r="M523" s="422" t="s">
        <v>287</v>
      </c>
      <c r="N523" s="423">
        <v>6620</v>
      </c>
      <c r="O523" s="424">
        <v>60</v>
      </c>
      <c r="P523" s="441"/>
      <c r="Q523" s="441"/>
      <c r="R523" s="1278">
        <v>2600</v>
      </c>
      <c r="S523" s="1281">
        <v>2800</v>
      </c>
      <c r="T523" s="426" t="s">
        <v>288</v>
      </c>
      <c r="U523" s="427">
        <v>5500</v>
      </c>
      <c r="V523" s="428">
        <v>6200</v>
      </c>
      <c r="W523" s="425">
        <v>3310</v>
      </c>
      <c r="X523" s="429">
        <v>30</v>
      </c>
      <c r="Y523" s="1284">
        <v>4500</v>
      </c>
      <c r="Z523" s="1301"/>
      <c r="AA523" s="464"/>
      <c r="AB523" s="1286">
        <v>3780</v>
      </c>
      <c r="AC523" s="1289">
        <v>30</v>
      </c>
      <c r="AD523" s="1292" t="s">
        <v>290</v>
      </c>
      <c r="AE523" s="1294" t="s">
        <v>290</v>
      </c>
      <c r="AF523" s="1294" t="s">
        <v>290</v>
      </c>
      <c r="AG523" s="1297" t="s">
        <v>290</v>
      </c>
      <c r="AH523" s="1269" t="s">
        <v>296</v>
      </c>
    </row>
    <row r="524" spans="1:34" ht="13.5" customHeight="1">
      <c r="A524" s="431" t="s">
        <v>325</v>
      </c>
      <c r="B524" s="432" t="s">
        <v>310</v>
      </c>
      <c r="C524" s="433" t="s">
        <v>336</v>
      </c>
      <c r="D524" s="434">
        <v>38030</v>
      </c>
      <c r="E524" s="435">
        <v>92450</v>
      </c>
      <c r="F524" s="434">
        <v>34250</v>
      </c>
      <c r="G524" s="435">
        <v>88670</v>
      </c>
      <c r="H524" s="436">
        <v>350</v>
      </c>
      <c r="I524" s="437">
        <v>810</v>
      </c>
      <c r="J524" s="438" t="s">
        <v>731</v>
      </c>
      <c r="K524" s="436">
        <v>310</v>
      </c>
      <c r="L524" s="437">
        <v>780</v>
      </c>
      <c r="M524" s="438" t="s">
        <v>287</v>
      </c>
      <c r="N524" s="439">
        <v>6620</v>
      </c>
      <c r="O524" s="440">
        <v>60</v>
      </c>
      <c r="P524" s="462"/>
      <c r="Q524" s="462"/>
      <c r="R524" s="1279"/>
      <c r="S524" s="1282"/>
      <c r="T524" s="393" t="s">
        <v>292</v>
      </c>
      <c r="U524" s="442">
        <v>3000</v>
      </c>
      <c r="V524" s="443">
        <v>3400</v>
      </c>
      <c r="W524" s="441">
        <v>3310</v>
      </c>
      <c r="X524" s="444">
        <v>30</v>
      </c>
      <c r="Y524" s="1285"/>
      <c r="Z524" s="1301"/>
      <c r="AA524" s="464"/>
      <c r="AB524" s="1287"/>
      <c r="AC524" s="1290"/>
      <c r="AD524" s="1293"/>
      <c r="AE524" s="1295"/>
      <c r="AF524" s="1295"/>
      <c r="AG524" s="1298"/>
      <c r="AH524" s="1270"/>
    </row>
    <row r="525" spans="1:34" ht="13.5" customHeight="1">
      <c r="A525" s="431" t="s">
        <v>325</v>
      </c>
      <c r="B525" s="432" t="s">
        <v>310</v>
      </c>
      <c r="C525" s="433" t="s">
        <v>337</v>
      </c>
      <c r="D525" s="434">
        <v>92450</v>
      </c>
      <c r="E525" s="435">
        <v>158710</v>
      </c>
      <c r="F525" s="434">
        <v>88670</v>
      </c>
      <c r="G525" s="435">
        <v>154930</v>
      </c>
      <c r="H525" s="436">
        <v>810</v>
      </c>
      <c r="I525" s="437">
        <v>1470</v>
      </c>
      <c r="J525" s="438" t="s">
        <v>731</v>
      </c>
      <c r="K525" s="436">
        <v>780</v>
      </c>
      <c r="L525" s="437">
        <v>1440</v>
      </c>
      <c r="M525" s="438" t="s">
        <v>287</v>
      </c>
      <c r="N525" s="446"/>
      <c r="O525" s="447"/>
      <c r="P525" s="441"/>
      <c r="Q525" s="441"/>
      <c r="R525" s="1279"/>
      <c r="S525" s="1282"/>
      <c r="T525" s="393" t="s">
        <v>293</v>
      </c>
      <c r="U525" s="442">
        <v>2600</v>
      </c>
      <c r="V525" s="443">
        <v>2900</v>
      </c>
      <c r="W525" s="441">
        <v>3310</v>
      </c>
      <c r="X525" s="444">
        <v>30</v>
      </c>
      <c r="Y525" s="448"/>
      <c r="Z525" s="1301"/>
      <c r="AA525" s="464"/>
      <c r="AB525" s="1287"/>
      <c r="AC525" s="1290"/>
      <c r="AD525" s="1271">
        <v>0.02</v>
      </c>
      <c r="AE525" s="1273">
        <v>0.03</v>
      </c>
      <c r="AF525" s="1273">
        <v>0.05</v>
      </c>
      <c r="AG525" s="1275">
        <v>7.0000000000000007E-2</v>
      </c>
      <c r="AH525" s="1277">
        <v>0.95</v>
      </c>
    </row>
    <row r="526" spans="1:34" ht="13.5" customHeight="1">
      <c r="A526" s="431" t="s">
        <v>325</v>
      </c>
      <c r="B526" s="449" t="s">
        <v>310</v>
      </c>
      <c r="C526" s="450" t="s">
        <v>338</v>
      </c>
      <c r="D526" s="451">
        <v>158710</v>
      </c>
      <c r="E526" s="452"/>
      <c r="F526" s="451">
        <v>154930</v>
      </c>
      <c r="G526" s="452"/>
      <c r="H526" s="439">
        <v>1470</v>
      </c>
      <c r="I526" s="453"/>
      <c r="J526" s="454" t="s">
        <v>731</v>
      </c>
      <c r="K526" s="439">
        <v>1440</v>
      </c>
      <c r="L526" s="453"/>
      <c r="M526" s="454" t="s">
        <v>287</v>
      </c>
      <c r="N526" s="446"/>
      <c r="O526" s="455"/>
      <c r="P526" s="441"/>
      <c r="Q526" s="441"/>
      <c r="R526" s="1280"/>
      <c r="S526" s="1283"/>
      <c r="T526" s="456" t="s">
        <v>294</v>
      </c>
      <c r="U526" s="457">
        <v>2400</v>
      </c>
      <c r="V526" s="458">
        <v>2600</v>
      </c>
      <c r="W526" s="459">
        <v>3310</v>
      </c>
      <c r="X526" s="460">
        <v>30</v>
      </c>
      <c r="Y526" s="448"/>
      <c r="Z526" s="1301"/>
      <c r="AA526" s="464"/>
      <c r="AB526" s="1288"/>
      <c r="AC526" s="1291"/>
      <c r="AD526" s="1272"/>
      <c r="AE526" s="1274"/>
      <c r="AF526" s="1274"/>
      <c r="AG526" s="1276"/>
      <c r="AH526" s="1277"/>
    </row>
    <row r="527" spans="1:34" ht="13.5" customHeight="1">
      <c r="A527" s="431" t="s">
        <v>325</v>
      </c>
      <c r="B527" s="416" t="s">
        <v>311</v>
      </c>
      <c r="C527" s="417" t="s">
        <v>334</v>
      </c>
      <c r="D527" s="418">
        <v>30210</v>
      </c>
      <c r="E527" s="419">
        <v>36830</v>
      </c>
      <c r="F527" s="418">
        <v>26720</v>
      </c>
      <c r="G527" s="419">
        <v>33340</v>
      </c>
      <c r="H527" s="420">
        <v>280</v>
      </c>
      <c r="I527" s="421">
        <v>340</v>
      </c>
      <c r="J527" s="422" t="s">
        <v>731</v>
      </c>
      <c r="K527" s="420">
        <v>240</v>
      </c>
      <c r="L527" s="421">
        <v>300</v>
      </c>
      <c r="M527" s="422" t="s">
        <v>287</v>
      </c>
      <c r="N527" s="423">
        <v>6620</v>
      </c>
      <c r="O527" s="424">
        <v>60</v>
      </c>
      <c r="P527" s="462"/>
      <c r="Q527" s="462"/>
      <c r="R527" s="1278">
        <v>2400</v>
      </c>
      <c r="S527" s="1281">
        <v>2600</v>
      </c>
      <c r="T527" s="426" t="s">
        <v>288</v>
      </c>
      <c r="U527" s="427">
        <v>5100</v>
      </c>
      <c r="V527" s="428">
        <v>5700</v>
      </c>
      <c r="W527" s="425">
        <v>3050</v>
      </c>
      <c r="X527" s="429">
        <v>30</v>
      </c>
      <c r="Y527" s="1284">
        <v>4500</v>
      </c>
      <c r="Z527" s="1301"/>
      <c r="AA527" s="464"/>
      <c r="AB527" s="1286">
        <v>3490</v>
      </c>
      <c r="AC527" s="1289">
        <v>30</v>
      </c>
      <c r="AD527" s="1292" t="s">
        <v>290</v>
      </c>
      <c r="AE527" s="1294" t="s">
        <v>290</v>
      </c>
      <c r="AF527" s="1294" t="s">
        <v>290</v>
      </c>
      <c r="AG527" s="1297" t="s">
        <v>290</v>
      </c>
      <c r="AH527" s="1269" t="s">
        <v>296</v>
      </c>
    </row>
    <row r="528" spans="1:34" ht="13.5" customHeight="1">
      <c r="A528" s="431" t="s">
        <v>325</v>
      </c>
      <c r="B528" s="432" t="s">
        <v>311</v>
      </c>
      <c r="C528" s="433" t="s">
        <v>336</v>
      </c>
      <c r="D528" s="434">
        <v>36830</v>
      </c>
      <c r="E528" s="435">
        <v>91250</v>
      </c>
      <c r="F528" s="434">
        <v>33340</v>
      </c>
      <c r="G528" s="435">
        <v>87760</v>
      </c>
      <c r="H528" s="436">
        <v>340</v>
      </c>
      <c r="I528" s="437">
        <v>800</v>
      </c>
      <c r="J528" s="438" t="s">
        <v>731</v>
      </c>
      <c r="K528" s="436">
        <v>300</v>
      </c>
      <c r="L528" s="437">
        <v>770</v>
      </c>
      <c r="M528" s="438" t="s">
        <v>287</v>
      </c>
      <c r="N528" s="439">
        <v>6620</v>
      </c>
      <c r="O528" s="440">
        <v>60</v>
      </c>
      <c r="P528" s="441"/>
      <c r="Q528" s="441"/>
      <c r="R528" s="1279"/>
      <c r="S528" s="1282"/>
      <c r="T528" s="393" t="s">
        <v>292</v>
      </c>
      <c r="U528" s="442">
        <v>2800</v>
      </c>
      <c r="V528" s="443">
        <v>3100</v>
      </c>
      <c r="W528" s="441">
        <v>3050</v>
      </c>
      <c r="X528" s="444">
        <v>30</v>
      </c>
      <c r="Y528" s="1285"/>
      <c r="Z528" s="1301"/>
      <c r="AA528" s="464"/>
      <c r="AB528" s="1287"/>
      <c r="AC528" s="1290"/>
      <c r="AD528" s="1293"/>
      <c r="AE528" s="1295"/>
      <c r="AF528" s="1295"/>
      <c r="AG528" s="1298"/>
      <c r="AH528" s="1270"/>
    </row>
    <row r="529" spans="1:34" ht="13.5" customHeight="1">
      <c r="A529" s="431" t="s">
        <v>325</v>
      </c>
      <c r="B529" s="432" t="s">
        <v>311</v>
      </c>
      <c r="C529" s="433" t="s">
        <v>337</v>
      </c>
      <c r="D529" s="434">
        <v>91250</v>
      </c>
      <c r="E529" s="435">
        <v>157510</v>
      </c>
      <c r="F529" s="434">
        <v>87760</v>
      </c>
      <c r="G529" s="435">
        <v>154020</v>
      </c>
      <c r="H529" s="436">
        <v>800</v>
      </c>
      <c r="I529" s="437">
        <v>1460</v>
      </c>
      <c r="J529" s="438" t="s">
        <v>731</v>
      </c>
      <c r="K529" s="436">
        <v>770</v>
      </c>
      <c r="L529" s="437">
        <v>1430</v>
      </c>
      <c r="M529" s="438" t="s">
        <v>287</v>
      </c>
      <c r="N529" s="446"/>
      <c r="O529" s="447"/>
      <c r="P529" s="441"/>
      <c r="Q529" s="441"/>
      <c r="R529" s="1279"/>
      <c r="S529" s="1282"/>
      <c r="T529" s="393" t="s">
        <v>293</v>
      </c>
      <c r="U529" s="442">
        <v>2400</v>
      </c>
      <c r="V529" s="443">
        <v>2700</v>
      </c>
      <c r="W529" s="441">
        <v>3050</v>
      </c>
      <c r="X529" s="444">
        <v>30</v>
      </c>
      <c r="Y529" s="448"/>
      <c r="Z529" s="1301"/>
      <c r="AA529" s="464"/>
      <c r="AB529" s="1287"/>
      <c r="AC529" s="1290"/>
      <c r="AD529" s="1271">
        <v>0.02</v>
      </c>
      <c r="AE529" s="1273">
        <v>0.03</v>
      </c>
      <c r="AF529" s="1273">
        <v>0.05</v>
      </c>
      <c r="AG529" s="1275">
        <v>7.0000000000000007E-2</v>
      </c>
      <c r="AH529" s="1277">
        <v>0.97</v>
      </c>
    </row>
    <row r="530" spans="1:34" ht="13.5" customHeight="1">
      <c r="A530" s="431" t="s">
        <v>325</v>
      </c>
      <c r="B530" s="449" t="s">
        <v>311</v>
      </c>
      <c r="C530" s="450" t="s">
        <v>338</v>
      </c>
      <c r="D530" s="451">
        <v>157510</v>
      </c>
      <c r="E530" s="452"/>
      <c r="F530" s="451">
        <v>154020</v>
      </c>
      <c r="G530" s="452"/>
      <c r="H530" s="439">
        <v>1460</v>
      </c>
      <c r="I530" s="453"/>
      <c r="J530" s="454" t="s">
        <v>731</v>
      </c>
      <c r="K530" s="439">
        <v>1430</v>
      </c>
      <c r="L530" s="453"/>
      <c r="M530" s="454" t="s">
        <v>287</v>
      </c>
      <c r="N530" s="446"/>
      <c r="O530" s="455"/>
      <c r="P530" s="462"/>
      <c r="Q530" s="462"/>
      <c r="R530" s="1280"/>
      <c r="S530" s="1283"/>
      <c r="T530" s="456" t="s">
        <v>294</v>
      </c>
      <c r="U530" s="457">
        <v>2200</v>
      </c>
      <c r="V530" s="458">
        <v>2400</v>
      </c>
      <c r="W530" s="459">
        <v>3050</v>
      </c>
      <c r="X530" s="460">
        <v>30</v>
      </c>
      <c r="Y530" s="448"/>
      <c r="Z530" s="1301"/>
      <c r="AA530" s="464"/>
      <c r="AB530" s="1288"/>
      <c r="AC530" s="1291"/>
      <c r="AD530" s="1272"/>
      <c r="AE530" s="1274"/>
      <c r="AF530" s="1274"/>
      <c r="AG530" s="1276"/>
      <c r="AH530" s="1277"/>
    </row>
    <row r="531" spans="1:34" ht="13.5" customHeight="1">
      <c r="A531" s="431" t="s">
        <v>325</v>
      </c>
      <c r="B531" s="416" t="s">
        <v>312</v>
      </c>
      <c r="C531" s="417" t="s">
        <v>334</v>
      </c>
      <c r="D531" s="418">
        <v>29200</v>
      </c>
      <c r="E531" s="419">
        <v>35820</v>
      </c>
      <c r="F531" s="418">
        <v>25970</v>
      </c>
      <c r="G531" s="419">
        <v>32590</v>
      </c>
      <c r="H531" s="420">
        <v>270</v>
      </c>
      <c r="I531" s="421">
        <v>330</v>
      </c>
      <c r="J531" s="422" t="s">
        <v>731</v>
      </c>
      <c r="K531" s="420">
        <v>240</v>
      </c>
      <c r="L531" s="421">
        <v>300</v>
      </c>
      <c r="M531" s="422" t="s">
        <v>287</v>
      </c>
      <c r="N531" s="423">
        <v>6620</v>
      </c>
      <c r="O531" s="424">
        <v>60</v>
      </c>
      <c r="P531" s="441"/>
      <c r="Q531" s="441"/>
      <c r="R531" s="1278">
        <v>2600</v>
      </c>
      <c r="S531" s="1281">
        <v>2800</v>
      </c>
      <c r="T531" s="426" t="s">
        <v>288</v>
      </c>
      <c r="U531" s="427">
        <v>5500</v>
      </c>
      <c r="V531" s="428">
        <v>6200</v>
      </c>
      <c r="W531" s="425">
        <v>2840</v>
      </c>
      <c r="X531" s="429">
        <v>20</v>
      </c>
      <c r="Y531" s="1284">
        <v>4500</v>
      </c>
      <c r="Z531" s="1301"/>
      <c r="AA531" s="464"/>
      <c r="AB531" s="1286">
        <v>3240</v>
      </c>
      <c r="AC531" s="1289">
        <v>30</v>
      </c>
      <c r="AD531" s="1292" t="s">
        <v>290</v>
      </c>
      <c r="AE531" s="1294" t="s">
        <v>290</v>
      </c>
      <c r="AF531" s="1294" t="s">
        <v>290</v>
      </c>
      <c r="AG531" s="1297" t="s">
        <v>290</v>
      </c>
      <c r="AH531" s="1269" t="s">
        <v>296</v>
      </c>
    </row>
    <row r="532" spans="1:34" ht="13.5" customHeight="1">
      <c r="A532" s="431" t="s">
        <v>325</v>
      </c>
      <c r="B532" s="432" t="s">
        <v>312</v>
      </c>
      <c r="C532" s="433" t="s">
        <v>336</v>
      </c>
      <c r="D532" s="434">
        <v>35820</v>
      </c>
      <c r="E532" s="435">
        <v>90240</v>
      </c>
      <c r="F532" s="434">
        <v>32590</v>
      </c>
      <c r="G532" s="435">
        <v>87010</v>
      </c>
      <c r="H532" s="436">
        <v>330</v>
      </c>
      <c r="I532" s="437">
        <v>790</v>
      </c>
      <c r="J532" s="438" t="s">
        <v>731</v>
      </c>
      <c r="K532" s="436">
        <v>300</v>
      </c>
      <c r="L532" s="437">
        <v>760</v>
      </c>
      <c r="M532" s="438" t="s">
        <v>287</v>
      </c>
      <c r="N532" s="439">
        <v>6620</v>
      </c>
      <c r="O532" s="440">
        <v>60</v>
      </c>
      <c r="P532" s="441"/>
      <c r="Q532" s="441"/>
      <c r="R532" s="1279"/>
      <c r="S532" s="1282"/>
      <c r="T532" s="393" t="s">
        <v>292</v>
      </c>
      <c r="U532" s="442">
        <v>3000</v>
      </c>
      <c r="V532" s="443">
        <v>3400</v>
      </c>
      <c r="W532" s="441">
        <v>2840</v>
      </c>
      <c r="X532" s="444">
        <v>20</v>
      </c>
      <c r="Y532" s="1285"/>
      <c r="Z532" s="1301"/>
      <c r="AA532" s="464"/>
      <c r="AB532" s="1287"/>
      <c r="AC532" s="1290"/>
      <c r="AD532" s="1293"/>
      <c r="AE532" s="1295"/>
      <c r="AF532" s="1295"/>
      <c r="AG532" s="1298"/>
      <c r="AH532" s="1270"/>
    </row>
    <row r="533" spans="1:34" ht="13.5" customHeight="1">
      <c r="A533" s="431" t="s">
        <v>325</v>
      </c>
      <c r="B533" s="432" t="s">
        <v>312</v>
      </c>
      <c r="C533" s="433" t="s">
        <v>337</v>
      </c>
      <c r="D533" s="434">
        <v>90240</v>
      </c>
      <c r="E533" s="435">
        <v>156500</v>
      </c>
      <c r="F533" s="434">
        <v>87010</v>
      </c>
      <c r="G533" s="435">
        <v>153270</v>
      </c>
      <c r="H533" s="436">
        <v>790</v>
      </c>
      <c r="I533" s="437">
        <v>1450</v>
      </c>
      <c r="J533" s="438" t="s">
        <v>731</v>
      </c>
      <c r="K533" s="436">
        <v>760</v>
      </c>
      <c r="L533" s="437">
        <v>1420</v>
      </c>
      <c r="M533" s="438" t="s">
        <v>287</v>
      </c>
      <c r="N533" s="446"/>
      <c r="O533" s="447"/>
      <c r="P533" s="462"/>
      <c r="Q533" s="462"/>
      <c r="R533" s="1279"/>
      <c r="S533" s="1282"/>
      <c r="T533" s="393" t="s">
        <v>293</v>
      </c>
      <c r="U533" s="442">
        <v>2600</v>
      </c>
      <c r="V533" s="443">
        <v>2900</v>
      </c>
      <c r="W533" s="441">
        <v>2840</v>
      </c>
      <c r="X533" s="444">
        <v>20</v>
      </c>
      <c r="Y533" s="448"/>
      <c r="Z533" s="1301"/>
      <c r="AA533" s="464"/>
      <c r="AB533" s="1287"/>
      <c r="AC533" s="1290"/>
      <c r="AD533" s="1271">
        <v>0.02</v>
      </c>
      <c r="AE533" s="1273">
        <v>0.03</v>
      </c>
      <c r="AF533" s="1273">
        <v>0.05</v>
      </c>
      <c r="AG533" s="1275">
        <v>7.0000000000000007E-2</v>
      </c>
      <c r="AH533" s="1277">
        <v>0.98</v>
      </c>
    </row>
    <row r="534" spans="1:34" ht="13.5" customHeight="1">
      <c r="A534" s="431" t="s">
        <v>325</v>
      </c>
      <c r="B534" s="449" t="s">
        <v>312</v>
      </c>
      <c r="C534" s="450" t="s">
        <v>338</v>
      </c>
      <c r="D534" s="451">
        <v>156500</v>
      </c>
      <c r="E534" s="452"/>
      <c r="F534" s="451">
        <v>153270</v>
      </c>
      <c r="G534" s="452"/>
      <c r="H534" s="439">
        <v>1450</v>
      </c>
      <c r="I534" s="453"/>
      <c r="J534" s="454" t="s">
        <v>731</v>
      </c>
      <c r="K534" s="439">
        <v>1420</v>
      </c>
      <c r="L534" s="453"/>
      <c r="M534" s="454" t="s">
        <v>287</v>
      </c>
      <c r="N534" s="446"/>
      <c r="O534" s="455"/>
      <c r="P534" s="441"/>
      <c r="Q534" s="441"/>
      <c r="R534" s="1280"/>
      <c r="S534" s="1283"/>
      <c r="T534" s="456" t="s">
        <v>294</v>
      </c>
      <c r="U534" s="457">
        <v>2400</v>
      </c>
      <c r="V534" s="458">
        <v>2600</v>
      </c>
      <c r="W534" s="459">
        <v>2840</v>
      </c>
      <c r="X534" s="460">
        <v>20</v>
      </c>
      <c r="Y534" s="448"/>
      <c r="Z534" s="1301"/>
      <c r="AA534" s="464"/>
      <c r="AB534" s="1288"/>
      <c r="AC534" s="1291"/>
      <c r="AD534" s="1272"/>
      <c r="AE534" s="1274"/>
      <c r="AF534" s="1274"/>
      <c r="AG534" s="1276"/>
      <c r="AH534" s="1277"/>
    </row>
    <row r="535" spans="1:34" ht="13.5" customHeight="1">
      <c r="A535" s="431" t="s">
        <v>325</v>
      </c>
      <c r="B535" s="416" t="s">
        <v>313</v>
      </c>
      <c r="C535" s="417" t="s">
        <v>334</v>
      </c>
      <c r="D535" s="418">
        <v>28320</v>
      </c>
      <c r="E535" s="419">
        <v>34940</v>
      </c>
      <c r="F535" s="418">
        <v>25300</v>
      </c>
      <c r="G535" s="419">
        <v>31920</v>
      </c>
      <c r="H535" s="420">
        <v>260</v>
      </c>
      <c r="I535" s="421">
        <v>320</v>
      </c>
      <c r="J535" s="422" t="s">
        <v>731</v>
      </c>
      <c r="K535" s="420">
        <v>230</v>
      </c>
      <c r="L535" s="421">
        <v>290</v>
      </c>
      <c r="M535" s="422" t="s">
        <v>287</v>
      </c>
      <c r="N535" s="423">
        <v>6620</v>
      </c>
      <c r="O535" s="424">
        <v>60</v>
      </c>
      <c r="P535" s="441"/>
      <c r="Q535" s="441"/>
      <c r="R535" s="1278">
        <v>2400</v>
      </c>
      <c r="S535" s="1281">
        <v>2600</v>
      </c>
      <c r="T535" s="426" t="s">
        <v>288</v>
      </c>
      <c r="U535" s="427">
        <v>5400</v>
      </c>
      <c r="V535" s="428">
        <v>6000</v>
      </c>
      <c r="W535" s="425">
        <v>2650</v>
      </c>
      <c r="X535" s="429">
        <v>20</v>
      </c>
      <c r="Y535" s="1284">
        <v>4500</v>
      </c>
      <c r="Z535" s="1301"/>
      <c r="AA535" s="464"/>
      <c r="AB535" s="1286">
        <v>3020</v>
      </c>
      <c r="AC535" s="1289">
        <v>30</v>
      </c>
      <c r="AD535" s="1292" t="s">
        <v>290</v>
      </c>
      <c r="AE535" s="1294" t="s">
        <v>290</v>
      </c>
      <c r="AF535" s="1294" t="s">
        <v>290</v>
      </c>
      <c r="AG535" s="1297" t="s">
        <v>290</v>
      </c>
      <c r="AH535" s="1269" t="s">
        <v>296</v>
      </c>
    </row>
    <row r="536" spans="1:34" ht="13.5" customHeight="1">
      <c r="A536" s="431" t="s">
        <v>325</v>
      </c>
      <c r="B536" s="432" t="s">
        <v>313</v>
      </c>
      <c r="C536" s="433" t="s">
        <v>336</v>
      </c>
      <c r="D536" s="434">
        <v>34940</v>
      </c>
      <c r="E536" s="435">
        <v>89360</v>
      </c>
      <c r="F536" s="434">
        <v>31920</v>
      </c>
      <c r="G536" s="435">
        <v>86340</v>
      </c>
      <c r="H536" s="436">
        <v>320</v>
      </c>
      <c r="I536" s="437">
        <v>780</v>
      </c>
      <c r="J536" s="438" t="s">
        <v>731</v>
      </c>
      <c r="K536" s="436">
        <v>290</v>
      </c>
      <c r="L536" s="437">
        <v>750</v>
      </c>
      <c r="M536" s="438" t="s">
        <v>287</v>
      </c>
      <c r="N536" s="439">
        <v>6620</v>
      </c>
      <c r="O536" s="440">
        <v>60</v>
      </c>
      <c r="P536" s="462"/>
      <c r="Q536" s="462"/>
      <c r="R536" s="1279"/>
      <c r="S536" s="1282"/>
      <c r="T536" s="393" t="s">
        <v>292</v>
      </c>
      <c r="U536" s="442">
        <v>2900</v>
      </c>
      <c r="V536" s="443">
        <v>3300</v>
      </c>
      <c r="W536" s="441">
        <v>2650</v>
      </c>
      <c r="X536" s="444">
        <v>20</v>
      </c>
      <c r="Y536" s="1285"/>
      <c r="Z536" s="1301"/>
      <c r="AA536" s="464"/>
      <c r="AB536" s="1287"/>
      <c r="AC536" s="1290"/>
      <c r="AD536" s="1293"/>
      <c r="AE536" s="1295"/>
      <c r="AF536" s="1295"/>
      <c r="AG536" s="1298"/>
      <c r="AH536" s="1270"/>
    </row>
    <row r="537" spans="1:34" ht="13.5" customHeight="1">
      <c r="A537" s="431" t="s">
        <v>325</v>
      </c>
      <c r="B537" s="432" t="s">
        <v>313</v>
      </c>
      <c r="C537" s="433" t="s">
        <v>337</v>
      </c>
      <c r="D537" s="434">
        <v>89360</v>
      </c>
      <c r="E537" s="435">
        <v>155620</v>
      </c>
      <c r="F537" s="434">
        <v>86340</v>
      </c>
      <c r="G537" s="435">
        <v>152600</v>
      </c>
      <c r="H537" s="436">
        <v>780</v>
      </c>
      <c r="I537" s="437">
        <v>1440</v>
      </c>
      <c r="J537" s="438" t="s">
        <v>731</v>
      </c>
      <c r="K537" s="436">
        <v>750</v>
      </c>
      <c r="L537" s="437">
        <v>1410</v>
      </c>
      <c r="M537" s="438" t="s">
        <v>287</v>
      </c>
      <c r="N537" s="446"/>
      <c r="O537" s="447"/>
      <c r="P537" s="441"/>
      <c r="Q537" s="441"/>
      <c r="R537" s="1279"/>
      <c r="S537" s="1282"/>
      <c r="T537" s="393" t="s">
        <v>293</v>
      </c>
      <c r="U537" s="442">
        <v>2500</v>
      </c>
      <c r="V537" s="443">
        <v>2800</v>
      </c>
      <c r="W537" s="441">
        <v>2650</v>
      </c>
      <c r="X537" s="444">
        <v>20</v>
      </c>
      <c r="Y537" s="448"/>
      <c r="Z537" s="1301"/>
      <c r="AA537" s="464"/>
      <c r="AB537" s="1287"/>
      <c r="AC537" s="1290"/>
      <c r="AD537" s="1271">
        <v>0.02</v>
      </c>
      <c r="AE537" s="1273">
        <v>0.03</v>
      </c>
      <c r="AF537" s="1273">
        <v>0.05</v>
      </c>
      <c r="AG537" s="1275">
        <v>7.0000000000000007E-2</v>
      </c>
      <c r="AH537" s="1277">
        <v>0.98</v>
      </c>
    </row>
    <row r="538" spans="1:34" ht="13.5" customHeight="1">
      <c r="A538" s="431" t="s">
        <v>325</v>
      </c>
      <c r="B538" s="449" t="s">
        <v>313</v>
      </c>
      <c r="C538" s="450" t="s">
        <v>338</v>
      </c>
      <c r="D538" s="451">
        <v>155620</v>
      </c>
      <c r="E538" s="452"/>
      <c r="F538" s="451">
        <v>152600</v>
      </c>
      <c r="G538" s="452"/>
      <c r="H538" s="439">
        <v>1440</v>
      </c>
      <c r="I538" s="453"/>
      <c r="J538" s="454" t="s">
        <v>731</v>
      </c>
      <c r="K538" s="439">
        <v>1410</v>
      </c>
      <c r="L538" s="453"/>
      <c r="M538" s="454" t="s">
        <v>287</v>
      </c>
      <c r="N538" s="446"/>
      <c r="O538" s="455"/>
      <c r="P538" s="441"/>
      <c r="Q538" s="441"/>
      <c r="R538" s="1280"/>
      <c r="S538" s="1283"/>
      <c r="T538" s="456" t="s">
        <v>294</v>
      </c>
      <c r="U538" s="457">
        <v>2300</v>
      </c>
      <c r="V538" s="458">
        <v>2500</v>
      </c>
      <c r="W538" s="459">
        <v>2650</v>
      </c>
      <c r="X538" s="460">
        <v>20</v>
      </c>
      <c r="Y538" s="448"/>
      <c r="Z538" s="1301"/>
      <c r="AA538" s="464"/>
      <c r="AB538" s="1288"/>
      <c r="AC538" s="1291"/>
      <c r="AD538" s="1272"/>
      <c r="AE538" s="1274"/>
      <c r="AF538" s="1274"/>
      <c r="AG538" s="1276"/>
      <c r="AH538" s="1277"/>
    </row>
    <row r="539" spans="1:34" ht="13.5" customHeight="1">
      <c r="A539" s="431" t="s">
        <v>325</v>
      </c>
      <c r="B539" s="416" t="s">
        <v>314</v>
      </c>
      <c r="C539" s="417" t="s">
        <v>334</v>
      </c>
      <c r="D539" s="418">
        <v>28400</v>
      </c>
      <c r="E539" s="419">
        <v>35020</v>
      </c>
      <c r="F539" s="418">
        <v>25570</v>
      </c>
      <c r="G539" s="419">
        <v>32190</v>
      </c>
      <c r="H539" s="420">
        <v>260</v>
      </c>
      <c r="I539" s="421">
        <v>320</v>
      </c>
      <c r="J539" s="422" t="s">
        <v>731</v>
      </c>
      <c r="K539" s="420">
        <v>230</v>
      </c>
      <c r="L539" s="421">
        <v>290</v>
      </c>
      <c r="M539" s="422" t="s">
        <v>287</v>
      </c>
      <c r="N539" s="423">
        <v>6620</v>
      </c>
      <c r="O539" s="424">
        <v>60</v>
      </c>
      <c r="P539" s="462"/>
      <c r="Q539" s="462"/>
      <c r="R539" s="1278">
        <v>2200</v>
      </c>
      <c r="S539" s="1281">
        <v>2500</v>
      </c>
      <c r="T539" s="426" t="s">
        <v>288</v>
      </c>
      <c r="U539" s="427">
        <v>4800</v>
      </c>
      <c r="V539" s="428">
        <v>5400</v>
      </c>
      <c r="W539" s="425">
        <v>2480</v>
      </c>
      <c r="X539" s="429">
        <v>20</v>
      </c>
      <c r="Y539" s="1284">
        <v>4500</v>
      </c>
      <c r="Z539" s="1301"/>
      <c r="AA539" s="464"/>
      <c r="AB539" s="1286">
        <v>2830</v>
      </c>
      <c r="AC539" s="1289">
        <v>20</v>
      </c>
      <c r="AD539" s="1292" t="s">
        <v>290</v>
      </c>
      <c r="AE539" s="1294" t="s">
        <v>290</v>
      </c>
      <c r="AF539" s="1294" t="s">
        <v>290</v>
      </c>
      <c r="AG539" s="1297" t="s">
        <v>290</v>
      </c>
      <c r="AH539" s="1269" t="s">
        <v>296</v>
      </c>
    </row>
    <row r="540" spans="1:34" ht="13.5" customHeight="1">
      <c r="A540" s="431" t="s">
        <v>325</v>
      </c>
      <c r="B540" s="432" t="s">
        <v>314</v>
      </c>
      <c r="C540" s="433" t="s">
        <v>336</v>
      </c>
      <c r="D540" s="434">
        <v>35020</v>
      </c>
      <c r="E540" s="435">
        <v>89440</v>
      </c>
      <c r="F540" s="434">
        <v>32190</v>
      </c>
      <c r="G540" s="435">
        <v>86610</v>
      </c>
      <c r="H540" s="436">
        <v>320</v>
      </c>
      <c r="I540" s="437">
        <v>780</v>
      </c>
      <c r="J540" s="438" t="s">
        <v>731</v>
      </c>
      <c r="K540" s="436">
        <v>290</v>
      </c>
      <c r="L540" s="437">
        <v>760</v>
      </c>
      <c r="M540" s="438" t="s">
        <v>287</v>
      </c>
      <c r="N540" s="439">
        <v>6620</v>
      </c>
      <c r="O540" s="440">
        <v>60</v>
      </c>
      <c r="P540" s="462"/>
      <c r="Q540" s="462"/>
      <c r="R540" s="1279"/>
      <c r="S540" s="1282"/>
      <c r="T540" s="393" t="s">
        <v>292</v>
      </c>
      <c r="U540" s="442">
        <v>2600</v>
      </c>
      <c r="V540" s="443">
        <v>2900</v>
      </c>
      <c r="W540" s="441">
        <v>2480</v>
      </c>
      <c r="X540" s="444">
        <v>20</v>
      </c>
      <c r="Y540" s="1285"/>
      <c r="Z540" s="1301"/>
      <c r="AA540" s="464"/>
      <c r="AB540" s="1287"/>
      <c r="AC540" s="1290"/>
      <c r="AD540" s="1293"/>
      <c r="AE540" s="1295"/>
      <c r="AF540" s="1295"/>
      <c r="AG540" s="1298"/>
      <c r="AH540" s="1270"/>
    </row>
    <row r="541" spans="1:34" ht="13.5" customHeight="1">
      <c r="A541" s="431" t="s">
        <v>325</v>
      </c>
      <c r="B541" s="432" t="s">
        <v>314</v>
      </c>
      <c r="C541" s="433" t="s">
        <v>337</v>
      </c>
      <c r="D541" s="434">
        <v>89440</v>
      </c>
      <c r="E541" s="435">
        <v>155700</v>
      </c>
      <c r="F541" s="434">
        <v>86610</v>
      </c>
      <c r="G541" s="435">
        <v>152870</v>
      </c>
      <c r="H541" s="436">
        <v>780</v>
      </c>
      <c r="I541" s="437">
        <v>1440</v>
      </c>
      <c r="J541" s="438" t="s">
        <v>731</v>
      </c>
      <c r="K541" s="436">
        <v>760</v>
      </c>
      <c r="L541" s="437">
        <v>1420</v>
      </c>
      <c r="M541" s="438" t="s">
        <v>287</v>
      </c>
      <c r="N541" s="446"/>
      <c r="O541" s="447"/>
      <c r="P541" s="462"/>
      <c r="Q541" s="462"/>
      <c r="R541" s="1279"/>
      <c r="S541" s="1282"/>
      <c r="T541" s="393" t="s">
        <v>293</v>
      </c>
      <c r="U541" s="442">
        <v>2300</v>
      </c>
      <c r="V541" s="443">
        <v>2500</v>
      </c>
      <c r="W541" s="441">
        <v>2480</v>
      </c>
      <c r="X541" s="444">
        <v>20</v>
      </c>
      <c r="Y541" s="448"/>
      <c r="Z541" s="1301"/>
      <c r="AA541" s="464"/>
      <c r="AB541" s="1287"/>
      <c r="AC541" s="1290"/>
      <c r="AD541" s="1271">
        <v>0.02</v>
      </c>
      <c r="AE541" s="1273">
        <v>0.03</v>
      </c>
      <c r="AF541" s="1273">
        <v>0.05</v>
      </c>
      <c r="AG541" s="1275">
        <v>7.0000000000000007E-2</v>
      </c>
      <c r="AH541" s="1277">
        <v>0.98</v>
      </c>
    </row>
    <row r="542" spans="1:34" ht="13.5" customHeight="1">
      <c r="A542" s="431" t="s">
        <v>325</v>
      </c>
      <c r="B542" s="449" t="s">
        <v>314</v>
      </c>
      <c r="C542" s="450" t="s">
        <v>338</v>
      </c>
      <c r="D542" s="451">
        <v>155700</v>
      </c>
      <c r="E542" s="452"/>
      <c r="F542" s="451">
        <v>152870</v>
      </c>
      <c r="G542" s="452"/>
      <c r="H542" s="439">
        <v>1440</v>
      </c>
      <c r="I542" s="453"/>
      <c r="J542" s="454" t="s">
        <v>731</v>
      </c>
      <c r="K542" s="439">
        <v>1420</v>
      </c>
      <c r="L542" s="453"/>
      <c r="M542" s="454" t="s">
        <v>287</v>
      </c>
      <c r="N542" s="446"/>
      <c r="O542" s="455"/>
      <c r="P542" s="462"/>
      <c r="Q542" s="462"/>
      <c r="R542" s="1280"/>
      <c r="S542" s="1283"/>
      <c r="T542" s="456" t="s">
        <v>294</v>
      </c>
      <c r="U542" s="457">
        <v>2000</v>
      </c>
      <c r="V542" s="458">
        <v>2300</v>
      </c>
      <c r="W542" s="459">
        <v>2480</v>
      </c>
      <c r="X542" s="460">
        <v>20</v>
      </c>
      <c r="Y542" s="448"/>
      <c r="Z542" s="1301"/>
      <c r="AA542" s="464"/>
      <c r="AB542" s="1288"/>
      <c r="AC542" s="1291"/>
      <c r="AD542" s="1272"/>
      <c r="AE542" s="1274"/>
      <c r="AF542" s="1274"/>
      <c r="AG542" s="1276"/>
      <c r="AH542" s="1277"/>
    </row>
    <row r="543" spans="1:34" ht="13.5" customHeight="1">
      <c r="A543" s="431" t="s">
        <v>325</v>
      </c>
      <c r="B543" s="416" t="s">
        <v>315</v>
      </c>
      <c r="C543" s="417" t="s">
        <v>334</v>
      </c>
      <c r="D543" s="418">
        <v>27680</v>
      </c>
      <c r="E543" s="419">
        <v>34300</v>
      </c>
      <c r="F543" s="418">
        <v>25020</v>
      </c>
      <c r="G543" s="419">
        <v>31640</v>
      </c>
      <c r="H543" s="420">
        <v>250</v>
      </c>
      <c r="I543" s="421">
        <v>310</v>
      </c>
      <c r="J543" s="422" t="s">
        <v>731</v>
      </c>
      <c r="K543" s="420">
        <v>230</v>
      </c>
      <c r="L543" s="421">
        <v>290</v>
      </c>
      <c r="M543" s="422" t="s">
        <v>287</v>
      </c>
      <c r="N543" s="423">
        <v>6620</v>
      </c>
      <c r="O543" s="424">
        <v>60</v>
      </c>
      <c r="P543" s="462"/>
      <c r="Q543" s="462"/>
      <c r="R543" s="1278">
        <v>2400</v>
      </c>
      <c r="S543" s="1281">
        <v>2600</v>
      </c>
      <c r="T543" s="426" t="s">
        <v>288</v>
      </c>
      <c r="U543" s="427">
        <v>5400</v>
      </c>
      <c r="V543" s="428">
        <v>6000</v>
      </c>
      <c r="W543" s="425">
        <v>2330</v>
      </c>
      <c r="X543" s="429">
        <v>20</v>
      </c>
      <c r="Y543" s="1284">
        <v>4500</v>
      </c>
      <c r="Z543" s="1301"/>
      <c r="AA543" s="464"/>
      <c r="AB543" s="1286">
        <v>2660</v>
      </c>
      <c r="AC543" s="1289">
        <v>20</v>
      </c>
      <c r="AD543" s="1292" t="s">
        <v>290</v>
      </c>
      <c r="AE543" s="1294" t="s">
        <v>290</v>
      </c>
      <c r="AF543" s="1294" t="s">
        <v>290</v>
      </c>
      <c r="AG543" s="1297" t="s">
        <v>290</v>
      </c>
      <c r="AH543" s="1269" t="s">
        <v>296</v>
      </c>
    </row>
    <row r="544" spans="1:34" ht="13.5" customHeight="1">
      <c r="A544" s="431" t="s">
        <v>325</v>
      </c>
      <c r="B544" s="432" t="s">
        <v>315</v>
      </c>
      <c r="C544" s="433" t="s">
        <v>336</v>
      </c>
      <c r="D544" s="434">
        <v>34300</v>
      </c>
      <c r="E544" s="435">
        <v>88720</v>
      </c>
      <c r="F544" s="434">
        <v>31640</v>
      </c>
      <c r="G544" s="435">
        <v>86060</v>
      </c>
      <c r="H544" s="436">
        <v>310</v>
      </c>
      <c r="I544" s="437">
        <v>780</v>
      </c>
      <c r="J544" s="438" t="s">
        <v>731</v>
      </c>
      <c r="K544" s="436">
        <v>290</v>
      </c>
      <c r="L544" s="437">
        <v>750</v>
      </c>
      <c r="M544" s="438" t="s">
        <v>287</v>
      </c>
      <c r="N544" s="439">
        <v>6620</v>
      </c>
      <c r="O544" s="440">
        <v>60</v>
      </c>
      <c r="P544" s="462"/>
      <c r="Q544" s="462"/>
      <c r="R544" s="1279"/>
      <c r="S544" s="1282"/>
      <c r="T544" s="393" t="s">
        <v>292</v>
      </c>
      <c r="U544" s="442">
        <v>2900</v>
      </c>
      <c r="V544" s="443">
        <v>3300</v>
      </c>
      <c r="W544" s="441">
        <v>2330</v>
      </c>
      <c r="X544" s="444">
        <v>20</v>
      </c>
      <c r="Y544" s="1285"/>
      <c r="Z544" s="1301"/>
      <c r="AA544" s="464"/>
      <c r="AB544" s="1287"/>
      <c r="AC544" s="1290"/>
      <c r="AD544" s="1293"/>
      <c r="AE544" s="1295"/>
      <c r="AF544" s="1295"/>
      <c r="AG544" s="1298"/>
      <c r="AH544" s="1270"/>
    </row>
    <row r="545" spans="1:34" ht="13.5" customHeight="1">
      <c r="A545" s="431" t="s">
        <v>325</v>
      </c>
      <c r="B545" s="432" t="s">
        <v>315</v>
      </c>
      <c r="C545" s="433" t="s">
        <v>337</v>
      </c>
      <c r="D545" s="434">
        <v>88720</v>
      </c>
      <c r="E545" s="435">
        <v>154980</v>
      </c>
      <c r="F545" s="434">
        <v>86060</v>
      </c>
      <c r="G545" s="435">
        <v>152320</v>
      </c>
      <c r="H545" s="436">
        <v>780</v>
      </c>
      <c r="I545" s="437">
        <v>1440</v>
      </c>
      <c r="J545" s="438" t="s">
        <v>731</v>
      </c>
      <c r="K545" s="436">
        <v>750</v>
      </c>
      <c r="L545" s="437">
        <v>1410</v>
      </c>
      <c r="M545" s="438" t="s">
        <v>287</v>
      </c>
      <c r="N545" s="446"/>
      <c r="O545" s="447"/>
      <c r="P545" s="441"/>
      <c r="Q545" s="441"/>
      <c r="R545" s="1279"/>
      <c r="S545" s="1282"/>
      <c r="T545" s="393" t="s">
        <v>293</v>
      </c>
      <c r="U545" s="442">
        <v>2500</v>
      </c>
      <c r="V545" s="443">
        <v>2800</v>
      </c>
      <c r="W545" s="441">
        <v>2330</v>
      </c>
      <c r="X545" s="444">
        <v>20</v>
      </c>
      <c r="Y545" s="448"/>
      <c r="Z545" s="1301"/>
      <c r="AA545" s="464"/>
      <c r="AB545" s="1287"/>
      <c r="AC545" s="1290"/>
      <c r="AD545" s="1271">
        <v>0.02</v>
      </c>
      <c r="AE545" s="1273">
        <v>0.03</v>
      </c>
      <c r="AF545" s="1273">
        <v>0.05</v>
      </c>
      <c r="AG545" s="1275">
        <v>7.0000000000000007E-2</v>
      </c>
      <c r="AH545" s="1277">
        <v>0.99</v>
      </c>
    </row>
    <row r="546" spans="1:34" ht="13.5" customHeight="1">
      <c r="A546" s="431" t="s">
        <v>325</v>
      </c>
      <c r="B546" s="449" t="s">
        <v>315</v>
      </c>
      <c r="C546" s="450" t="s">
        <v>338</v>
      </c>
      <c r="D546" s="451">
        <v>154980</v>
      </c>
      <c r="E546" s="452"/>
      <c r="F546" s="451">
        <v>152320</v>
      </c>
      <c r="G546" s="452"/>
      <c r="H546" s="439">
        <v>1440</v>
      </c>
      <c r="I546" s="453"/>
      <c r="J546" s="454" t="s">
        <v>731</v>
      </c>
      <c r="K546" s="439">
        <v>1410</v>
      </c>
      <c r="L546" s="453"/>
      <c r="M546" s="454" t="s">
        <v>287</v>
      </c>
      <c r="N546" s="446"/>
      <c r="O546" s="455"/>
      <c r="P546" s="441"/>
      <c r="Q546" s="441"/>
      <c r="R546" s="1280"/>
      <c r="S546" s="1283"/>
      <c r="T546" s="456" t="s">
        <v>294</v>
      </c>
      <c r="U546" s="457">
        <v>2300</v>
      </c>
      <c r="V546" s="458">
        <v>2500</v>
      </c>
      <c r="W546" s="459">
        <v>2330</v>
      </c>
      <c r="X546" s="460">
        <v>20</v>
      </c>
      <c r="Y546" s="448"/>
      <c r="Z546" s="1301"/>
      <c r="AA546" s="464"/>
      <c r="AB546" s="1288"/>
      <c r="AC546" s="1291"/>
      <c r="AD546" s="1272"/>
      <c r="AE546" s="1274"/>
      <c r="AF546" s="1274"/>
      <c r="AG546" s="1276"/>
      <c r="AH546" s="1277"/>
    </row>
    <row r="547" spans="1:34" ht="13.5" customHeight="1">
      <c r="A547" s="431" t="s">
        <v>325</v>
      </c>
      <c r="B547" s="416" t="s">
        <v>316</v>
      </c>
      <c r="C547" s="417" t="s">
        <v>334</v>
      </c>
      <c r="D547" s="418">
        <v>27030</v>
      </c>
      <c r="E547" s="419">
        <v>33650</v>
      </c>
      <c r="F547" s="418">
        <v>24510</v>
      </c>
      <c r="G547" s="419">
        <v>31130</v>
      </c>
      <c r="H547" s="420">
        <v>250</v>
      </c>
      <c r="I547" s="421">
        <v>310</v>
      </c>
      <c r="J547" s="422" t="s">
        <v>731</v>
      </c>
      <c r="K547" s="420">
        <v>220</v>
      </c>
      <c r="L547" s="421">
        <v>280</v>
      </c>
      <c r="M547" s="422" t="s">
        <v>287</v>
      </c>
      <c r="N547" s="423">
        <v>6620</v>
      </c>
      <c r="O547" s="424">
        <v>60</v>
      </c>
      <c r="P547" s="441"/>
      <c r="Q547" s="441"/>
      <c r="R547" s="1278">
        <v>2300</v>
      </c>
      <c r="S547" s="1281">
        <v>2500</v>
      </c>
      <c r="T547" s="426" t="s">
        <v>288</v>
      </c>
      <c r="U547" s="427">
        <v>4800</v>
      </c>
      <c r="V547" s="428">
        <v>5400</v>
      </c>
      <c r="W547" s="425">
        <v>2200</v>
      </c>
      <c r="X547" s="429">
        <v>20</v>
      </c>
      <c r="Y547" s="1284">
        <v>4500</v>
      </c>
      <c r="Z547" s="1301"/>
      <c r="AA547" s="464"/>
      <c r="AB547" s="1286">
        <v>2520</v>
      </c>
      <c r="AC547" s="1289">
        <v>20</v>
      </c>
      <c r="AD547" s="1292" t="s">
        <v>290</v>
      </c>
      <c r="AE547" s="1294" t="s">
        <v>290</v>
      </c>
      <c r="AF547" s="1294" t="s">
        <v>290</v>
      </c>
      <c r="AG547" s="1297" t="s">
        <v>290</v>
      </c>
      <c r="AH547" s="1269" t="s">
        <v>296</v>
      </c>
    </row>
    <row r="548" spans="1:34" ht="13.5" customHeight="1">
      <c r="A548" s="431" t="s">
        <v>325</v>
      </c>
      <c r="B548" s="432" t="s">
        <v>317</v>
      </c>
      <c r="C548" s="433" t="s">
        <v>336</v>
      </c>
      <c r="D548" s="434">
        <v>33650</v>
      </c>
      <c r="E548" s="435">
        <v>88070</v>
      </c>
      <c r="F548" s="434">
        <v>31130</v>
      </c>
      <c r="G548" s="435">
        <v>85550</v>
      </c>
      <c r="H548" s="436">
        <v>310</v>
      </c>
      <c r="I548" s="437">
        <v>770</v>
      </c>
      <c r="J548" s="438" t="s">
        <v>731</v>
      </c>
      <c r="K548" s="436">
        <v>280</v>
      </c>
      <c r="L548" s="437">
        <v>750</v>
      </c>
      <c r="M548" s="438" t="s">
        <v>287</v>
      </c>
      <c r="N548" s="439">
        <v>6620</v>
      </c>
      <c r="O548" s="440">
        <v>60</v>
      </c>
      <c r="P548" s="441"/>
      <c r="Q548" s="441"/>
      <c r="R548" s="1279"/>
      <c r="S548" s="1282"/>
      <c r="T548" s="393" t="s">
        <v>292</v>
      </c>
      <c r="U548" s="442">
        <v>2600</v>
      </c>
      <c r="V548" s="443">
        <v>2900</v>
      </c>
      <c r="W548" s="441">
        <v>2200</v>
      </c>
      <c r="X548" s="444">
        <v>20</v>
      </c>
      <c r="Y548" s="1285"/>
      <c r="Z548" s="1301"/>
      <c r="AA548" s="464"/>
      <c r="AB548" s="1287"/>
      <c r="AC548" s="1290"/>
      <c r="AD548" s="1293"/>
      <c r="AE548" s="1295"/>
      <c r="AF548" s="1295"/>
      <c r="AG548" s="1298"/>
      <c r="AH548" s="1270"/>
    </row>
    <row r="549" spans="1:34" ht="13.5" customHeight="1">
      <c r="A549" s="431" t="s">
        <v>325</v>
      </c>
      <c r="B549" s="432" t="s">
        <v>316</v>
      </c>
      <c r="C549" s="433" t="s">
        <v>337</v>
      </c>
      <c r="D549" s="434">
        <v>88070</v>
      </c>
      <c r="E549" s="435">
        <v>154330</v>
      </c>
      <c r="F549" s="434">
        <v>85550</v>
      </c>
      <c r="G549" s="435">
        <v>151810</v>
      </c>
      <c r="H549" s="436">
        <v>770</v>
      </c>
      <c r="I549" s="437">
        <v>1430</v>
      </c>
      <c r="J549" s="438" t="s">
        <v>731</v>
      </c>
      <c r="K549" s="436">
        <v>750</v>
      </c>
      <c r="L549" s="437">
        <v>1410</v>
      </c>
      <c r="M549" s="438" t="s">
        <v>287</v>
      </c>
      <c r="N549" s="446"/>
      <c r="O549" s="447"/>
      <c r="P549" s="441"/>
      <c r="Q549" s="441"/>
      <c r="R549" s="1279"/>
      <c r="S549" s="1282"/>
      <c r="T549" s="393" t="s">
        <v>293</v>
      </c>
      <c r="U549" s="442">
        <v>2300</v>
      </c>
      <c r="V549" s="443">
        <v>2500</v>
      </c>
      <c r="W549" s="441">
        <v>2200</v>
      </c>
      <c r="X549" s="444">
        <v>20</v>
      </c>
      <c r="Y549" s="448"/>
      <c r="Z549" s="1301"/>
      <c r="AA549" s="464"/>
      <c r="AB549" s="1287"/>
      <c r="AC549" s="1290"/>
      <c r="AD549" s="1271">
        <v>0.02</v>
      </c>
      <c r="AE549" s="1273">
        <v>0.04</v>
      </c>
      <c r="AF549" s="1273">
        <v>0.05</v>
      </c>
      <c r="AG549" s="1275">
        <v>7.0000000000000007E-2</v>
      </c>
      <c r="AH549" s="1277">
        <v>0.99</v>
      </c>
    </row>
    <row r="550" spans="1:34" ht="13.5" customHeight="1">
      <c r="A550" s="463" t="s">
        <v>325</v>
      </c>
      <c r="B550" s="449" t="s">
        <v>316</v>
      </c>
      <c r="C550" s="450" t="s">
        <v>338</v>
      </c>
      <c r="D550" s="451">
        <v>154330</v>
      </c>
      <c r="E550" s="452"/>
      <c r="F550" s="451">
        <v>151810</v>
      </c>
      <c r="G550" s="452"/>
      <c r="H550" s="439">
        <v>1430</v>
      </c>
      <c r="I550" s="453"/>
      <c r="J550" s="454" t="s">
        <v>731</v>
      </c>
      <c r="K550" s="439">
        <v>1410</v>
      </c>
      <c r="L550" s="453"/>
      <c r="M550" s="454" t="s">
        <v>287</v>
      </c>
      <c r="N550" s="446"/>
      <c r="O550" s="465"/>
      <c r="P550" s="459"/>
      <c r="Q550" s="459"/>
      <c r="R550" s="1280"/>
      <c r="S550" s="1283"/>
      <c r="T550" s="456" t="s">
        <v>294</v>
      </c>
      <c r="U550" s="457">
        <v>2000</v>
      </c>
      <c r="V550" s="458">
        <v>2300</v>
      </c>
      <c r="W550" s="459">
        <v>2200</v>
      </c>
      <c r="X550" s="460">
        <v>20</v>
      </c>
      <c r="Y550" s="448"/>
      <c r="Z550" s="1301"/>
      <c r="AA550" s="403"/>
      <c r="AB550" s="1288"/>
      <c r="AC550" s="1291"/>
      <c r="AD550" s="1272"/>
      <c r="AE550" s="1274"/>
      <c r="AF550" s="1274"/>
      <c r="AG550" s="1276"/>
      <c r="AH550" s="1296"/>
    </row>
  </sheetData>
  <mergeCells count="2196">
    <mergeCell ref="BA60:BD60"/>
    <mergeCell ref="BE60:BG60"/>
    <mergeCell ref="BH60:BK60"/>
    <mergeCell ref="BL60:BQ60"/>
    <mergeCell ref="BR60:BS60"/>
    <mergeCell ref="BT60:BU60"/>
    <mergeCell ref="BV60:BY60"/>
    <mergeCell ref="BZ60:CA60"/>
    <mergeCell ref="CB60:CC60"/>
    <mergeCell ref="BA61:BA62"/>
    <mergeCell ref="BB61:BD61"/>
    <mergeCell ref="BE61:BE62"/>
    <mergeCell ref="BF61:BG61"/>
    <mergeCell ref="BH61:BH62"/>
    <mergeCell ref="BI61:BK61"/>
    <mergeCell ref="BL61:BL62"/>
    <mergeCell ref="BM61:BQ61"/>
    <mergeCell ref="BR61:BR62"/>
    <mergeCell ref="BS61:BS62"/>
    <mergeCell ref="BT61:BT62"/>
    <mergeCell ref="BU61:BU62"/>
    <mergeCell ref="BV61:BV62"/>
    <mergeCell ref="BW61:BY61"/>
    <mergeCell ref="BZ61:BZ62"/>
    <mergeCell ref="CA61:CA62"/>
    <mergeCell ref="CB61:CB62"/>
    <mergeCell ref="CC61:CC62"/>
    <mergeCell ref="AR33:AR45"/>
    <mergeCell ref="AV33:AW34"/>
    <mergeCell ref="BB33:BC34"/>
    <mergeCell ref="BD33:BF34"/>
    <mergeCell ref="BG33:BH34"/>
    <mergeCell ref="AX33:AY34"/>
    <mergeCell ref="BI33:BL33"/>
    <mergeCell ref="BM33:BM36"/>
    <mergeCell ref="BI34:BI36"/>
    <mergeCell ref="BJ34:BJ36"/>
    <mergeCell ref="BK34:BK36"/>
    <mergeCell ref="BL34:BL36"/>
    <mergeCell ref="AW35:AW36"/>
    <mergeCell ref="BB35:BC35"/>
    <mergeCell ref="BE35:BF35"/>
    <mergeCell ref="BH35:BH36"/>
    <mergeCell ref="AV37:AW37"/>
    <mergeCell ref="BB37:BC37"/>
    <mergeCell ref="BD37:BF37"/>
    <mergeCell ref="BG37:BH37"/>
    <mergeCell ref="BI37:BL37"/>
    <mergeCell ref="AZ33:BA34"/>
    <mergeCell ref="AR1:AR13"/>
    <mergeCell ref="AR17:AR29"/>
    <mergeCell ref="AV17:AW17"/>
    <mergeCell ref="AX17:AY17"/>
    <mergeCell ref="AZ17:BA18"/>
    <mergeCell ref="BB17:BE17"/>
    <mergeCell ref="BF17:BF20"/>
    <mergeCell ref="BB18:BB20"/>
    <mergeCell ref="BC18:BC20"/>
    <mergeCell ref="BD18:BD20"/>
    <mergeCell ref="BE18:BE20"/>
    <mergeCell ref="BA19:BA20"/>
    <mergeCell ref="AZ21:BA21"/>
    <mergeCell ref="BB21:BE21"/>
    <mergeCell ref="BF1:BF4"/>
    <mergeCell ref="AZ5:BA5"/>
    <mergeCell ref="BB5:BE5"/>
    <mergeCell ref="AV1:AW1"/>
    <mergeCell ref="AX1:AY1"/>
    <mergeCell ref="BB2:BB4"/>
    <mergeCell ref="BC2:BC4"/>
    <mergeCell ref="BD2:BD4"/>
    <mergeCell ref="BE2:BE4"/>
    <mergeCell ref="BA3:BA4"/>
    <mergeCell ref="AZ1:BA2"/>
    <mergeCell ref="BB1:BE1"/>
    <mergeCell ref="AH1:AH4"/>
    <mergeCell ref="D2:E2"/>
    <mergeCell ref="F2:G2"/>
    <mergeCell ref="H2:J2"/>
    <mergeCell ref="K2:M2"/>
    <mergeCell ref="P2:P4"/>
    <mergeCell ref="Q2:Q4"/>
    <mergeCell ref="AD2:AD4"/>
    <mergeCell ref="N1:O2"/>
    <mergeCell ref="R1:S2"/>
    <mergeCell ref="T1:V2"/>
    <mergeCell ref="W1:X2"/>
    <mergeCell ref="Y1:Y4"/>
    <mergeCell ref="AA1:AA4"/>
    <mergeCell ref="A1:A4"/>
    <mergeCell ref="B1:B4"/>
    <mergeCell ref="C1:C4"/>
    <mergeCell ref="D1:G1"/>
    <mergeCell ref="H1:M1"/>
    <mergeCell ref="D5:E5"/>
    <mergeCell ref="F5:G5"/>
    <mergeCell ref="H5:J5"/>
    <mergeCell ref="K5:M5"/>
    <mergeCell ref="N5:O5"/>
    <mergeCell ref="R5:S5"/>
    <mergeCell ref="AE2:AE4"/>
    <mergeCell ref="AF2:AF4"/>
    <mergeCell ref="AG2:AG4"/>
    <mergeCell ref="D3:E3"/>
    <mergeCell ref="F3:G3"/>
    <mergeCell ref="O3:O4"/>
    <mergeCell ref="R3:S3"/>
    <mergeCell ref="U3:V3"/>
    <mergeCell ref="X3:X4"/>
    <mergeCell ref="AC3:AC4"/>
    <mergeCell ref="AB1:AC2"/>
    <mergeCell ref="AD1:AG1"/>
    <mergeCell ref="AD9:AD10"/>
    <mergeCell ref="AE9:AE10"/>
    <mergeCell ref="AF9:AF10"/>
    <mergeCell ref="AG9:AG10"/>
    <mergeCell ref="AH9:AH10"/>
    <mergeCell ref="AC7:AC10"/>
    <mergeCell ref="AD7:AD8"/>
    <mergeCell ref="AE7:AE8"/>
    <mergeCell ref="AF7:AF8"/>
    <mergeCell ref="AG7:AG8"/>
    <mergeCell ref="AH7:AH8"/>
    <mergeCell ref="T5:V5"/>
    <mergeCell ref="W5:X5"/>
    <mergeCell ref="AB5:AC5"/>
    <mergeCell ref="AD5:AG5"/>
    <mergeCell ref="R7:R10"/>
    <mergeCell ref="S7:S10"/>
    <mergeCell ref="Y7:Y8"/>
    <mergeCell ref="Z7:Z74"/>
    <mergeCell ref="AB7:AB10"/>
    <mergeCell ref="AG15:AG16"/>
    <mergeCell ref="AH15:AH16"/>
    <mergeCell ref="AD17:AD18"/>
    <mergeCell ref="AE17:AE18"/>
    <mergeCell ref="AF17:AF18"/>
    <mergeCell ref="AG17:AG18"/>
    <mergeCell ref="AH17:AH18"/>
    <mergeCell ref="AH13:AH14"/>
    <mergeCell ref="R15:R18"/>
    <mergeCell ref="S15:S18"/>
    <mergeCell ref="Y15:Y16"/>
    <mergeCell ref="AB15:AB18"/>
    <mergeCell ref="AC15:AC18"/>
    <mergeCell ref="AD15:AD16"/>
    <mergeCell ref="AE15:AE16"/>
    <mergeCell ref="AF15:AF16"/>
    <mergeCell ref="AD11:AD12"/>
    <mergeCell ref="AE11:AE12"/>
    <mergeCell ref="AF11:AF12"/>
    <mergeCell ref="AG11:AG12"/>
    <mergeCell ref="AH11:AH12"/>
    <mergeCell ref="AD13:AD14"/>
    <mergeCell ref="AE13:AE14"/>
    <mergeCell ref="AF13:AF14"/>
    <mergeCell ref="AG13:AG14"/>
    <mergeCell ref="R11:R14"/>
    <mergeCell ref="S11:S14"/>
    <mergeCell ref="Y11:Y12"/>
    <mergeCell ref="AB11:AB14"/>
    <mergeCell ref="AC11:AC14"/>
    <mergeCell ref="AH19:AH20"/>
    <mergeCell ref="AD21:AD22"/>
    <mergeCell ref="AE21:AE22"/>
    <mergeCell ref="AF21:AF22"/>
    <mergeCell ref="AG21:AG22"/>
    <mergeCell ref="AH21:AH22"/>
    <mergeCell ref="AB19:AB22"/>
    <mergeCell ref="AC19:AC22"/>
    <mergeCell ref="AD19:AD20"/>
    <mergeCell ref="AE19:AE20"/>
    <mergeCell ref="AF19:AF20"/>
    <mergeCell ref="AG19:AG20"/>
    <mergeCell ref="P19:P21"/>
    <mergeCell ref="Q19:Q21"/>
    <mergeCell ref="R19:R22"/>
    <mergeCell ref="S19:S22"/>
    <mergeCell ref="Y19:Y20"/>
    <mergeCell ref="AG27:AG28"/>
    <mergeCell ref="AH27:AH28"/>
    <mergeCell ref="AD29:AD30"/>
    <mergeCell ref="AE29:AE30"/>
    <mergeCell ref="AF29:AF30"/>
    <mergeCell ref="AG29:AG30"/>
    <mergeCell ref="AH29:AH30"/>
    <mergeCell ref="AH25:AH26"/>
    <mergeCell ref="R27:R30"/>
    <mergeCell ref="S27:S30"/>
    <mergeCell ref="Y27:Y28"/>
    <mergeCell ref="AB27:AB30"/>
    <mergeCell ref="AC27:AC30"/>
    <mergeCell ref="AD27:AD28"/>
    <mergeCell ref="AE27:AE28"/>
    <mergeCell ref="AF27:AF28"/>
    <mergeCell ref="AD23:AD24"/>
    <mergeCell ref="AE23:AE24"/>
    <mergeCell ref="AF23:AF24"/>
    <mergeCell ref="AG23:AG24"/>
    <mergeCell ref="AH23:AH24"/>
    <mergeCell ref="AD25:AD26"/>
    <mergeCell ref="AE25:AE26"/>
    <mergeCell ref="AF25:AF26"/>
    <mergeCell ref="AG25:AG26"/>
    <mergeCell ref="R23:R26"/>
    <mergeCell ref="S23:S26"/>
    <mergeCell ref="Y23:Y24"/>
    <mergeCell ref="AB23:AB26"/>
    <mergeCell ref="AC23:AC26"/>
    <mergeCell ref="AG35:AG36"/>
    <mergeCell ref="AH35:AH36"/>
    <mergeCell ref="AD37:AD38"/>
    <mergeCell ref="AE37:AE38"/>
    <mergeCell ref="AF37:AF38"/>
    <mergeCell ref="AG37:AG38"/>
    <mergeCell ref="AH37:AH38"/>
    <mergeCell ref="AH33:AH34"/>
    <mergeCell ref="R35:R38"/>
    <mergeCell ref="S35:S38"/>
    <mergeCell ref="Y35:Y36"/>
    <mergeCell ref="AB35:AB38"/>
    <mergeCell ref="AC35:AC38"/>
    <mergeCell ref="AD35:AD36"/>
    <mergeCell ref="AE35:AE36"/>
    <mergeCell ref="AF35:AF36"/>
    <mergeCell ref="AD31:AD32"/>
    <mergeCell ref="AE31:AE32"/>
    <mergeCell ref="AF31:AF32"/>
    <mergeCell ref="AG31:AG32"/>
    <mergeCell ref="AH31:AH32"/>
    <mergeCell ref="AD33:AD34"/>
    <mergeCell ref="AE33:AE34"/>
    <mergeCell ref="AF33:AF34"/>
    <mergeCell ref="AG33:AG34"/>
    <mergeCell ref="R31:R34"/>
    <mergeCell ref="S31:S34"/>
    <mergeCell ref="Y31:Y32"/>
    <mergeCell ref="AB31:AB34"/>
    <mergeCell ref="AC31:AC34"/>
    <mergeCell ref="AG43:AG44"/>
    <mergeCell ref="AH43:AH44"/>
    <mergeCell ref="AD45:AD46"/>
    <mergeCell ref="AE45:AE46"/>
    <mergeCell ref="AF45:AF46"/>
    <mergeCell ref="AG45:AG46"/>
    <mergeCell ref="AH45:AH46"/>
    <mergeCell ref="AH41:AH42"/>
    <mergeCell ref="R43:R46"/>
    <mergeCell ref="S43:S46"/>
    <mergeCell ref="Y43:Y44"/>
    <mergeCell ref="AB43:AB46"/>
    <mergeCell ref="AC43:AC46"/>
    <mergeCell ref="AD43:AD44"/>
    <mergeCell ref="AE43:AE44"/>
    <mergeCell ref="AF43:AF44"/>
    <mergeCell ref="AC39:AC42"/>
    <mergeCell ref="AD39:AD40"/>
    <mergeCell ref="AE39:AE40"/>
    <mergeCell ref="AF39:AF40"/>
    <mergeCell ref="AG39:AG40"/>
    <mergeCell ref="AH39:AH40"/>
    <mergeCell ref="AD41:AD42"/>
    <mergeCell ref="AE41:AE42"/>
    <mergeCell ref="AF41:AF42"/>
    <mergeCell ref="AG41:AG42"/>
    <mergeCell ref="R39:R42"/>
    <mergeCell ref="S39:S42"/>
    <mergeCell ref="Y39:Y40"/>
    <mergeCell ref="AA39:AA40"/>
    <mergeCell ref="AB39:AB42"/>
    <mergeCell ref="AA41:AA42"/>
    <mergeCell ref="AG51:AG52"/>
    <mergeCell ref="AH51:AH52"/>
    <mergeCell ref="AD53:AD54"/>
    <mergeCell ref="AE53:AE54"/>
    <mergeCell ref="AF53:AF54"/>
    <mergeCell ref="AG53:AG54"/>
    <mergeCell ref="AH53:AH54"/>
    <mergeCell ref="AH49:AH50"/>
    <mergeCell ref="R51:R54"/>
    <mergeCell ref="S51:S54"/>
    <mergeCell ref="Y51:Y52"/>
    <mergeCell ref="AB51:AB54"/>
    <mergeCell ref="AC51:AC54"/>
    <mergeCell ref="AD51:AD52"/>
    <mergeCell ref="AE51:AE52"/>
    <mergeCell ref="AF51:AF52"/>
    <mergeCell ref="AD47:AD48"/>
    <mergeCell ref="AE47:AE48"/>
    <mergeCell ref="AF47:AF48"/>
    <mergeCell ref="AG47:AG48"/>
    <mergeCell ref="AH47:AH48"/>
    <mergeCell ref="AD49:AD50"/>
    <mergeCell ref="AE49:AE50"/>
    <mergeCell ref="AF49:AF50"/>
    <mergeCell ref="AG49:AG50"/>
    <mergeCell ref="R47:R50"/>
    <mergeCell ref="S47:S50"/>
    <mergeCell ref="Y47:Y48"/>
    <mergeCell ref="AB47:AB50"/>
    <mergeCell ref="AC47:AC50"/>
    <mergeCell ref="AG59:AG60"/>
    <mergeCell ref="AH59:AH60"/>
    <mergeCell ref="AD61:AD62"/>
    <mergeCell ref="AE61:AE62"/>
    <mergeCell ref="AF61:AF62"/>
    <mergeCell ref="AG61:AG62"/>
    <mergeCell ref="AH61:AH62"/>
    <mergeCell ref="AH57:AH58"/>
    <mergeCell ref="R59:R62"/>
    <mergeCell ref="S59:S62"/>
    <mergeCell ref="Y59:Y60"/>
    <mergeCell ref="AB59:AB62"/>
    <mergeCell ref="AC59:AC62"/>
    <mergeCell ref="AD59:AD60"/>
    <mergeCell ref="AE59:AE60"/>
    <mergeCell ref="AF59:AF60"/>
    <mergeCell ref="AD55:AD56"/>
    <mergeCell ref="AE55:AE56"/>
    <mergeCell ref="AF55:AF56"/>
    <mergeCell ref="AG55:AG56"/>
    <mergeCell ref="AH55:AH56"/>
    <mergeCell ref="AD57:AD58"/>
    <mergeCell ref="AE57:AE58"/>
    <mergeCell ref="AF57:AF58"/>
    <mergeCell ref="AG57:AG58"/>
    <mergeCell ref="R55:R58"/>
    <mergeCell ref="S55:S58"/>
    <mergeCell ref="Y55:Y56"/>
    <mergeCell ref="AB55:AB58"/>
    <mergeCell ref="AC55:AC58"/>
    <mergeCell ref="AH65:AH66"/>
    <mergeCell ref="R67:R70"/>
    <mergeCell ref="S67:S70"/>
    <mergeCell ref="Y67:Y68"/>
    <mergeCell ref="AB67:AB70"/>
    <mergeCell ref="AC67:AC70"/>
    <mergeCell ref="AD67:AD68"/>
    <mergeCell ref="AE67:AE68"/>
    <mergeCell ref="AF67:AF68"/>
    <mergeCell ref="AD63:AD64"/>
    <mergeCell ref="AE63:AE64"/>
    <mergeCell ref="AF63:AF64"/>
    <mergeCell ref="AG63:AG64"/>
    <mergeCell ref="AH63:AH64"/>
    <mergeCell ref="AD65:AD66"/>
    <mergeCell ref="AE65:AE66"/>
    <mergeCell ref="AF65:AF66"/>
    <mergeCell ref="AG65:AG66"/>
    <mergeCell ref="R63:R66"/>
    <mergeCell ref="S63:S66"/>
    <mergeCell ref="Y63:Y64"/>
    <mergeCell ref="AB63:AB66"/>
    <mergeCell ref="AC63:AC66"/>
    <mergeCell ref="AD71:AD72"/>
    <mergeCell ref="AE71:AE72"/>
    <mergeCell ref="AF71:AF72"/>
    <mergeCell ref="AG71:AG72"/>
    <mergeCell ref="AH71:AH72"/>
    <mergeCell ref="AD73:AD74"/>
    <mergeCell ref="AE73:AE74"/>
    <mergeCell ref="AF73:AF74"/>
    <mergeCell ref="AG73:AG74"/>
    <mergeCell ref="R71:R74"/>
    <mergeCell ref="S71:S74"/>
    <mergeCell ref="Y71:Y72"/>
    <mergeCell ref="AB71:AB74"/>
    <mergeCell ref="AC71:AC74"/>
    <mergeCell ref="AG67:AG68"/>
    <mergeCell ref="AH67:AH68"/>
    <mergeCell ref="AD69:AD70"/>
    <mergeCell ref="AE69:AE70"/>
    <mergeCell ref="AF69:AF70"/>
    <mergeCell ref="AG69:AG70"/>
    <mergeCell ref="AH69:AH70"/>
    <mergeCell ref="AF75:AF76"/>
    <mergeCell ref="AG75:AG76"/>
    <mergeCell ref="AH75:AH76"/>
    <mergeCell ref="AD77:AD78"/>
    <mergeCell ref="AE77:AE78"/>
    <mergeCell ref="AF77:AF78"/>
    <mergeCell ref="AG77:AG78"/>
    <mergeCell ref="AH77:AH78"/>
    <mergeCell ref="AH73:AH74"/>
    <mergeCell ref="R75:R78"/>
    <mergeCell ref="S75:S78"/>
    <mergeCell ref="Y75:Y76"/>
    <mergeCell ref="Z75:Z142"/>
    <mergeCell ref="AB75:AB78"/>
    <mergeCell ref="AC75:AC78"/>
    <mergeCell ref="AD75:AD76"/>
    <mergeCell ref="AE75:AE76"/>
    <mergeCell ref="AG83:AG84"/>
    <mergeCell ref="AH83:AH84"/>
    <mergeCell ref="AD85:AD86"/>
    <mergeCell ref="AE85:AE86"/>
    <mergeCell ref="AF85:AF86"/>
    <mergeCell ref="AG85:AG86"/>
    <mergeCell ref="AH85:AH86"/>
    <mergeCell ref="AH81:AH82"/>
    <mergeCell ref="R83:R86"/>
    <mergeCell ref="S83:S86"/>
    <mergeCell ref="Y83:Y84"/>
    <mergeCell ref="AB83:AB86"/>
    <mergeCell ref="AC83:AC86"/>
    <mergeCell ref="AD83:AD84"/>
    <mergeCell ref="AE83:AE84"/>
    <mergeCell ref="AF83:AF84"/>
    <mergeCell ref="AD79:AD80"/>
    <mergeCell ref="AE79:AE80"/>
    <mergeCell ref="AF79:AF80"/>
    <mergeCell ref="AG79:AG80"/>
    <mergeCell ref="AH79:AH80"/>
    <mergeCell ref="AD81:AD82"/>
    <mergeCell ref="AE81:AE82"/>
    <mergeCell ref="AF81:AF82"/>
    <mergeCell ref="AG81:AG82"/>
    <mergeCell ref="R79:R82"/>
    <mergeCell ref="S79:S82"/>
    <mergeCell ref="Y79:Y80"/>
    <mergeCell ref="AB79:AB82"/>
    <mergeCell ref="AC79:AC82"/>
    <mergeCell ref="AH87:AH88"/>
    <mergeCell ref="AD89:AD90"/>
    <mergeCell ref="AE89:AE90"/>
    <mergeCell ref="AF89:AF90"/>
    <mergeCell ref="AG89:AG90"/>
    <mergeCell ref="AH89:AH90"/>
    <mergeCell ref="AB87:AB90"/>
    <mergeCell ref="AC87:AC90"/>
    <mergeCell ref="AD87:AD88"/>
    <mergeCell ref="AE87:AE88"/>
    <mergeCell ref="AF87:AF88"/>
    <mergeCell ref="AG87:AG88"/>
    <mergeCell ref="P87:P89"/>
    <mergeCell ref="Q87:Q89"/>
    <mergeCell ref="R87:R90"/>
    <mergeCell ref="S87:S90"/>
    <mergeCell ref="Y87:Y88"/>
    <mergeCell ref="AG95:AG96"/>
    <mergeCell ref="AH95:AH96"/>
    <mergeCell ref="AD97:AD98"/>
    <mergeCell ref="AE97:AE98"/>
    <mergeCell ref="AF97:AF98"/>
    <mergeCell ref="AG97:AG98"/>
    <mergeCell ref="AH97:AH98"/>
    <mergeCell ref="AH93:AH94"/>
    <mergeCell ref="R95:R98"/>
    <mergeCell ref="S95:S98"/>
    <mergeCell ref="Y95:Y96"/>
    <mergeCell ref="AB95:AB98"/>
    <mergeCell ref="AC95:AC98"/>
    <mergeCell ref="AD95:AD96"/>
    <mergeCell ref="AE95:AE96"/>
    <mergeCell ref="AF95:AF96"/>
    <mergeCell ref="AD91:AD92"/>
    <mergeCell ref="AE91:AE92"/>
    <mergeCell ref="AF91:AF92"/>
    <mergeCell ref="AG91:AG92"/>
    <mergeCell ref="AH91:AH92"/>
    <mergeCell ref="AD93:AD94"/>
    <mergeCell ref="AE93:AE94"/>
    <mergeCell ref="AF93:AF94"/>
    <mergeCell ref="AG93:AG94"/>
    <mergeCell ref="R91:R94"/>
    <mergeCell ref="S91:S94"/>
    <mergeCell ref="Y91:Y92"/>
    <mergeCell ref="AB91:AB94"/>
    <mergeCell ref="AC91:AC94"/>
    <mergeCell ref="AG103:AG104"/>
    <mergeCell ref="AH103:AH104"/>
    <mergeCell ref="AD105:AD106"/>
    <mergeCell ref="AE105:AE106"/>
    <mergeCell ref="AF105:AF106"/>
    <mergeCell ref="AG105:AG106"/>
    <mergeCell ref="AH105:AH106"/>
    <mergeCell ref="AH101:AH102"/>
    <mergeCell ref="R103:R106"/>
    <mergeCell ref="S103:S106"/>
    <mergeCell ref="Y103:Y104"/>
    <mergeCell ref="AB103:AB106"/>
    <mergeCell ref="AC103:AC106"/>
    <mergeCell ref="AD103:AD104"/>
    <mergeCell ref="AE103:AE104"/>
    <mergeCell ref="AF103:AF104"/>
    <mergeCell ref="AD99:AD100"/>
    <mergeCell ref="AE99:AE100"/>
    <mergeCell ref="AF99:AF100"/>
    <mergeCell ref="AG99:AG100"/>
    <mergeCell ref="AH99:AH100"/>
    <mergeCell ref="AD101:AD102"/>
    <mergeCell ref="AE101:AE102"/>
    <mergeCell ref="AF101:AF102"/>
    <mergeCell ref="AG101:AG102"/>
    <mergeCell ref="R99:R102"/>
    <mergeCell ref="S99:S102"/>
    <mergeCell ref="Y99:Y100"/>
    <mergeCell ref="AB99:AB102"/>
    <mergeCell ref="AC99:AC102"/>
    <mergeCell ref="AG111:AG112"/>
    <mergeCell ref="AH111:AH112"/>
    <mergeCell ref="AD113:AD114"/>
    <mergeCell ref="AE113:AE114"/>
    <mergeCell ref="AF113:AF114"/>
    <mergeCell ref="AG113:AG114"/>
    <mergeCell ref="AH113:AH114"/>
    <mergeCell ref="AH109:AH110"/>
    <mergeCell ref="R111:R114"/>
    <mergeCell ref="S111:S114"/>
    <mergeCell ref="Y111:Y112"/>
    <mergeCell ref="AB111:AB114"/>
    <mergeCell ref="AC111:AC114"/>
    <mergeCell ref="AD111:AD112"/>
    <mergeCell ref="AE111:AE112"/>
    <mergeCell ref="AF111:AF112"/>
    <mergeCell ref="AC107:AC110"/>
    <mergeCell ref="AD107:AD108"/>
    <mergeCell ref="AE107:AE108"/>
    <mergeCell ref="AF107:AF108"/>
    <mergeCell ref="AG107:AG108"/>
    <mergeCell ref="AH107:AH108"/>
    <mergeCell ref="AD109:AD110"/>
    <mergeCell ref="AE109:AE110"/>
    <mergeCell ref="AF109:AF110"/>
    <mergeCell ref="AG109:AG110"/>
    <mergeCell ref="R107:R110"/>
    <mergeCell ref="S107:S110"/>
    <mergeCell ref="Y107:Y108"/>
    <mergeCell ref="AA107:AA108"/>
    <mergeCell ref="AB107:AB110"/>
    <mergeCell ref="AA109:AA110"/>
    <mergeCell ref="AG119:AG120"/>
    <mergeCell ref="AH119:AH120"/>
    <mergeCell ref="AD121:AD122"/>
    <mergeCell ref="AE121:AE122"/>
    <mergeCell ref="AF121:AF122"/>
    <mergeCell ref="AG121:AG122"/>
    <mergeCell ref="AH121:AH122"/>
    <mergeCell ref="AH117:AH118"/>
    <mergeCell ref="R119:R122"/>
    <mergeCell ref="S119:S122"/>
    <mergeCell ref="Y119:Y120"/>
    <mergeCell ref="AB119:AB122"/>
    <mergeCell ref="AC119:AC122"/>
    <mergeCell ref="AD119:AD120"/>
    <mergeCell ref="AE119:AE120"/>
    <mergeCell ref="AF119:AF120"/>
    <mergeCell ref="AD115:AD116"/>
    <mergeCell ref="AE115:AE116"/>
    <mergeCell ref="AF115:AF116"/>
    <mergeCell ref="AG115:AG116"/>
    <mergeCell ref="AH115:AH116"/>
    <mergeCell ref="AD117:AD118"/>
    <mergeCell ref="AE117:AE118"/>
    <mergeCell ref="AF117:AF118"/>
    <mergeCell ref="AG117:AG118"/>
    <mergeCell ref="R115:R118"/>
    <mergeCell ref="S115:S118"/>
    <mergeCell ref="Y115:Y116"/>
    <mergeCell ref="AB115:AB118"/>
    <mergeCell ref="AC115:AC118"/>
    <mergeCell ref="AG127:AG128"/>
    <mergeCell ref="AH127:AH128"/>
    <mergeCell ref="AD129:AD130"/>
    <mergeCell ref="AE129:AE130"/>
    <mergeCell ref="AF129:AF130"/>
    <mergeCell ref="AG129:AG130"/>
    <mergeCell ref="AH129:AH130"/>
    <mergeCell ref="AH125:AH126"/>
    <mergeCell ref="R127:R130"/>
    <mergeCell ref="S127:S130"/>
    <mergeCell ref="Y127:Y128"/>
    <mergeCell ref="AB127:AB130"/>
    <mergeCell ref="AC127:AC130"/>
    <mergeCell ref="AD127:AD128"/>
    <mergeCell ref="AE127:AE128"/>
    <mergeCell ref="AF127:AF128"/>
    <mergeCell ref="AD123:AD124"/>
    <mergeCell ref="AE123:AE124"/>
    <mergeCell ref="AF123:AF124"/>
    <mergeCell ref="AG123:AG124"/>
    <mergeCell ref="AH123:AH124"/>
    <mergeCell ref="AD125:AD126"/>
    <mergeCell ref="AE125:AE126"/>
    <mergeCell ref="AF125:AF126"/>
    <mergeCell ref="AG125:AG126"/>
    <mergeCell ref="R123:R126"/>
    <mergeCell ref="S123:S126"/>
    <mergeCell ref="Y123:Y124"/>
    <mergeCell ref="AB123:AB126"/>
    <mergeCell ref="AC123:AC126"/>
    <mergeCell ref="AH133:AH134"/>
    <mergeCell ref="R135:R138"/>
    <mergeCell ref="S135:S138"/>
    <mergeCell ref="Y135:Y136"/>
    <mergeCell ref="AB135:AB138"/>
    <mergeCell ref="AC135:AC138"/>
    <mergeCell ref="AD135:AD136"/>
    <mergeCell ref="AE135:AE136"/>
    <mergeCell ref="AF135:AF136"/>
    <mergeCell ref="AD131:AD132"/>
    <mergeCell ref="AE131:AE132"/>
    <mergeCell ref="AF131:AF132"/>
    <mergeCell ref="AG131:AG132"/>
    <mergeCell ref="AH131:AH132"/>
    <mergeCell ref="AD133:AD134"/>
    <mergeCell ref="AE133:AE134"/>
    <mergeCell ref="AF133:AF134"/>
    <mergeCell ref="AG133:AG134"/>
    <mergeCell ref="R131:R134"/>
    <mergeCell ref="S131:S134"/>
    <mergeCell ref="Y131:Y132"/>
    <mergeCell ref="AB131:AB134"/>
    <mergeCell ref="AC131:AC134"/>
    <mergeCell ref="AD139:AD140"/>
    <mergeCell ref="AE139:AE140"/>
    <mergeCell ref="AF139:AF140"/>
    <mergeCell ref="AG139:AG140"/>
    <mergeCell ref="AH139:AH140"/>
    <mergeCell ref="AD141:AD142"/>
    <mergeCell ref="AE141:AE142"/>
    <mergeCell ref="AF141:AF142"/>
    <mergeCell ref="AG141:AG142"/>
    <mergeCell ref="R139:R142"/>
    <mergeCell ref="S139:S142"/>
    <mergeCell ref="Y139:Y140"/>
    <mergeCell ref="AB139:AB142"/>
    <mergeCell ref="AC139:AC142"/>
    <mergeCell ref="AG135:AG136"/>
    <mergeCell ref="AH135:AH136"/>
    <mergeCell ref="AD137:AD138"/>
    <mergeCell ref="AE137:AE138"/>
    <mergeCell ref="AF137:AF138"/>
    <mergeCell ref="AG137:AG138"/>
    <mergeCell ref="AH137:AH138"/>
    <mergeCell ref="AF143:AF144"/>
    <mergeCell ref="AG143:AG144"/>
    <mergeCell ref="AH143:AH144"/>
    <mergeCell ref="AD145:AD146"/>
    <mergeCell ref="AE145:AE146"/>
    <mergeCell ref="AF145:AF146"/>
    <mergeCell ref="AG145:AG146"/>
    <mergeCell ref="AH145:AH146"/>
    <mergeCell ref="AH141:AH142"/>
    <mergeCell ref="R143:R146"/>
    <mergeCell ref="S143:S146"/>
    <mergeCell ref="Y143:Y144"/>
    <mergeCell ref="Z143:Z210"/>
    <mergeCell ref="AB143:AB146"/>
    <mergeCell ref="AC143:AC146"/>
    <mergeCell ref="AD143:AD144"/>
    <mergeCell ref="AE143:AE144"/>
    <mergeCell ref="AG151:AG152"/>
    <mergeCell ref="AH151:AH152"/>
    <mergeCell ref="AD153:AD154"/>
    <mergeCell ref="AE153:AE154"/>
    <mergeCell ref="AF153:AF154"/>
    <mergeCell ref="AG153:AG154"/>
    <mergeCell ref="AH153:AH154"/>
    <mergeCell ref="AH149:AH150"/>
    <mergeCell ref="R151:R154"/>
    <mergeCell ref="S151:S154"/>
    <mergeCell ref="Y151:Y152"/>
    <mergeCell ref="AB151:AB154"/>
    <mergeCell ref="AC151:AC154"/>
    <mergeCell ref="AD151:AD152"/>
    <mergeCell ref="AE151:AE152"/>
    <mergeCell ref="AF151:AF152"/>
    <mergeCell ref="AD147:AD148"/>
    <mergeCell ref="AE147:AE148"/>
    <mergeCell ref="AF147:AF148"/>
    <mergeCell ref="AG147:AG148"/>
    <mergeCell ref="AH147:AH148"/>
    <mergeCell ref="AD149:AD150"/>
    <mergeCell ref="AE149:AE150"/>
    <mergeCell ref="AF149:AF150"/>
    <mergeCell ref="AG149:AG150"/>
    <mergeCell ref="R147:R150"/>
    <mergeCell ref="S147:S150"/>
    <mergeCell ref="Y147:Y148"/>
    <mergeCell ref="AB147:AB150"/>
    <mergeCell ref="AC147:AC150"/>
    <mergeCell ref="AH155:AH156"/>
    <mergeCell ref="AD157:AD158"/>
    <mergeCell ref="AE157:AE158"/>
    <mergeCell ref="AF157:AF158"/>
    <mergeCell ref="AG157:AG158"/>
    <mergeCell ref="AH157:AH158"/>
    <mergeCell ref="AB155:AB158"/>
    <mergeCell ref="AC155:AC158"/>
    <mergeCell ref="AD155:AD156"/>
    <mergeCell ref="AE155:AE156"/>
    <mergeCell ref="AF155:AF156"/>
    <mergeCell ref="AG155:AG156"/>
    <mergeCell ref="P155:P157"/>
    <mergeCell ref="Q155:Q157"/>
    <mergeCell ref="R155:R158"/>
    <mergeCell ref="S155:S158"/>
    <mergeCell ref="Y155:Y156"/>
    <mergeCell ref="AG163:AG164"/>
    <mergeCell ref="AH163:AH164"/>
    <mergeCell ref="AD165:AD166"/>
    <mergeCell ref="AE165:AE166"/>
    <mergeCell ref="AF165:AF166"/>
    <mergeCell ref="AG165:AG166"/>
    <mergeCell ref="AH165:AH166"/>
    <mergeCell ref="AH161:AH162"/>
    <mergeCell ref="R163:R166"/>
    <mergeCell ref="S163:S166"/>
    <mergeCell ref="Y163:Y164"/>
    <mergeCell ref="AB163:AB166"/>
    <mergeCell ref="AC163:AC166"/>
    <mergeCell ref="AD163:AD164"/>
    <mergeCell ref="AE163:AE164"/>
    <mergeCell ref="AF163:AF164"/>
    <mergeCell ref="AD159:AD160"/>
    <mergeCell ref="AE159:AE160"/>
    <mergeCell ref="AF159:AF160"/>
    <mergeCell ref="AG159:AG160"/>
    <mergeCell ref="AH159:AH160"/>
    <mergeCell ref="AD161:AD162"/>
    <mergeCell ref="AE161:AE162"/>
    <mergeCell ref="AF161:AF162"/>
    <mergeCell ref="AG161:AG162"/>
    <mergeCell ref="R159:R162"/>
    <mergeCell ref="S159:S162"/>
    <mergeCell ref="Y159:Y160"/>
    <mergeCell ref="AB159:AB162"/>
    <mergeCell ref="AC159:AC162"/>
    <mergeCell ref="AG171:AG172"/>
    <mergeCell ref="AH171:AH172"/>
    <mergeCell ref="AD173:AD174"/>
    <mergeCell ref="AE173:AE174"/>
    <mergeCell ref="AF173:AF174"/>
    <mergeCell ref="AG173:AG174"/>
    <mergeCell ref="AH173:AH174"/>
    <mergeCell ref="AH169:AH170"/>
    <mergeCell ref="R171:R174"/>
    <mergeCell ref="S171:S174"/>
    <mergeCell ref="Y171:Y172"/>
    <mergeCell ref="AB171:AB174"/>
    <mergeCell ref="AC171:AC174"/>
    <mergeCell ref="AD171:AD172"/>
    <mergeCell ref="AE171:AE172"/>
    <mergeCell ref="AF171:AF172"/>
    <mergeCell ref="AD167:AD168"/>
    <mergeCell ref="AE167:AE168"/>
    <mergeCell ref="AF167:AF168"/>
    <mergeCell ref="AG167:AG168"/>
    <mergeCell ref="AH167:AH168"/>
    <mergeCell ref="AD169:AD170"/>
    <mergeCell ref="AE169:AE170"/>
    <mergeCell ref="AF169:AF170"/>
    <mergeCell ref="AG169:AG170"/>
    <mergeCell ref="R167:R170"/>
    <mergeCell ref="S167:S170"/>
    <mergeCell ref="Y167:Y168"/>
    <mergeCell ref="AB167:AB170"/>
    <mergeCell ref="AC167:AC170"/>
    <mergeCell ref="AG179:AG180"/>
    <mergeCell ref="AH179:AH180"/>
    <mergeCell ref="AD181:AD182"/>
    <mergeCell ref="AE181:AE182"/>
    <mergeCell ref="AF181:AF182"/>
    <mergeCell ref="AG181:AG182"/>
    <mergeCell ref="AH181:AH182"/>
    <mergeCell ref="AH177:AH178"/>
    <mergeCell ref="R179:R182"/>
    <mergeCell ref="S179:S182"/>
    <mergeCell ref="Y179:Y180"/>
    <mergeCell ref="AB179:AB182"/>
    <mergeCell ref="AC179:AC182"/>
    <mergeCell ref="AD179:AD180"/>
    <mergeCell ref="AE179:AE180"/>
    <mergeCell ref="AF179:AF180"/>
    <mergeCell ref="AC175:AC178"/>
    <mergeCell ref="AD175:AD176"/>
    <mergeCell ref="AE175:AE176"/>
    <mergeCell ref="AF175:AF176"/>
    <mergeCell ref="AG175:AG176"/>
    <mergeCell ref="AH175:AH176"/>
    <mergeCell ref="AD177:AD178"/>
    <mergeCell ref="AE177:AE178"/>
    <mergeCell ref="AF177:AF178"/>
    <mergeCell ref="AG177:AG178"/>
    <mergeCell ref="R175:R178"/>
    <mergeCell ref="S175:S178"/>
    <mergeCell ref="Y175:Y176"/>
    <mergeCell ref="AA175:AA176"/>
    <mergeCell ref="AB175:AB178"/>
    <mergeCell ref="AA177:AA178"/>
    <mergeCell ref="AG187:AG188"/>
    <mergeCell ref="AH187:AH188"/>
    <mergeCell ref="AD189:AD190"/>
    <mergeCell ref="AE189:AE190"/>
    <mergeCell ref="AF189:AF190"/>
    <mergeCell ref="AG189:AG190"/>
    <mergeCell ref="AH189:AH190"/>
    <mergeCell ref="AH185:AH186"/>
    <mergeCell ref="R187:R190"/>
    <mergeCell ref="S187:S190"/>
    <mergeCell ref="Y187:Y188"/>
    <mergeCell ref="AB187:AB190"/>
    <mergeCell ref="AC187:AC190"/>
    <mergeCell ref="AD187:AD188"/>
    <mergeCell ref="AE187:AE188"/>
    <mergeCell ref="AF187:AF188"/>
    <mergeCell ref="AD183:AD184"/>
    <mergeCell ref="AE183:AE184"/>
    <mergeCell ref="AF183:AF184"/>
    <mergeCell ref="AG183:AG184"/>
    <mergeCell ref="AH183:AH184"/>
    <mergeCell ref="AD185:AD186"/>
    <mergeCell ref="AE185:AE186"/>
    <mergeCell ref="AF185:AF186"/>
    <mergeCell ref="AG185:AG186"/>
    <mergeCell ref="R183:R186"/>
    <mergeCell ref="S183:S186"/>
    <mergeCell ref="Y183:Y184"/>
    <mergeCell ref="AB183:AB186"/>
    <mergeCell ref="AC183:AC186"/>
    <mergeCell ref="AG195:AG196"/>
    <mergeCell ref="AH195:AH196"/>
    <mergeCell ref="AD197:AD198"/>
    <mergeCell ref="AE197:AE198"/>
    <mergeCell ref="AF197:AF198"/>
    <mergeCell ref="AG197:AG198"/>
    <mergeCell ref="AH197:AH198"/>
    <mergeCell ref="AH193:AH194"/>
    <mergeCell ref="R195:R198"/>
    <mergeCell ref="S195:S198"/>
    <mergeCell ref="Y195:Y196"/>
    <mergeCell ref="AB195:AB198"/>
    <mergeCell ref="AC195:AC198"/>
    <mergeCell ref="AD195:AD196"/>
    <mergeCell ref="AE195:AE196"/>
    <mergeCell ref="AF195:AF196"/>
    <mergeCell ref="AD191:AD192"/>
    <mergeCell ref="AE191:AE192"/>
    <mergeCell ref="AF191:AF192"/>
    <mergeCell ref="AG191:AG192"/>
    <mergeCell ref="AH191:AH192"/>
    <mergeCell ref="AD193:AD194"/>
    <mergeCell ref="AE193:AE194"/>
    <mergeCell ref="AF193:AF194"/>
    <mergeCell ref="AG193:AG194"/>
    <mergeCell ref="R191:R194"/>
    <mergeCell ref="S191:S194"/>
    <mergeCell ref="Y191:Y192"/>
    <mergeCell ref="AB191:AB194"/>
    <mergeCell ref="AC191:AC194"/>
    <mergeCell ref="AH201:AH202"/>
    <mergeCell ref="R203:R206"/>
    <mergeCell ref="S203:S206"/>
    <mergeCell ref="Y203:Y204"/>
    <mergeCell ref="AB203:AB206"/>
    <mergeCell ref="AC203:AC206"/>
    <mergeCell ref="AD203:AD204"/>
    <mergeCell ref="AE203:AE204"/>
    <mergeCell ref="AF203:AF204"/>
    <mergeCell ref="AD199:AD200"/>
    <mergeCell ref="AE199:AE200"/>
    <mergeCell ref="AF199:AF200"/>
    <mergeCell ref="AG199:AG200"/>
    <mergeCell ref="AH199:AH200"/>
    <mergeCell ref="AD201:AD202"/>
    <mergeCell ref="AE201:AE202"/>
    <mergeCell ref="AF201:AF202"/>
    <mergeCell ref="AG201:AG202"/>
    <mergeCell ref="R199:R202"/>
    <mergeCell ref="S199:S202"/>
    <mergeCell ref="Y199:Y200"/>
    <mergeCell ref="AB199:AB202"/>
    <mergeCell ref="AC199:AC202"/>
    <mergeCell ref="AD207:AD208"/>
    <mergeCell ref="AE207:AE208"/>
    <mergeCell ref="AF207:AF208"/>
    <mergeCell ref="AG207:AG208"/>
    <mergeCell ref="AH207:AH208"/>
    <mergeCell ref="AD209:AD210"/>
    <mergeCell ref="AE209:AE210"/>
    <mergeCell ref="AF209:AF210"/>
    <mergeCell ref="AG209:AG210"/>
    <mergeCell ref="R207:R210"/>
    <mergeCell ref="S207:S210"/>
    <mergeCell ref="Y207:Y208"/>
    <mergeCell ref="AB207:AB210"/>
    <mergeCell ref="AC207:AC210"/>
    <mergeCell ref="AG203:AG204"/>
    <mergeCell ref="AH203:AH204"/>
    <mergeCell ref="AD205:AD206"/>
    <mergeCell ref="AE205:AE206"/>
    <mergeCell ref="AF205:AF206"/>
    <mergeCell ref="AG205:AG206"/>
    <mergeCell ref="AH205:AH206"/>
    <mergeCell ref="AF211:AF212"/>
    <mergeCell ref="AG211:AG212"/>
    <mergeCell ref="AH211:AH212"/>
    <mergeCell ref="AD213:AD214"/>
    <mergeCell ref="AE213:AE214"/>
    <mergeCell ref="AF213:AF214"/>
    <mergeCell ref="AG213:AG214"/>
    <mergeCell ref="AH213:AH214"/>
    <mergeCell ref="AH209:AH210"/>
    <mergeCell ref="R211:R214"/>
    <mergeCell ref="S211:S214"/>
    <mergeCell ref="Y211:Y212"/>
    <mergeCell ref="Z211:Z278"/>
    <mergeCell ref="AB211:AB214"/>
    <mergeCell ref="AC211:AC214"/>
    <mergeCell ref="AD211:AD212"/>
    <mergeCell ref="AE211:AE212"/>
    <mergeCell ref="AG219:AG220"/>
    <mergeCell ref="AH219:AH220"/>
    <mergeCell ref="AD221:AD222"/>
    <mergeCell ref="AE221:AE222"/>
    <mergeCell ref="AF221:AF222"/>
    <mergeCell ref="AG221:AG222"/>
    <mergeCell ref="AH221:AH222"/>
    <mergeCell ref="AH217:AH218"/>
    <mergeCell ref="R219:R222"/>
    <mergeCell ref="S219:S222"/>
    <mergeCell ref="Y219:Y220"/>
    <mergeCell ref="AB219:AB222"/>
    <mergeCell ref="AC219:AC222"/>
    <mergeCell ref="AD219:AD220"/>
    <mergeCell ref="AE219:AE220"/>
    <mergeCell ref="AF219:AF220"/>
    <mergeCell ref="AD215:AD216"/>
    <mergeCell ref="AE215:AE216"/>
    <mergeCell ref="AF215:AF216"/>
    <mergeCell ref="AG215:AG216"/>
    <mergeCell ref="AH215:AH216"/>
    <mergeCell ref="AD217:AD218"/>
    <mergeCell ref="AE217:AE218"/>
    <mergeCell ref="AF217:AF218"/>
    <mergeCell ref="AG217:AG218"/>
    <mergeCell ref="R215:R218"/>
    <mergeCell ref="S215:S218"/>
    <mergeCell ref="Y215:Y216"/>
    <mergeCell ref="AB215:AB218"/>
    <mergeCell ref="AC215:AC218"/>
    <mergeCell ref="AH223:AH224"/>
    <mergeCell ref="AD225:AD226"/>
    <mergeCell ref="AE225:AE226"/>
    <mergeCell ref="AF225:AF226"/>
    <mergeCell ref="AG225:AG226"/>
    <mergeCell ref="AH225:AH226"/>
    <mergeCell ref="AB223:AB226"/>
    <mergeCell ref="AC223:AC226"/>
    <mergeCell ref="AD223:AD224"/>
    <mergeCell ref="AE223:AE224"/>
    <mergeCell ref="AF223:AF224"/>
    <mergeCell ref="AG223:AG224"/>
    <mergeCell ref="P223:P225"/>
    <mergeCell ref="Q223:Q225"/>
    <mergeCell ref="R223:R226"/>
    <mergeCell ref="S223:S226"/>
    <mergeCell ref="Y223:Y224"/>
    <mergeCell ref="AG231:AG232"/>
    <mergeCell ref="AH231:AH232"/>
    <mergeCell ref="AD233:AD234"/>
    <mergeCell ref="AE233:AE234"/>
    <mergeCell ref="AF233:AF234"/>
    <mergeCell ref="AG233:AG234"/>
    <mergeCell ref="AH233:AH234"/>
    <mergeCell ref="AH229:AH230"/>
    <mergeCell ref="R231:R234"/>
    <mergeCell ref="S231:S234"/>
    <mergeCell ref="Y231:Y232"/>
    <mergeCell ref="AB231:AB234"/>
    <mergeCell ref="AC231:AC234"/>
    <mergeCell ref="AD231:AD232"/>
    <mergeCell ref="AE231:AE232"/>
    <mergeCell ref="AF231:AF232"/>
    <mergeCell ref="AD227:AD228"/>
    <mergeCell ref="AE227:AE228"/>
    <mergeCell ref="AF227:AF228"/>
    <mergeCell ref="AG227:AG228"/>
    <mergeCell ref="AH227:AH228"/>
    <mergeCell ref="AD229:AD230"/>
    <mergeCell ref="AE229:AE230"/>
    <mergeCell ref="AF229:AF230"/>
    <mergeCell ref="AG229:AG230"/>
    <mergeCell ref="R227:R230"/>
    <mergeCell ref="S227:S230"/>
    <mergeCell ref="Y227:Y228"/>
    <mergeCell ref="AB227:AB230"/>
    <mergeCell ref="AC227:AC230"/>
    <mergeCell ref="AG239:AG240"/>
    <mergeCell ref="AH239:AH240"/>
    <mergeCell ref="AD241:AD242"/>
    <mergeCell ref="AE241:AE242"/>
    <mergeCell ref="AF241:AF242"/>
    <mergeCell ref="AG241:AG242"/>
    <mergeCell ref="AH241:AH242"/>
    <mergeCell ref="AH237:AH238"/>
    <mergeCell ref="R239:R242"/>
    <mergeCell ref="S239:S242"/>
    <mergeCell ref="Y239:Y240"/>
    <mergeCell ref="AB239:AB242"/>
    <mergeCell ref="AC239:AC242"/>
    <mergeCell ref="AD239:AD240"/>
    <mergeCell ref="AE239:AE240"/>
    <mergeCell ref="AF239:AF240"/>
    <mergeCell ref="AD235:AD236"/>
    <mergeCell ref="AE235:AE236"/>
    <mergeCell ref="AF235:AF236"/>
    <mergeCell ref="AG235:AG236"/>
    <mergeCell ref="AH235:AH236"/>
    <mergeCell ref="AD237:AD238"/>
    <mergeCell ref="AE237:AE238"/>
    <mergeCell ref="AF237:AF238"/>
    <mergeCell ref="AG237:AG238"/>
    <mergeCell ref="R235:R238"/>
    <mergeCell ref="S235:S238"/>
    <mergeCell ref="Y235:Y236"/>
    <mergeCell ref="AB235:AB238"/>
    <mergeCell ref="AC235:AC238"/>
    <mergeCell ref="AG247:AG248"/>
    <mergeCell ref="AH247:AH248"/>
    <mergeCell ref="AD249:AD250"/>
    <mergeCell ref="AE249:AE250"/>
    <mergeCell ref="AF249:AF250"/>
    <mergeCell ref="AG249:AG250"/>
    <mergeCell ref="AH249:AH250"/>
    <mergeCell ref="AH245:AH246"/>
    <mergeCell ref="R247:R250"/>
    <mergeCell ref="S247:S250"/>
    <mergeCell ref="Y247:Y248"/>
    <mergeCell ref="AB247:AB250"/>
    <mergeCell ref="AC247:AC250"/>
    <mergeCell ref="AD247:AD248"/>
    <mergeCell ref="AE247:AE248"/>
    <mergeCell ref="AF247:AF248"/>
    <mergeCell ref="AC243:AC246"/>
    <mergeCell ref="AD243:AD244"/>
    <mergeCell ref="AE243:AE244"/>
    <mergeCell ref="AF243:AF244"/>
    <mergeCell ref="AG243:AG244"/>
    <mergeCell ref="AH243:AH244"/>
    <mergeCell ref="AD245:AD246"/>
    <mergeCell ref="AE245:AE246"/>
    <mergeCell ref="AF245:AF246"/>
    <mergeCell ref="AG245:AG246"/>
    <mergeCell ref="R243:R246"/>
    <mergeCell ref="S243:S246"/>
    <mergeCell ref="Y243:Y244"/>
    <mergeCell ref="AA243:AA244"/>
    <mergeCell ref="AB243:AB246"/>
    <mergeCell ref="AA245:AA246"/>
    <mergeCell ref="AG255:AG256"/>
    <mergeCell ref="AH255:AH256"/>
    <mergeCell ref="AD257:AD258"/>
    <mergeCell ref="AE257:AE258"/>
    <mergeCell ref="AF257:AF258"/>
    <mergeCell ref="AG257:AG258"/>
    <mergeCell ref="AH257:AH258"/>
    <mergeCell ref="AH253:AH254"/>
    <mergeCell ref="R255:R258"/>
    <mergeCell ref="S255:S258"/>
    <mergeCell ref="Y255:Y256"/>
    <mergeCell ref="AB255:AB258"/>
    <mergeCell ref="AC255:AC258"/>
    <mergeCell ref="AD255:AD256"/>
    <mergeCell ref="AE255:AE256"/>
    <mergeCell ref="AF255:AF256"/>
    <mergeCell ref="AD251:AD252"/>
    <mergeCell ref="AE251:AE252"/>
    <mergeCell ref="AF251:AF252"/>
    <mergeCell ref="AG251:AG252"/>
    <mergeCell ref="AH251:AH252"/>
    <mergeCell ref="AD253:AD254"/>
    <mergeCell ref="AE253:AE254"/>
    <mergeCell ref="AF253:AF254"/>
    <mergeCell ref="AG253:AG254"/>
    <mergeCell ref="R251:R254"/>
    <mergeCell ref="S251:S254"/>
    <mergeCell ref="Y251:Y252"/>
    <mergeCell ref="AB251:AB254"/>
    <mergeCell ref="AC251:AC254"/>
    <mergeCell ref="AG263:AG264"/>
    <mergeCell ref="AH263:AH264"/>
    <mergeCell ref="AD265:AD266"/>
    <mergeCell ref="AE265:AE266"/>
    <mergeCell ref="AF265:AF266"/>
    <mergeCell ref="AG265:AG266"/>
    <mergeCell ref="AH265:AH266"/>
    <mergeCell ref="AH261:AH262"/>
    <mergeCell ref="R263:R266"/>
    <mergeCell ref="S263:S266"/>
    <mergeCell ref="Y263:Y264"/>
    <mergeCell ref="AB263:AB266"/>
    <mergeCell ref="AC263:AC266"/>
    <mergeCell ref="AD263:AD264"/>
    <mergeCell ref="AE263:AE264"/>
    <mergeCell ref="AF263:AF264"/>
    <mergeCell ref="AD259:AD260"/>
    <mergeCell ref="AE259:AE260"/>
    <mergeCell ref="AF259:AF260"/>
    <mergeCell ref="AG259:AG260"/>
    <mergeCell ref="AH259:AH260"/>
    <mergeCell ref="AD261:AD262"/>
    <mergeCell ref="AE261:AE262"/>
    <mergeCell ref="AF261:AF262"/>
    <mergeCell ref="AG261:AG262"/>
    <mergeCell ref="R259:R262"/>
    <mergeCell ref="S259:S262"/>
    <mergeCell ref="Y259:Y260"/>
    <mergeCell ref="AB259:AB262"/>
    <mergeCell ref="AC259:AC262"/>
    <mergeCell ref="AH269:AH270"/>
    <mergeCell ref="R271:R274"/>
    <mergeCell ref="S271:S274"/>
    <mergeCell ref="Y271:Y272"/>
    <mergeCell ref="AB271:AB274"/>
    <mergeCell ref="AC271:AC274"/>
    <mergeCell ref="AD271:AD272"/>
    <mergeCell ref="AE271:AE272"/>
    <mergeCell ref="AF271:AF272"/>
    <mergeCell ref="AD267:AD268"/>
    <mergeCell ref="AE267:AE268"/>
    <mergeCell ref="AF267:AF268"/>
    <mergeCell ref="AG267:AG268"/>
    <mergeCell ref="AH267:AH268"/>
    <mergeCell ref="AD269:AD270"/>
    <mergeCell ref="AE269:AE270"/>
    <mergeCell ref="AF269:AF270"/>
    <mergeCell ref="AG269:AG270"/>
    <mergeCell ref="R267:R270"/>
    <mergeCell ref="S267:S270"/>
    <mergeCell ref="Y267:Y268"/>
    <mergeCell ref="AB267:AB270"/>
    <mergeCell ref="AC267:AC270"/>
    <mergeCell ref="AD275:AD276"/>
    <mergeCell ref="AE275:AE276"/>
    <mergeCell ref="AF275:AF276"/>
    <mergeCell ref="AG275:AG276"/>
    <mergeCell ref="AH275:AH276"/>
    <mergeCell ref="AD277:AD278"/>
    <mergeCell ref="AE277:AE278"/>
    <mergeCell ref="AF277:AF278"/>
    <mergeCell ref="AG277:AG278"/>
    <mergeCell ref="R275:R278"/>
    <mergeCell ref="S275:S278"/>
    <mergeCell ref="Y275:Y276"/>
    <mergeCell ref="AB275:AB278"/>
    <mergeCell ref="AC275:AC278"/>
    <mergeCell ref="AG271:AG272"/>
    <mergeCell ref="AH271:AH272"/>
    <mergeCell ref="AD273:AD274"/>
    <mergeCell ref="AE273:AE274"/>
    <mergeCell ref="AF273:AF274"/>
    <mergeCell ref="AG273:AG274"/>
    <mergeCell ref="AH273:AH274"/>
    <mergeCell ref="AF279:AF280"/>
    <mergeCell ref="AG279:AG280"/>
    <mergeCell ref="AH279:AH280"/>
    <mergeCell ref="AD281:AD282"/>
    <mergeCell ref="AE281:AE282"/>
    <mergeCell ref="AF281:AF282"/>
    <mergeCell ref="AG281:AG282"/>
    <mergeCell ref="AH281:AH282"/>
    <mergeCell ref="AH277:AH278"/>
    <mergeCell ref="R279:R282"/>
    <mergeCell ref="S279:S282"/>
    <mergeCell ref="Y279:Y280"/>
    <mergeCell ref="Z279:Z346"/>
    <mergeCell ref="AB279:AB282"/>
    <mergeCell ref="AC279:AC282"/>
    <mergeCell ref="AD279:AD280"/>
    <mergeCell ref="AE279:AE280"/>
    <mergeCell ref="AG287:AG288"/>
    <mergeCell ref="AH287:AH288"/>
    <mergeCell ref="AD289:AD290"/>
    <mergeCell ref="AE289:AE290"/>
    <mergeCell ref="AF289:AF290"/>
    <mergeCell ref="AG289:AG290"/>
    <mergeCell ref="AH289:AH290"/>
    <mergeCell ref="AH285:AH286"/>
    <mergeCell ref="R287:R290"/>
    <mergeCell ref="S287:S290"/>
    <mergeCell ref="Y287:Y288"/>
    <mergeCell ref="AB287:AB290"/>
    <mergeCell ref="AC287:AC290"/>
    <mergeCell ref="AD287:AD288"/>
    <mergeCell ref="AE287:AE288"/>
    <mergeCell ref="AF287:AF288"/>
    <mergeCell ref="AD283:AD284"/>
    <mergeCell ref="AE283:AE284"/>
    <mergeCell ref="AF283:AF284"/>
    <mergeCell ref="AG283:AG284"/>
    <mergeCell ref="AH283:AH284"/>
    <mergeCell ref="AD285:AD286"/>
    <mergeCell ref="AE285:AE286"/>
    <mergeCell ref="AF285:AF286"/>
    <mergeCell ref="AG285:AG286"/>
    <mergeCell ref="R283:R286"/>
    <mergeCell ref="S283:S286"/>
    <mergeCell ref="Y283:Y284"/>
    <mergeCell ref="AB283:AB286"/>
    <mergeCell ref="AC283:AC286"/>
    <mergeCell ref="AH291:AH292"/>
    <mergeCell ref="AD293:AD294"/>
    <mergeCell ref="AE293:AE294"/>
    <mergeCell ref="AF293:AF294"/>
    <mergeCell ref="AG293:AG294"/>
    <mergeCell ref="AH293:AH294"/>
    <mergeCell ref="AB291:AB294"/>
    <mergeCell ref="AC291:AC294"/>
    <mergeCell ref="AD291:AD292"/>
    <mergeCell ref="AE291:AE292"/>
    <mergeCell ref="AF291:AF292"/>
    <mergeCell ref="AG291:AG292"/>
    <mergeCell ref="P291:P293"/>
    <mergeCell ref="Q291:Q293"/>
    <mergeCell ref="R291:R294"/>
    <mergeCell ref="S291:S294"/>
    <mergeCell ref="Y291:Y292"/>
    <mergeCell ref="AG299:AG300"/>
    <mergeCell ref="AH299:AH300"/>
    <mergeCell ref="AD301:AD302"/>
    <mergeCell ref="AE301:AE302"/>
    <mergeCell ref="AF301:AF302"/>
    <mergeCell ref="AG301:AG302"/>
    <mergeCell ref="AH301:AH302"/>
    <mergeCell ref="AH297:AH298"/>
    <mergeCell ref="R299:R302"/>
    <mergeCell ref="S299:S302"/>
    <mergeCell ref="Y299:Y300"/>
    <mergeCell ref="AB299:AB302"/>
    <mergeCell ref="AC299:AC302"/>
    <mergeCell ref="AD299:AD300"/>
    <mergeCell ref="AE299:AE300"/>
    <mergeCell ref="AF299:AF300"/>
    <mergeCell ref="AD295:AD296"/>
    <mergeCell ref="AE295:AE296"/>
    <mergeCell ref="AF295:AF296"/>
    <mergeCell ref="AG295:AG296"/>
    <mergeCell ref="AH295:AH296"/>
    <mergeCell ref="AD297:AD298"/>
    <mergeCell ref="AE297:AE298"/>
    <mergeCell ref="AF297:AF298"/>
    <mergeCell ref="AG297:AG298"/>
    <mergeCell ref="R295:R298"/>
    <mergeCell ref="S295:S298"/>
    <mergeCell ref="Y295:Y296"/>
    <mergeCell ref="AB295:AB298"/>
    <mergeCell ref="AC295:AC298"/>
    <mergeCell ref="AG307:AG308"/>
    <mergeCell ref="AH307:AH308"/>
    <mergeCell ref="AD309:AD310"/>
    <mergeCell ref="AE309:AE310"/>
    <mergeCell ref="AF309:AF310"/>
    <mergeCell ref="AG309:AG310"/>
    <mergeCell ref="AH309:AH310"/>
    <mergeCell ref="AH305:AH306"/>
    <mergeCell ref="R307:R310"/>
    <mergeCell ref="S307:S310"/>
    <mergeCell ref="Y307:Y308"/>
    <mergeCell ref="AB307:AB310"/>
    <mergeCell ref="AC307:AC310"/>
    <mergeCell ref="AD307:AD308"/>
    <mergeCell ref="AE307:AE308"/>
    <mergeCell ref="AF307:AF308"/>
    <mergeCell ref="AD303:AD304"/>
    <mergeCell ref="AE303:AE304"/>
    <mergeCell ref="AF303:AF304"/>
    <mergeCell ref="AG303:AG304"/>
    <mergeCell ref="AH303:AH304"/>
    <mergeCell ref="AD305:AD306"/>
    <mergeCell ref="AE305:AE306"/>
    <mergeCell ref="AF305:AF306"/>
    <mergeCell ref="AG305:AG306"/>
    <mergeCell ref="R303:R306"/>
    <mergeCell ref="S303:S306"/>
    <mergeCell ref="Y303:Y304"/>
    <mergeCell ref="AB303:AB306"/>
    <mergeCell ref="AC303:AC306"/>
    <mergeCell ref="AG315:AG316"/>
    <mergeCell ref="AH315:AH316"/>
    <mergeCell ref="AD317:AD318"/>
    <mergeCell ref="AE317:AE318"/>
    <mergeCell ref="AF317:AF318"/>
    <mergeCell ref="AG317:AG318"/>
    <mergeCell ref="AH317:AH318"/>
    <mergeCell ref="AH313:AH314"/>
    <mergeCell ref="R315:R318"/>
    <mergeCell ref="S315:S318"/>
    <mergeCell ref="Y315:Y316"/>
    <mergeCell ref="AB315:AB318"/>
    <mergeCell ref="AC315:AC318"/>
    <mergeCell ref="AD315:AD316"/>
    <mergeCell ref="AE315:AE316"/>
    <mergeCell ref="AF315:AF316"/>
    <mergeCell ref="AC311:AC314"/>
    <mergeCell ref="AD311:AD312"/>
    <mergeCell ref="AE311:AE312"/>
    <mergeCell ref="AF311:AF312"/>
    <mergeCell ref="AG311:AG312"/>
    <mergeCell ref="AH311:AH312"/>
    <mergeCell ref="AD313:AD314"/>
    <mergeCell ref="AE313:AE314"/>
    <mergeCell ref="AF313:AF314"/>
    <mergeCell ref="AG313:AG314"/>
    <mergeCell ref="R311:R314"/>
    <mergeCell ref="S311:S314"/>
    <mergeCell ref="Y311:Y312"/>
    <mergeCell ref="AA311:AA312"/>
    <mergeCell ref="AB311:AB314"/>
    <mergeCell ref="AA313:AA314"/>
    <mergeCell ref="AG323:AG324"/>
    <mergeCell ref="AH323:AH324"/>
    <mergeCell ref="AD325:AD326"/>
    <mergeCell ref="AE325:AE326"/>
    <mergeCell ref="AF325:AF326"/>
    <mergeCell ref="AG325:AG326"/>
    <mergeCell ref="AH325:AH326"/>
    <mergeCell ref="AH321:AH322"/>
    <mergeCell ref="R323:R326"/>
    <mergeCell ref="S323:S326"/>
    <mergeCell ref="Y323:Y324"/>
    <mergeCell ref="AB323:AB326"/>
    <mergeCell ref="AC323:AC326"/>
    <mergeCell ref="AD323:AD324"/>
    <mergeCell ref="AE323:AE324"/>
    <mergeCell ref="AF323:AF324"/>
    <mergeCell ref="AD319:AD320"/>
    <mergeCell ref="AE319:AE320"/>
    <mergeCell ref="AF319:AF320"/>
    <mergeCell ref="AG319:AG320"/>
    <mergeCell ref="AH319:AH320"/>
    <mergeCell ref="AD321:AD322"/>
    <mergeCell ref="AE321:AE322"/>
    <mergeCell ref="AF321:AF322"/>
    <mergeCell ref="AG321:AG322"/>
    <mergeCell ref="R319:R322"/>
    <mergeCell ref="S319:S322"/>
    <mergeCell ref="Y319:Y320"/>
    <mergeCell ref="AB319:AB322"/>
    <mergeCell ref="AC319:AC322"/>
    <mergeCell ref="AG331:AG332"/>
    <mergeCell ref="AH331:AH332"/>
    <mergeCell ref="AD333:AD334"/>
    <mergeCell ref="AE333:AE334"/>
    <mergeCell ref="AF333:AF334"/>
    <mergeCell ref="AG333:AG334"/>
    <mergeCell ref="AH333:AH334"/>
    <mergeCell ref="AH329:AH330"/>
    <mergeCell ref="R331:R334"/>
    <mergeCell ref="S331:S334"/>
    <mergeCell ref="Y331:Y332"/>
    <mergeCell ref="AB331:AB334"/>
    <mergeCell ref="AC331:AC334"/>
    <mergeCell ref="AD331:AD332"/>
    <mergeCell ref="AE331:AE332"/>
    <mergeCell ref="AF331:AF332"/>
    <mergeCell ref="AD327:AD328"/>
    <mergeCell ref="AE327:AE328"/>
    <mergeCell ref="AF327:AF328"/>
    <mergeCell ref="AG327:AG328"/>
    <mergeCell ref="AH327:AH328"/>
    <mergeCell ref="AD329:AD330"/>
    <mergeCell ref="AE329:AE330"/>
    <mergeCell ref="AF329:AF330"/>
    <mergeCell ref="AG329:AG330"/>
    <mergeCell ref="R327:R330"/>
    <mergeCell ref="S327:S330"/>
    <mergeCell ref="Y327:Y328"/>
    <mergeCell ref="AB327:AB330"/>
    <mergeCell ref="AC327:AC330"/>
    <mergeCell ref="AH337:AH338"/>
    <mergeCell ref="R339:R342"/>
    <mergeCell ref="S339:S342"/>
    <mergeCell ref="Y339:Y340"/>
    <mergeCell ref="AB339:AB342"/>
    <mergeCell ref="AC339:AC342"/>
    <mergeCell ref="AD339:AD340"/>
    <mergeCell ref="AE339:AE340"/>
    <mergeCell ref="AF339:AF340"/>
    <mergeCell ref="AD335:AD336"/>
    <mergeCell ref="AE335:AE336"/>
    <mergeCell ref="AF335:AF336"/>
    <mergeCell ref="AG335:AG336"/>
    <mergeCell ref="AH335:AH336"/>
    <mergeCell ref="AD337:AD338"/>
    <mergeCell ref="AE337:AE338"/>
    <mergeCell ref="AF337:AF338"/>
    <mergeCell ref="AG337:AG338"/>
    <mergeCell ref="R335:R338"/>
    <mergeCell ref="S335:S338"/>
    <mergeCell ref="Y335:Y336"/>
    <mergeCell ref="AB335:AB338"/>
    <mergeCell ref="AC335:AC338"/>
    <mergeCell ref="AD343:AD344"/>
    <mergeCell ref="AE343:AE344"/>
    <mergeCell ref="AF343:AF344"/>
    <mergeCell ref="AG343:AG344"/>
    <mergeCell ref="AH343:AH344"/>
    <mergeCell ref="AD345:AD346"/>
    <mergeCell ref="AE345:AE346"/>
    <mergeCell ref="AF345:AF346"/>
    <mergeCell ref="AG345:AG346"/>
    <mergeCell ref="R343:R346"/>
    <mergeCell ref="S343:S346"/>
    <mergeCell ref="Y343:Y344"/>
    <mergeCell ref="AB343:AB346"/>
    <mergeCell ref="AC343:AC346"/>
    <mergeCell ref="AG339:AG340"/>
    <mergeCell ref="AH339:AH340"/>
    <mergeCell ref="AD341:AD342"/>
    <mergeCell ref="AE341:AE342"/>
    <mergeCell ref="AF341:AF342"/>
    <mergeCell ref="AG341:AG342"/>
    <mergeCell ref="AH341:AH342"/>
    <mergeCell ref="AF347:AF348"/>
    <mergeCell ref="AG347:AG348"/>
    <mergeCell ref="AH347:AH348"/>
    <mergeCell ref="AD349:AD350"/>
    <mergeCell ref="AE349:AE350"/>
    <mergeCell ref="AF349:AF350"/>
    <mergeCell ref="AG349:AG350"/>
    <mergeCell ref="AH349:AH350"/>
    <mergeCell ref="AH345:AH346"/>
    <mergeCell ref="R347:R350"/>
    <mergeCell ref="S347:S350"/>
    <mergeCell ref="Y347:Y348"/>
    <mergeCell ref="Z347:Z414"/>
    <mergeCell ref="AB347:AB350"/>
    <mergeCell ref="AC347:AC350"/>
    <mergeCell ref="AD347:AD348"/>
    <mergeCell ref="AE347:AE348"/>
    <mergeCell ref="AG355:AG356"/>
    <mergeCell ref="AH355:AH356"/>
    <mergeCell ref="AD357:AD358"/>
    <mergeCell ref="AE357:AE358"/>
    <mergeCell ref="AF357:AF358"/>
    <mergeCell ref="AG357:AG358"/>
    <mergeCell ref="AH357:AH358"/>
    <mergeCell ref="AH353:AH354"/>
    <mergeCell ref="R355:R358"/>
    <mergeCell ref="S355:S358"/>
    <mergeCell ref="Y355:Y356"/>
    <mergeCell ref="AB355:AB358"/>
    <mergeCell ref="AC355:AC358"/>
    <mergeCell ref="AD355:AD356"/>
    <mergeCell ref="AE355:AE356"/>
    <mergeCell ref="AF355:AF356"/>
    <mergeCell ref="AD351:AD352"/>
    <mergeCell ref="AE351:AE352"/>
    <mergeCell ref="AF351:AF352"/>
    <mergeCell ref="AG351:AG352"/>
    <mergeCell ref="AH351:AH352"/>
    <mergeCell ref="AD353:AD354"/>
    <mergeCell ref="AE353:AE354"/>
    <mergeCell ref="AF353:AF354"/>
    <mergeCell ref="AG353:AG354"/>
    <mergeCell ref="R351:R354"/>
    <mergeCell ref="S351:S354"/>
    <mergeCell ref="Y351:Y352"/>
    <mergeCell ref="AB351:AB354"/>
    <mergeCell ref="AC351:AC354"/>
    <mergeCell ref="AH359:AH360"/>
    <mergeCell ref="AD361:AD362"/>
    <mergeCell ref="AE361:AE362"/>
    <mergeCell ref="AF361:AF362"/>
    <mergeCell ref="AG361:AG362"/>
    <mergeCell ref="AH361:AH362"/>
    <mergeCell ref="AB359:AB362"/>
    <mergeCell ref="AC359:AC362"/>
    <mergeCell ref="AD359:AD360"/>
    <mergeCell ref="AE359:AE360"/>
    <mergeCell ref="AF359:AF360"/>
    <mergeCell ref="AG359:AG360"/>
    <mergeCell ref="P359:P361"/>
    <mergeCell ref="Q359:Q361"/>
    <mergeCell ref="R359:R362"/>
    <mergeCell ref="S359:S362"/>
    <mergeCell ref="Y359:Y360"/>
    <mergeCell ref="AG367:AG368"/>
    <mergeCell ref="AH367:AH368"/>
    <mergeCell ref="AD369:AD370"/>
    <mergeCell ref="AE369:AE370"/>
    <mergeCell ref="AF369:AF370"/>
    <mergeCell ref="AG369:AG370"/>
    <mergeCell ref="AH369:AH370"/>
    <mergeCell ref="AH365:AH366"/>
    <mergeCell ref="R367:R370"/>
    <mergeCell ref="S367:S370"/>
    <mergeCell ref="Y367:Y368"/>
    <mergeCell ref="AB367:AB370"/>
    <mergeCell ref="AC367:AC370"/>
    <mergeCell ref="AD367:AD368"/>
    <mergeCell ref="AE367:AE368"/>
    <mergeCell ref="AF367:AF368"/>
    <mergeCell ref="AD363:AD364"/>
    <mergeCell ref="AE363:AE364"/>
    <mergeCell ref="AF363:AF364"/>
    <mergeCell ref="AG363:AG364"/>
    <mergeCell ref="AH363:AH364"/>
    <mergeCell ref="AD365:AD366"/>
    <mergeCell ref="AE365:AE366"/>
    <mergeCell ref="AF365:AF366"/>
    <mergeCell ref="AG365:AG366"/>
    <mergeCell ref="R363:R366"/>
    <mergeCell ref="S363:S366"/>
    <mergeCell ref="Y363:Y364"/>
    <mergeCell ref="AB363:AB366"/>
    <mergeCell ref="AC363:AC366"/>
    <mergeCell ref="AG375:AG376"/>
    <mergeCell ref="AH375:AH376"/>
    <mergeCell ref="AD377:AD378"/>
    <mergeCell ref="AE377:AE378"/>
    <mergeCell ref="AF377:AF378"/>
    <mergeCell ref="AG377:AG378"/>
    <mergeCell ref="AH377:AH378"/>
    <mergeCell ref="AH373:AH374"/>
    <mergeCell ref="R375:R378"/>
    <mergeCell ref="S375:S378"/>
    <mergeCell ref="Y375:Y376"/>
    <mergeCell ref="AB375:AB378"/>
    <mergeCell ref="AC375:AC378"/>
    <mergeCell ref="AD375:AD376"/>
    <mergeCell ref="AE375:AE376"/>
    <mergeCell ref="AF375:AF376"/>
    <mergeCell ref="AD371:AD372"/>
    <mergeCell ref="AE371:AE372"/>
    <mergeCell ref="AF371:AF372"/>
    <mergeCell ref="AG371:AG372"/>
    <mergeCell ref="AH371:AH372"/>
    <mergeCell ref="AD373:AD374"/>
    <mergeCell ref="AE373:AE374"/>
    <mergeCell ref="AF373:AF374"/>
    <mergeCell ref="AG373:AG374"/>
    <mergeCell ref="R371:R374"/>
    <mergeCell ref="S371:S374"/>
    <mergeCell ref="Y371:Y372"/>
    <mergeCell ref="AB371:AB374"/>
    <mergeCell ref="AC371:AC374"/>
    <mergeCell ref="AG383:AG384"/>
    <mergeCell ref="AH383:AH384"/>
    <mergeCell ref="AD385:AD386"/>
    <mergeCell ref="AE385:AE386"/>
    <mergeCell ref="AF385:AF386"/>
    <mergeCell ref="AG385:AG386"/>
    <mergeCell ref="AH385:AH386"/>
    <mergeCell ref="AH381:AH382"/>
    <mergeCell ref="R383:R386"/>
    <mergeCell ref="S383:S386"/>
    <mergeCell ref="Y383:Y384"/>
    <mergeCell ref="AB383:AB386"/>
    <mergeCell ref="AC383:AC386"/>
    <mergeCell ref="AD383:AD384"/>
    <mergeCell ref="AE383:AE384"/>
    <mergeCell ref="AF383:AF384"/>
    <mergeCell ref="AC379:AC382"/>
    <mergeCell ref="AD379:AD380"/>
    <mergeCell ref="AE379:AE380"/>
    <mergeCell ref="AF379:AF380"/>
    <mergeCell ref="AG379:AG380"/>
    <mergeCell ref="AH379:AH380"/>
    <mergeCell ref="AD381:AD382"/>
    <mergeCell ref="AE381:AE382"/>
    <mergeCell ref="AF381:AF382"/>
    <mergeCell ref="AG381:AG382"/>
    <mergeCell ref="R379:R382"/>
    <mergeCell ref="S379:S382"/>
    <mergeCell ref="Y379:Y380"/>
    <mergeCell ref="AA379:AA380"/>
    <mergeCell ref="AB379:AB382"/>
    <mergeCell ref="AA381:AA382"/>
    <mergeCell ref="AG391:AG392"/>
    <mergeCell ref="AH391:AH392"/>
    <mergeCell ref="AD393:AD394"/>
    <mergeCell ref="AE393:AE394"/>
    <mergeCell ref="AF393:AF394"/>
    <mergeCell ref="AG393:AG394"/>
    <mergeCell ref="AH393:AH394"/>
    <mergeCell ref="AH389:AH390"/>
    <mergeCell ref="R391:R394"/>
    <mergeCell ref="S391:S394"/>
    <mergeCell ref="Y391:Y392"/>
    <mergeCell ref="AB391:AB394"/>
    <mergeCell ref="AC391:AC394"/>
    <mergeCell ref="AD391:AD392"/>
    <mergeCell ref="AE391:AE392"/>
    <mergeCell ref="AF391:AF392"/>
    <mergeCell ref="AD387:AD388"/>
    <mergeCell ref="AE387:AE388"/>
    <mergeCell ref="AF387:AF388"/>
    <mergeCell ref="AG387:AG388"/>
    <mergeCell ref="AH387:AH388"/>
    <mergeCell ref="AD389:AD390"/>
    <mergeCell ref="AE389:AE390"/>
    <mergeCell ref="AF389:AF390"/>
    <mergeCell ref="AG389:AG390"/>
    <mergeCell ref="R387:R390"/>
    <mergeCell ref="S387:S390"/>
    <mergeCell ref="Y387:Y388"/>
    <mergeCell ref="AB387:AB390"/>
    <mergeCell ref="AC387:AC390"/>
    <mergeCell ref="AG399:AG400"/>
    <mergeCell ref="AH399:AH400"/>
    <mergeCell ref="AD401:AD402"/>
    <mergeCell ref="AE401:AE402"/>
    <mergeCell ref="AF401:AF402"/>
    <mergeCell ref="AG401:AG402"/>
    <mergeCell ref="AH401:AH402"/>
    <mergeCell ref="AH397:AH398"/>
    <mergeCell ref="R399:R402"/>
    <mergeCell ref="S399:S402"/>
    <mergeCell ref="Y399:Y400"/>
    <mergeCell ref="AB399:AB402"/>
    <mergeCell ref="AC399:AC402"/>
    <mergeCell ref="AD399:AD400"/>
    <mergeCell ref="AE399:AE400"/>
    <mergeCell ref="AF399:AF400"/>
    <mergeCell ref="AD395:AD396"/>
    <mergeCell ref="AE395:AE396"/>
    <mergeCell ref="AF395:AF396"/>
    <mergeCell ref="AG395:AG396"/>
    <mergeCell ref="AH395:AH396"/>
    <mergeCell ref="AD397:AD398"/>
    <mergeCell ref="AE397:AE398"/>
    <mergeCell ref="AF397:AF398"/>
    <mergeCell ref="AG397:AG398"/>
    <mergeCell ref="R395:R398"/>
    <mergeCell ref="S395:S398"/>
    <mergeCell ref="Y395:Y396"/>
    <mergeCell ref="AB395:AB398"/>
    <mergeCell ref="AC395:AC398"/>
    <mergeCell ref="AH405:AH406"/>
    <mergeCell ref="R407:R410"/>
    <mergeCell ref="S407:S410"/>
    <mergeCell ref="Y407:Y408"/>
    <mergeCell ref="AB407:AB410"/>
    <mergeCell ref="AC407:AC410"/>
    <mergeCell ref="AD407:AD408"/>
    <mergeCell ref="AE407:AE408"/>
    <mergeCell ref="AF407:AF408"/>
    <mergeCell ref="AD403:AD404"/>
    <mergeCell ref="AE403:AE404"/>
    <mergeCell ref="AF403:AF404"/>
    <mergeCell ref="AG403:AG404"/>
    <mergeCell ref="AH403:AH404"/>
    <mergeCell ref="AD405:AD406"/>
    <mergeCell ref="AE405:AE406"/>
    <mergeCell ref="AF405:AF406"/>
    <mergeCell ref="AG405:AG406"/>
    <mergeCell ref="R403:R406"/>
    <mergeCell ref="S403:S406"/>
    <mergeCell ref="Y403:Y404"/>
    <mergeCell ref="AB403:AB406"/>
    <mergeCell ref="AC403:AC406"/>
    <mergeCell ref="AD411:AD412"/>
    <mergeCell ref="AE411:AE412"/>
    <mergeCell ref="AF411:AF412"/>
    <mergeCell ref="AG411:AG412"/>
    <mergeCell ref="AH411:AH412"/>
    <mergeCell ref="AD413:AD414"/>
    <mergeCell ref="AE413:AE414"/>
    <mergeCell ref="AF413:AF414"/>
    <mergeCell ref="AG413:AG414"/>
    <mergeCell ref="R411:R414"/>
    <mergeCell ref="S411:S414"/>
    <mergeCell ref="Y411:Y412"/>
    <mergeCell ref="AB411:AB414"/>
    <mergeCell ref="AC411:AC414"/>
    <mergeCell ref="AG407:AG408"/>
    <mergeCell ref="AH407:AH408"/>
    <mergeCell ref="AD409:AD410"/>
    <mergeCell ref="AE409:AE410"/>
    <mergeCell ref="AF409:AF410"/>
    <mergeCell ref="AG409:AG410"/>
    <mergeCell ref="AH409:AH410"/>
    <mergeCell ref="AF415:AF416"/>
    <mergeCell ref="AG415:AG416"/>
    <mergeCell ref="AH415:AH416"/>
    <mergeCell ref="AD417:AD418"/>
    <mergeCell ref="AE417:AE418"/>
    <mergeCell ref="AF417:AF418"/>
    <mergeCell ref="AG417:AG418"/>
    <mergeCell ref="AH417:AH418"/>
    <mergeCell ref="AH413:AH414"/>
    <mergeCell ref="R415:R418"/>
    <mergeCell ref="S415:S418"/>
    <mergeCell ref="Y415:Y416"/>
    <mergeCell ref="Z415:Z482"/>
    <mergeCell ref="AB415:AB418"/>
    <mergeCell ref="AC415:AC418"/>
    <mergeCell ref="AD415:AD416"/>
    <mergeCell ref="AE415:AE416"/>
    <mergeCell ref="AG423:AG424"/>
    <mergeCell ref="AH423:AH424"/>
    <mergeCell ref="AD425:AD426"/>
    <mergeCell ref="AE425:AE426"/>
    <mergeCell ref="AF425:AF426"/>
    <mergeCell ref="AG425:AG426"/>
    <mergeCell ref="AH425:AH426"/>
    <mergeCell ref="AH421:AH422"/>
    <mergeCell ref="R423:R426"/>
    <mergeCell ref="S423:S426"/>
    <mergeCell ref="Y423:Y424"/>
    <mergeCell ref="AB423:AB426"/>
    <mergeCell ref="AC423:AC426"/>
    <mergeCell ref="AD423:AD424"/>
    <mergeCell ref="AE423:AE424"/>
    <mergeCell ref="AF423:AF424"/>
    <mergeCell ref="AD419:AD420"/>
    <mergeCell ref="AE419:AE420"/>
    <mergeCell ref="AF419:AF420"/>
    <mergeCell ref="AG419:AG420"/>
    <mergeCell ref="AH419:AH420"/>
    <mergeCell ref="AD421:AD422"/>
    <mergeCell ref="AE421:AE422"/>
    <mergeCell ref="AF421:AF422"/>
    <mergeCell ref="AG421:AG422"/>
    <mergeCell ref="R419:R422"/>
    <mergeCell ref="S419:S422"/>
    <mergeCell ref="Y419:Y420"/>
    <mergeCell ref="AB419:AB422"/>
    <mergeCell ref="AC419:AC422"/>
    <mergeCell ref="AH427:AH428"/>
    <mergeCell ref="AD429:AD430"/>
    <mergeCell ref="AE429:AE430"/>
    <mergeCell ref="AF429:AF430"/>
    <mergeCell ref="AG429:AG430"/>
    <mergeCell ref="AH429:AH430"/>
    <mergeCell ref="AB427:AB430"/>
    <mergeCell ref="AC427:AC430"/>
    <mergeCell ref="AD427:AD428"/>
    <mergeCell ref="AE427:AE428"/>
    <mergeCell ref="AF427:AF428"/>
    <mergeCell ref="AG427:AG428"/>
    <mergeCell ref="P427:P429"/>
    <mergeCell ref="Q427:Q429"/>
    <mergeCell ref="R427:R430"/>
    <mergeCell ref="S427:S430"/>
    <mergeCell ref="Y427:Y428"/>
    <mergeCell ref="AG435:AG436"/>
    <mergeCell ref="AH435:AH436"/>
    <mergeCell ref="AD437:AD438"/>
    <mergeCell ref="AE437:AE438"/>
    <mergeCell ref="AF437:AF438"/>
    <mergeCell ref="AG437:AG438"/>
    <mergeCell ref="AH437:AH438"/>
    <mergeCell ref="AH433:AH434"/>
    <mergeCell ref="R435:R438"/>
    <mergeCell ref="S435:S438"/>
    <mergeCell ref="Y435:Y436"/>
    <mergeCell ref="AB435:AB438"/>
    <mergeCell ref="AC435:AC438"/>
    <mergeCell ref="AD435:AD436"/>
    <mergeCell ref="AE435:AE436"/>
    <mergeCell ref="AF435:AF436"/>
    <mergeCell ref="AD431:AD432"/>
    <mergeCell ref="AE431:AE432"/>
    <mergeCell ref="AF431:AF432"/>
    <mergeCell ref="AG431:AG432"/>
    <mergeCell ref="AH431:AH432"/>
    <mergeCell ref="AD433:AD434"/>
    <mergeCell ref="AE433:AE434"/>
    <mergeCell ref="AF433:AF434"/>
    <mergeCell ref="AG433:AG434"/>
    <mergeCell ref="R431:R434"/>
    <mergeCell ref="S431:S434"/>
    <mergeCell ref="Y431:Y432"/>
    <mergeCell ref="AB431:AB434"/>
    <mergeCell ref="AC431:AC434"/>
    <mergeCell ref="AG443:AG444"/>
    <mergeCell ref="AH443:AH444"/>
    <mergeCell ref="AD445:AD446"/>
    <mergeCell ref="AE445:AE446"/>
    <mergeCell ref="AF445:AF446"/>
    <mergeCell ref="AG445:AG446"/>
    <mergeCell ref="AH445:AH446"/>
    <mergeCell ref="AH441:AH442"/>
    <mergeCell ref="R443:R446"/>
    <mergeCell ref="S443:S446"/>
    <mergeCell ref="Y443:Y444"/>
    <mergeCell ref="AB443:AB446"/>
    <mergeCell ref="AC443:AC446"/>
    <mergeCell ref="AD443:AD444"/>
    <mergeCell ref="AE443:AE444"/>
    <mergeCell ref="AF443:AF444"/>
    <mergeCell ref="AD439:AD440"/>
    <mergeCell ref="AE439:AE440"/>
    <mergeCell ref="AF439:AF440"/>
    <mergeCell ref="AG439:AG440"/>
    <mergeCell ref="AH439:AH440"/>
    <mergeCell ref="AD441:AD442"/>
    <mergeCell ref="AE441:AE442"/>
    <mergeCell ref="AF441:AF442"/>
    <mergeCell ref="AG441:AG442"/>
    <mergeCell ref="R439:R442"/>
    <mergeCell ref="S439:S442"/>
    <mergeCell ref="Y439:Y440"/>
    <mergeCell ref="AB439:AB442"/>
    <mergeCell ref="AC439:AC442"/>
    <mergeCell ref="AG451:AG452"/>
    <mergeCell ref="AH451:AH452"/>
    <mergeCell ref="AD453:AD454"/>
    <mergeCell ref="AE453:AE454"/>
    <mergeCell ref="AF453:AF454"/>
    <mergeCell ref="AG453:AG454"/>
    <mergeCell ref="AH453:AH454"/>
    <mergeCell ref="AH449:AH450"/>
    <mergeCell ref="R451:R454"/>
    <mergeCell ref="S451:S454"/>
    <mergeCell ref="Y451:Y452"/>
    <mergeCell ref="AB451:AB454"/>
    <mergeCell ref="AC451:AC454"/>
    <mergeCell ref="AD451:AD452"/>
    <mergeCell ref="AE451:AE452"/>
    <mergeCell ref="AF451:AF452"/>
    <mergeCell ref="AC447:AC450"/>
    <mergeCell ref="AD447:AD448"/>
    <mergeCell ref="AE447:AE448"/>
    <mergeCell ref="AF447:AF448"/>
    <mergeCell ref="AG447:AG448"/>
    <mergeCell ref="AH447:AH448"/>
    <mergeCell ref="AD449:AD450"/>
    <mergeCell ref="AE449:AE450"/>
    <mergeCell ref="AF449:AF450"/>
    <mergeCell ref="AG449:AG450"/>
    <mergeCell ref="R447:R450"/>
    <mergeCell ref="S447:S450"/>
    <mergeCell ref="Y447:Y448"/>
    <mergeCell ref="AA447:AA448"/>
    <mergeCell ref="AB447:AB450"/>
    <mergeCell ref="AA449:AA450"/>
    <mergeCell ref="AG459:AG460"/>
    <mergeCell ref="AH459:AH460"/>
    <mergeCell ref="AD461:AD462"/>
    <mergeCell ref="AE461:AE462"/>
    <mergeCell ref="AF461:AF462"/>
    <mergeCell ref="AG461:AG462"/>
    <mergeCell ref="AH461:AH462"/>
    <mergeCell ref="AH457:AH458"/>
    <mergeCell ref="R459:R462"/>
    <mergeCell ref="S459:S462"/>
    <mergeCell ref="Y459:Y460"/>
    <mergeCell ref="AB459:AB462"/>
    <mergeCell ref="AC459:AC462"/>
    <mergeCell ref="AD459:AD460"/>
    <mergeCell ref="AE459:AE460"/>
    <mergeCell ref="AF459:AF460"/>
    <mergeCell ref="AD455:AD456"/>
    <mergeCell ref="AE455:AE456"/>
    <mergeCell ref="AF455:AF456"/>
    <mergeCell ref="AG455:AG456"/>
    <mergeCell ref="AH455:AH456"/>
    <mergeCell ref="AD457:AD458"/>
    <mergeCell ref="AE457:AE458"/>
    <mergeCell ref="AF457:AF458"/>
    <mergeCell ref="AG457:AG458"/>
    <mergeCell ref="R455:R458"/>
    <mergeCell ref="S455:S458"/>
    <mergeCell ref="Y455:Y456"/>
    <mergeCell ref="AB455:AB458"/>
    <mergeCell ref="AC455:AC458"/>
    <mergeCell ref="AG467:AG468"/>
    <mergeCell ref="AH467:AH468"/>
    <mergeCell ref="AD469:AD470"/>
    <mergeCell ref="AE469:AE470"/>
    <mergeCell ref="AF469:AF470"/>
    <mergeCell ref="AG469:AG470"/>
    <mergeCell ref="AH469:AH470"/>
    <mergeCell ref="AH465:AH466"/>
    <mergeCell ref="R467:R470"/>
    <mergeCell ref="S467:S470"/>
    <mergeCell ref="Y467:Y468"/>
    <mergeCell ref="AB467:AB470"/>
    <mergeCell ref="AC467:AC470"/>
    <mergeCell ref="AD467:AD468"/>
    <mergeCell ref="AE467:AE468"/>
    <mergeCell ref="AF467:AF468"/>
    <mergeCell ref="AD463:AD464"/>
    <mergeCell ref="AE463:AE464"/>
    <mergeCell ref="AF463:AF464"/>
    <mergeCell ref="AG463:AG464"/>
    <mergeCell ref="AH463:AH464"/>
    <mergeCell ref="AD465:AD466"/>
    <mergeCell ref="AE465:AE466"/>
    <mergeCell ref="AF465:AF466"/>
    <mergeCell ref="AG465:AG466"/>
    <mergeCell ref="R463:R466"/>
    <mergeCell ref="S463:S466"/>
    <mergeCell ref="Y463:Y464"/>
    <mergeCell ref="AB463:AB466"/>
    <mergeCell ref="AC463:AC466"/>
    <mergeCell ref="AH473:AH474"/>
    <mergeCell ref="R475:R478"/>
    <mergeCell ref="S475:S478"/>
    <mergeCell ref="Y475:Y476"/>
    <mergeCell ref="AB475:AB478"/>
    <mergeCell ref="AC475:AC478"/>
    <mergeCell ref="AD475:AD476"/>
    <mergeCell ref="AE475:AE476"/>
    <mergeCell ref="AF475:AF476"/>
    <mergeCell ref="AD471:AD472"/>
    <mergeCell ref="AE471:AE472"/>
    <mergeCell ref="AF471:AF472"/>
    <mergeCell ref="AG471:AG472"/>
    <mergeCell ref="AH471:AH472"/>
    <mergeCell ref="AD473:AD474"/>
    <mergeCell ref="AE473:AE474"/>
    <mergeCell ref="AF473:AF474"/>
    <mergeCell ref="AG473:AG474"/>
    <mergeCell ref="R471:R474"/>
    <mergeCell ref="S471:S474"/>
    <mergeCell ref="Y471:Y472"/>
    <mergeCell ref="AB471:AB474"/>
    <mergeCell ref="AC471:AC474"/>
    <mergeCell ref="AD479:AD480"/>
    <mergeCell ref="AE479:AE480"/>
    <mergeCell ref="AF479:AF480"/>
    <mergeCell ref="AG479:AG480"/>
    <mergeCell ref="AH479:AH480"/>
    <mergeCell ref="AD481:AD482"/>
    <mergeCell ref="AE481:AE482"/>
    <mergeCell ref="AF481:AF482"/>
    <mergeCell ref="AG481:AG482"/>
    <mergeCell ref="R479:R482"/>
    <mergeCell ref="S479:S482"/>
    <mergeCell ref="Y479:Y480"/>
    <mergeCell ref="AB479:AB482"/>
    <mergeCell ref="AC479:AC482"/>
    <mergeCell ref="AG475:AG476"/>
    <mergeCell ref="AH475:AH476"/>
    <mergeCell ref="AD477:AD478"/>
    <mergeCell ref="AE477:AE478"/>
    <mergeCell ref="AF477:AF478"/>
    <mergeCell ref="AG477:AG478"/>
    <mergeCell ref="AH477:AH478"/>
    <mergeCell ref="AF483:AF484"/>
    <mergeCell ref="AG483:AG484"/>
    <mergeCell ref="AH483:AH484"/>
    <mergeCell ref="AD485:AD486"/>
    <mergeCell ref="AE485:AE486"/>
    <mergeCell ref="AF485:AF486"/>
    <mergeCell ref="AG485:AG486"/>
    <mergeCell ref="AH485:AH486"/>
    <mergeCell ref="AH481:AH482"/>
    <mergeCell ref="R483:R486"/>
    <mergeCell ref="S483:S486"/>
    <mergeCell ref="Y483:Y484"/>
    <mergeCell ref="Z483:Z550"/>
    <mergeCell ref="AB483:AB486"/>
    <mergeCell ref="AC483:AC486"/>
    <mergeCell ref="AD483:AD484"/>
    <mergeCell ref="AE483:AE484"/>
    <mergeCell ref="AG491:AG492"/>
    <mergeCell ref="AH491:AH492"/>
    <mergeCell ref="AD493:AD494"/>
    <mergeCell ref="AE493:AE494"/>
    <mergeCell ref="AF493:AF494"/>
    <mergeCell ref="AG493:AG494"/>
    <mergeCell ref="AH493:AH494"/>
    <mergeCell ref="AH489:AH490"/>
    <mergeCell ref="R491:R494"/>
    <mergeCell ref="S491:S494"/>
    <mergeCell ref="Y491:Y492"/>
    <mergeCell ref="AB491:AB494"/>
    <mergeCell ref="AC491:AC494"/>
    <mergeCell ref="AD491:AD492"/>
    <mergeCell ref="AE491:AE492"/>
    <mergeCell ref="AF491:AF492"/>
    <mergeCell ref="AD487:AD488"/>
    <mergeCell ref="AE487:AE488"/>
    <mergeCell ref="AF487:AF488"/>
    <mergeCell ref="AG487:AG488"/>
    <mergeCell ref="AH487:AH488"/>
    <mergeCell ref="AD489:AD490"/>
    <mergeCell ref="AE489:AE490"/>
    <mergeCell ref="AF489:AF490"/>
    <mergeCell ref="AG489:AG490"/>
    <mergeCell ref="R487:R490"/>
    <mergeCell ref="S487:S490"/>
    <mergeCell ref="Y487:Y488"/>
    <mergeCell ref="AB487:AB490"/>
    <mergeCell ref="AC487:AC490"/>
    <mergeCell ref="AH495:AH496"/>
    <mergeCell ref="AD497:AD498"/>
    <mergeCell ref="AE497:AE498"/>
    <mergeCell ref="AF497:AF498"/>
    <mergeCell ref="AG497:AG498"/>
    <mergeCell ref="AH497:AH498"/>
    <mergeCell ref="AB495:AB498"/>
    <mergeCell ref="AC495:AC498"/>
    <mergeCell ref="AD495:AD496"/>
    <mergeCell ref="AE495:AE496"/>
    <mergeCell ref="AF495:AF496"/>
    <mergeCell ref="AG495:AG496"/>
    <mergeCell ref="P495:P497"/>
    <mergeCell ref="Q495:Q497"/>
    <mergeCell ref="R495:R498"/>
    <mergeCell ref="S495:S498"/>
    <mergeCell ref="Y495:Y496"/>
    <mergeCell ref="AG503:AG504"/>
    <mergeCell ref="AH503:AH504"/>
    <mergeCell ref="AD505:AD506"/>
    <mergeCell ref="AE505:AE506"/>
    <mergeCell ref="AF505:AF506"/>
    <mergeCell ref="AG505:AG506"/>
    <mergeCell ref="AH505:AH506"/>
    <mergeCell ref="AH501:AH502"/>
    <mergeCell ref="R503:R506"/>
    <mergeCell ref="S503:S506"/>
    <mergeCell ref="Y503:Y504"/>
    <mergeCell ref="AB503:AB506"/>
    <mergeCell ref="AC503:AC506"/>
    <mergeCell ref="AD503:AD504"/>
    <mergeCell ref="AE503:AE504"/>
    <mergeCell ref="AF503:AF504"/>
    <mergeCell ref="AD499:AD500"/>
    <mergeCell ref="AE499:AE500"/>
    <mergeCell ref="AF499:AF500"/>
    <mergeCell ref="AG499:AG500"/>
    <mergeCell ref="AH499:AH500"/>
    <mergeCell ref="AD501:AD502"/>
    <mergeCell ref="AE501:AE502"/>
    <mergeCell ref="AF501:AF502"/>
    <mergeCell ref="AG501:AG502"/>
    <mergeCell ref="R499:R502"/>
    <mergeCell ref="S499:S502"/>
    <mergeCell ref="Y499:Y500"/>
    <mergeCell ref="AB499:AB502"/>
    <mergeCell ref="AC499:AC502"/>
    <mergeCell ref="AG511:AG512"/>
    <mergeCell ref="AH511:AH512"/>
    <mergeCell ref="AD513:AD514"/>
    <mergeCell ref="AE513:AE514"/>
    <mergeCell ref="AF513:AF514"/>
    <mergeCell ref="AG513:AG514"/>
    <mergeCell ref="AH513:AH514"/>
    <mergeCell ref="AH509:AH510"/>
    <mergeCell ref="R511:R514"/>
    <mergeCell ref="S511:S514"/>
    <mergeCell ref="Y511:Y512"/>
    <mergeCell ref="AB511:AB514"/>
    <mergeCell ref="AC511:AC514"/>
    <mergeCell ref="AD511:AD512"/>
    <mergeCell ref="AE511:AE512"/>
    <mergeCell ref="AF511:AF512"/>
    <mergeCell ref="AD507:AD508"/>
    <mergeCell ref="AE507:AE508"/>
    <mergeCell ref="AF507:AF508"/>
    <mergeCell ref="AG507:AG508"/>
    <mergeCell ref="AH507:AH508"/>
    <mergeCell ref="AD509:AD510"/>
    <mergeCell ref="AE509:AE510"/>
    <mergeCell ref="AF509:AF510"/>
    <mergeCell ref="AG509:AG510"/>
    <mergeCell ref="R507:R510"/>
    <mergeCell ref="S507:S510"/>
    <mergeCell ref="Y507:Y508"/>
    <mergeCell ref="AB507:AB510"/>
    <mergeCell ref="AC507:AC510"/>
    <mergeCell ref="AG519:AG520"/>
    <mergeCell ref="AH519:AH520"/>
    <mergeCell ref="AD521:AD522"/>
    <mergeCell ref="AE521:AE522"/>
    <mergeCell ref="AF521:AF522"/>
    <mergeCell ref="AG521:AG522"/>
    <mergeCell ref="AH521:AH522"/>
    <mergeCell ref="AH517:AH518"/>
    <mergeCell ref="R519:R522"/>
    <mergeCell ref="S519:S522"/>
    <mergeCell ref="Y519:Y520"/>
    <mergeCell ref="AB519:AB522"/>
    <mergeCell ref="AC519:AC522"/>
    <mergeCell ref="AD519:AD520"/>
    <mergeCell ref="AE519:AE520"/>
    <mergeCell ref="AF519:AF520"/>
    <mergeCell ref="AC515:AC518"/>
    <mergeCell ref="AD515:AD516"/>
    <mergeCell ref="AE515:AE516"/>
    <mergeCell ref="AF515:AF516"/>
    <mergeCell ref="AG515:AG516"/>
    <mergeCell ref="AH515:AH516"/>
    <mergeCell ref="AD517:AD518"/>
    <mergeCell ref="AE517:AE518"/>
    <mergeCell ref="AF517:AF518"/>
    <mergeCell ref="AG517:AG518"/>
    <mergeCell ref="R515:R518"/>
    <mergeCell ref="S515:S518"/>
    <mergeCell ref="Y515:Y516"/>
    <mergeCell ref="AA515:AA516"/>
    <mergeCell ref="AB515:AB518"/>
    <mergeCell ref="AA517:AA518"/>
    <mergeCell ref="AG527:AG528"/>
    <mergeCell ref="AH527:AH528"/>
    <mergeCell ref="AD529:AD530"/>
    <mergeCell ref="AE529:AE530"/>
    <mergeCell ref="AF529:AF530"/>
    <mergeCell ref="AG529:AG530"/>
    <mergeCell ref="AH529:AH530"/>
    <mergeCell ref="AH525:AH526"/>
    <mergeCell ref="R527:R530"/>
    <mergeCell ref="S527:S530"/>
    <mergeCell ref="Y527:Y528"/>
    <mergeCell ref="AB527:AB530"/>
    <mergeCell ref="AC527:AC530"/>
    <mergeCell ref="AD527:AD528"/>
    <mergeCell ref="AE527:AE528"/>
    <mergeCell ref="AF527:AF528"/>
    <mergeCell ref="AD523:AD524"/>
    <mergeCell ref="AE523:AE524"/>
    <mergeCell ref="AF523:AF524"/>
    <mergeCell ref="AG523:AG524"/>
    <mergeCell ref="AH523:AH524"/>
    <mergeCell ref="AD525:AD526"/>
    <mergeCell ref="AE525:AE526"/>
    <mergeCell ref="AF525:AF526"/>
    <mergeCell ref="AG525:AG526"/>
    <mergeCell ref="R523:R526"/>
    <mergeCell ref="S523:S526"/>
    <mergeCell ref="Y523:Y524"/>
    <mergeCell ref="AB523:AB526"/>
    <mergeCell ref="AC523:AC526"/>
    <mergeCell ref="AH533:AH534"/>
    <mergeCell ref="R535:R538"/>
    <mergeCell ref="S535:S538"/>
    <mergeCell ref="Y535:Y536"/>
    <mergeCell ref="AB535:AB538"/>
    <mergeCell ref="AC535:AC538"/>
    <mergeCell ref="AD535:AD536"/>
    <mergeCell ref="AE535:AE536"/>
    <mergeCell ref="AF535:AF536"/>
    <mergeCell ref="AD533:AD534"/>
    <mergeCell ref="AE533:AE534"/>
    <mergeCell ref="AF533:AF534"/>
    <mergeCell ref="AG533:AG534"/>
    <mergeCell ref="R531:R534"/>
    <mergeCell ref="S531:S534"/>
    <mergeCell ref="Y531:Y532"/>
    <mergeCell ref="AB531:AB534"/>
    <mergeCell ref="AC531:AC534"/>
    <mergeCell ref="AD531:AD532"/>
    <mergeCell ref="AE531:AE532"/>
    <mergeCell ref="AF531:AF532"/>
    <mergeCell ref="AG531:AG532"/>
    <mergeCell ref="AH531:AH532"/>
    <mergeCell ref="R539:R542"/>
    <mergeCell ref="S539:S542"/>
    <mergeCell ref="Y539:Y540"/>
    <mergeCell ref="AB539:AB542"/>
    <mergeCell ref="AC539:AC542"/>
    <mergeCell ref="AG535:AG536"/>
    <mergeCell ref="AH535:AH536"/>
    <mergeCell ref="AD537:AD538"/>
    <mergeCell ref="AE537:AE538"/>
    <mergeCell ref="AF537:AF538"/>
    <mergeCell ref="AG537:AG538"/>
    <mergeCell ref="AH537:AH538"/>
    <mergeCell ref="AH541:AH542"/>
    <mergeCell ref="AD539:AD540"/>
    <mergeCell ref="AE539:AE540"/>
    <mergeCell ref="AF539:AF540"/>
    <mergeCell ref="AG539:AG540"/>
    <mergeCell ref="AH539:AH540"/>
    <mergeCell ref="AD541:AD542"/>
    <mergeCell ref="AE541:AE542"/>
    <mergeCell ref="AF541:AF542"/>
    <mergeCell ref="AG541:AG542"/>
    <mergeCell ref="AH543:AH544"/>
    <mergeCell ref="AD545:AD546"/>
    <mergeCell ref="AE545:AE546"/>
    <mergeCell ref="AF545:AF546"/>
    <mergeCell ref="AG545:AG546"/>
    <mergeCell ref="AH545:AH546"/>
    <mergeCell ref="R543:R546"/>
    <mergeCell ref="S543:S546"/>
    <mergeCell ref="Y543:Y544"/>
    <mergeCell ref="AB543:AB546"/>
    <mergeCell ref="AC543:AC546"/>
    <mergeCell ref="AD543:AD544"/>
    <mergeCell ref="AE543:AE544"/>
    <mergeCell ref="AF543:AF544"/>
    <mergeCell ref="AH549:AH550"/>
    <mergeCell ref="AD547:AD548"/>
    <mergeCell ref="AE547:AE548"/>
    <mergeCell ref="AF547:AF548"/>
    <mergeCell ref="AG547:AG548"/>
    <mergeCell ref="AH547:AH548"/>
    <mergeCell ref="AD549:AD550"/>
    <mergeCell ref="AE549:AE550"/>
    <mergeCell ref="AF549:AF550"/>
    <mergeCell ref="AG549:AG550"/>
    <mergeCell ref="R547:R550"/>
    <mergeCell ref="S547:S550"/>
    <mergeCell ref="Y547:Y548"/>
    <mergeCell ref="AB547:AB550"/>
    <mergeCell ref="AC547:AC550"/>
    <mergeCell ref="AG543:AG544"/>
  </mergeCells>
  <phoneticPr fontId="2"/>
  <printOptions headings="1"/>
  <pageMargins left="0.78740157480314965" right="0.39370078740157483" top="0.98425196850393704" bottom="0.39370078740157483" header="0.39370078740157483" footer="0.15748031496062992"/>
  <pageSetup paperSize="8" scale="55" pageOrder="overThenDown" orientation="landscape" horizontalDpi="300" verticalDpi="300" r:id="rId1"/>
  <headerFooter differentFirst="1">
    <firstHeader>&amp;L&amp;"ＤＦ特太ゴシック体,標準"&amp;16別表第２　保育所（保育認定）</firstHeader>
  </headerFooter>
  <rowBreaks count="8" manualBreakCount="8">
    <brk id="80" min="50" max="80" man="1"/>
    <brk id="142" max="16383" man="1"/>
    <brk id="210" max="16383" man="1"/>
    <brk id="278" max="16383" man="1"/>
    <brk id="346" max="16383" man="1"/>
    <brk id="414" max="16383" man="1"/>
    <brk id="482" max="16383" man="1"/>
    <brk id="550" max="57" man="1"/>
  </rowBreaks>
  <colBreaks count="2" manualBreakCount="2">
    <brk id="13" max="549" man="1"/>
    <brk id="25" max="54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6E0A0-A182-4E7F-A58B-4FD87BDDFE16}">
  <sheetPr>
    <tabColor theme="1"/>
  </sheetPr>
  <dimension ref="B1:AQ101"/>
  <sheetViews>
    <sheetView view="pageBreakPreview" zoomScale="85" zoomScaleNormal="100" zoomScaleSheetLayoutView="85" workbookViewId="0">
      <pane ySplit="5" topLeftCell="A6" activePane="bottomLeft" state="frozen"/>
      <selection activeCell="V65" sqref="V65"/>
      <selection pane="bottomLeft" activeCell="A6" sqref="A6"/>
    </sheetView>
  </sheetViews>
  <sheetFormatPr defaultColWidth="8.75" defaultRowHeight="15"/>
  <cols>
    <col min="1" max="1" width="1" style="2" customWidth="1"/>
    <col min="2" max="3" width="2.75" style="2" customWidth="1"/>
    <col min="4" max="4" width="16.5" style="1" customWidth="1"/>
    <col min="5" max="5" width="8.25" style="57" customWidth="1"/>
    <col min="6" max="13" width="7.25" style="2" customWidth="1"/>
    <col min="14" max="14" width="1" style="2" customWidth="1"/>
    <col min="15" max="16" width="8.625" style="2" customWidth="1"/>
    <col min="17" max="25" width="9.75" style="2" customWidth="1"/>
    <col min="26" max="27" width="8.75" style="2" customWidth="1"/>
    <col min="28" max="31" width="8.875" style="2" customWidth="1"/>
    <col min="32" max="38" width="8.75" style="2"/>
    <col min="39" max="40" width="3.875" style="2" bestFit="1" customWidth="1"/>
    <col min="41" max="41" width="16.5" style="2" bestFit="1" customWidth="1"/>
    <col min="42" max="42" width="8.75" style="2"/>
    <col min="43" max="43" width="9.375" style="264" bestFit="1" customWidth="1"/>
    <col min="44" max="16384" width="8.75" style="2"/>
  </cols>
  <sheetData>
    <row r="1" spans="2:43" ht="4.9000000000000004" customHeight="1" thickBot="1">
      <c r="F1" s="57"/>
      <c r="G1" s="57"/>
      <c r="H1" s="57"/>
      <c r="I1" s="57"/>
      <c r="J1" s="57"/>
      <c r="K1" s="57"/>
      <c r="L1" s="57"/>
      <c r="M1" s="57"/>
    </row>
    <row r="2" spans="2:43" ht="15.75" thickBot="1">
      <c r="B2" s="1450">
        <v>5</v>
      </c>
      <c r="C2" s="1451"/>
      <c r="D2" s="1452"/>
      <c r="E2" s="2"/>
      <c r="F2" s="55" t="s">
        <v>183</v>
      </c>
      <c r="G2" s="72">
        <f>児童数!O9</f>
        <v>0</v>
      </c>
      <c r="H2" s="73" t="s">
        <v>184</v>
      </c>
      <c r="I2" s="72">
        <f>児童数!AB9</f>
        <v>0</v>
      </c>
      <c r="J2" s="73" t="s">
        <v>182</v>
      </c>
      <c r="K2" s="72">
        <f>G2+I2</f>
        <v>0</v>
      </c>
      <c r="L2" s="62"/>
      <c r="N2" s="1"/>
      <c r="O2" s="55" t="s">
        <v>192</v>
      </c>
      <c r="P2" s="78">
        <f>IF(基本情報!E5="",0,基本情報!G10)</f>
        <v>0</v>
      </c>
      <c r="Q2" s="77" t="s">
        <v>11</v>
      </c>
      <c r="R2" s="55" t="s">
        <v>202</v>
      </c>
      <c r="S2" s="257">
        <f>IF(基本情報!E12="１日",単価表!BB11,IF(基本情報!E12="２日",単価表!BC11,IF(基本情報!E12="３日",単価表!BD11,IF(基本情報!E12="全て",単価表!BE11,0))))*100</f>
        <v>0</v>
      </c>
      <c r="T2" s="258">
        <f>IF(基本情報!E12="１日",単価表!BB27,IF(基本情報!E12="２日",単価表!BC27,IF(基本情報!E12="３日",単価表!BD27,IF(基本情報!E12="全て",単価表!BE27,0))))*100</f>
        <v>0</v>
      </c>
      <c r="U2" s="55" t="s">
        <v>198</v>
      </c>
      <c r="V2" s="257">
        <f>IF(基本情報!E14="該当",定員超過減算率!C2,0)</f>
        <v>0</v>
      </c>
      <c r="W2" s="258">
        <f>IF(基本情報!E14="該当",定員超過減算率!C3,0)</f>
        <v>0</v>
      </c>
      <c r="X2" s="55"/>
      <c r="Y2" s="55"/>
      <c r="AC2" s="1" t="s">
        <v>206</v>
      </c>
      <c r="AD2" s="1" t="s">
        <v>207</v>
      </c>
    </row>
    <row r="3" spans="2:43" ht="6" customHeight="1">
      <c r="K3" s="1"/>
    </row>
    <row r="4" spans="2:43" ht="15" customHeight="1">
      <c r="B4" s="1426" t="s">
        <v>181</v>
      </c>
      <c r="C4" s="1429"/>
      <c r="D4" s="1429"/>
      <c r="E4" s="1416" t="s">
        <v>172</v>
      </c>
      <c r="F4" s="1418" t="s">
        <v>15</v>
      </c>
      <c r="G4" s="1418"/>
      <c r="H4" s="1418"/>
      <c r="I4" s="1418"/>
      <c r="J4" s="1418" t="s">
        <v>16</v>
      </c>
      <c r="K4" s="1418"/>
      <c r="L4" s="1418"/>
      <c r="M4" s="1418"/>
      <c r="O4" s="1449" t="s">
        <v>40</v>
      </c>
      <c r="P4" s="1446" t="s">
        <v>171</v>
      </c>
      <c r="Q4" s="1440" t="s">
        <v>15</v>
      </c>
      <c r="R4" s="1440"/>
      <c r="S4" s="1440"/>
      <c r="T4" s="1440"/>
      <c r="U4" s="1440" t="s">
        <v>16</v>
      </c>
      <c r="V4" s="1440"/>
      <c r="W4" s="1440"/>
      <c r="X4" s="1440"/>
      <c r="Y4" s="1441" t="s">
        <v>177</v>
      </c>
      <c r="Z4" s="11"/>
      <c r="AA4" s="1"/>
      <c r="AM4" s="1426" t="s">
        <v>181</v>
      </c>
      <c r="AN4" s="1429"/>
      <c r="AO4" s="1429"/>
      <c r="AP4" s="1416" t="s">
        <v>172</v>
      </c>
      <c r="AQ4" s="85"/>
    </row>
    <row r="5" spans="2:43" s="1" customFormat="1">
      <c r="B5" s="1427"/>
      <c r="C5" s="1429"/>
      <c r="D5" s="1429"/>
      <c r="E5" s="1417"/>
      <c r="F5" s="370" t="s">
        <v>6</v>
      </c>
      <c r="G5" s="370" t="s">
        <v>7</v>
      </c>
      <c r="H5" s="370" t="s">
        <v>8</v>
      </c>
      <c r="I5" s="370" t="s">
        <v>9</v>
      </c>
      <c r="J5" s="370" t="s">
        <v>6</v>
      </c>
      <c r="K5" s="370" t="s">
        <v>7</v>
      </c>
      <c r="L5" s="370" t="s">
        <v>8</v>
      </c>
      <c r="M5" s="370" t="s">
        <v>9</v>
      </c>
      <c r="O5" s="1444"/>
      <c r="P5" s="1446"/>
      <c r="Q5" s="368" t="s">
        <v>6</v>
      </c>
      <c r="R5" s="368" t="s">
        <v>7</v>
      </c>
      <c r="S5" s="368" t="s">
        <v>8</v>
      </c>
      <c r="T5" s="368" t="s">
        <v>9</v>
      </c>
      <c r="U5" s="368" t="s">
        <v>6</v>
      </c>
      <c r="V5" s="368" t="s">
        <v>7</v>
      </c>
      <c r="W5" s="368" t="s">
        <v>8</v>
      </c>
      <c r="X5" s="368" t="s">
        <v>9</v>
      </c>
      <c r="Y5" s="1442"/>
      <c r="Z5" s="11"/>
      <c r="AC5" s="1" t="s">
        <v>6</v>
      </c>
      <c r="AD5" s="1" t="s">
        <v>212</v>
      </c>
      <c r="AM5" s="1427"/>
      <c r="AN5" s="1429"/>
      <c r="AO5" s="1429"/>
      <c r="AP5" s="1417"/>
      <c r="AQ5" s="85"/>
    </row>
    <row r="6" spans="2:43" s="1" customFormat="1">
      <c r="B6" s="1427"/>
      <c r="C6" s="1418" t="s">
        <v>17</v>
      </c>
      <c r="D6" s="1418"/>
      <c r="E6" s="53" t="s">
        <v>169</v>
      </c>
      <c r="F6" s="3" t="e">
        <f>単価表!AV7</f>
        <v>#VALUE!</v>
      </c>
      <c r="G6" s="3" t="e">
        <f>単価表!AV9</f>
        <v>#VALUE!</v>
      </c>
      <c r="H6" s="3" t="e">
        <f>単価表!AV11</f>
        <v>#VALUE!</v>
      </c>
      <c r="I6" s="3" t="e">
        <f>単価表!AV13</f>
        <v>#VALUE!</v>
      </c>
      <c r="J6" s="3" t="e">
        <f>単価表!AW7</f>
        <v>#VALUE!</v>
      </c>
      <c r="K6" s="3" t="e">
        <f>単価表!AW9</f>
        <v>#VALUE!</v>
      </c>
      <c r="L6" s="3" t="e">
        <f>単価表!AW11</f>
        <v>#VALUE!</v>
      </c>
      <c r="M6" s="3" t="e">
        <f>単価表!AW13</f>
        <v>#VALUE!</v>
      </c>
      <c r="O6" s="1444"/>
      <c r="P6" s="630">
        <f>基本情報!E17</f>
        <v>0</v>
      </c>
      <c r="Q6" s="3">
        <f>児童数!E23</f>
        <v>0</v>
      </c>
      <c r="R6" s="3">
        <f>児童数!F23</f>
        <v>0</v>
      </c>
      <c r="S6" s="3">
        <f>児童数!G23</f>
        <v>0</v>
      </c>
      <c r="T6" s="3">
        <f>児童数!H23</f>
        <v>0</v>
      </c>
      <c r="U6" s="3">
        <f>児童数!J23</f>
        <v>0</v>
      </c>
      <c r="V6" s="3">
        <f>児童数!K23</f>
        <v>0</v>
      </c>
      <c r="W6" s="3">
        <f>児童数!L23</f>
        <v>0</v>
      </c>
      <c r="X6" s="3">
        <f>児童数!M23</f>
        <v>0</v>
      </c>
      <c r="Y6" s="64">
        <f>SUM(Q6:X6)</f>
        <v>0</v>
      </c>
      <c r="Z6" s="2"/>
      <c r="AC6" s="1" t="s">
        <v>7</v>
      </c>
      <c r="AD6" s="1" t="s">
        <v>16</v>
      </c>
      <c r="AM6" s="1427"/>
      <c r="AN6" s="1418" t="s">
        <v>17</v>
      </c>
      <c r="AO6" s="1418"/>
      <c r="AP6" s="53" t="s">
        <v>169</v>
      </c>
      <c r="AQ6" s="85" t="e">
        <f>SUMPRODUCT(F6:M6,$Q$11:$X$11)</f>
        <v>#VALUE!</v>
      </c>
    </row>
    <row r="7" spans="2:43" s="1" customFormat="1">
      <c r="B7" s="1427"/>
      <c r="C7" s="1418"/>
      <c r="D7" s="1418"/>
      <c r="E7" s="53" t="s">
        <v>167</v>
      </c>
      <c r="F7" s="3" t="e">
        <f>単価表!AX7*基本情報!G7</f>
        <v>#VALUE!</v>
      </c>
      <c r="G7" s="3" t="e">
        <f>単価表!AX9*基本情報!G7</f>
        <v>#VALUE!</v>
      </c>
      <c r="H7" s="3" t="e">
        <f>単価表!AX11*基本情報!G7</f>
        <v>#VALUE!</v>
      </c>
      <c r="I7" s="3" t="e">
        <f>単価表!AX13*基本情報!G7</f>
        <v>#VALUE!</v>
      </c>
      <c r="J7" s="3" t="e">
        <f>単価表!AY7*基本情報!G7</f>
        <v>#VALUE!</v>
      </c>
      <c r="K7" s="3" t="e">
        <f>単価表!AY9*基本情報!G7</f>
        <v>#VALUE!</v>
      </c>
      <c r="L7" s="3" t="e">
        <f>単価表!AY11*基本情報!G7</f>
        <v>#VALUE!</v>
      </c>
      <c r="M7" s="3" t="e">
        <f>単価表!AY13*基本情報!G7</f>
        <v>#VALUE!</v>
      </c>
      <c r="O7" s="1444"/>
      <c r="P7" s="631">
        <f>基本情報!E18</f>
        <v>0</v>
      </c>
      <c r="Q7" s="3">
        <f>児童数!E37</f>
        <v>0</v>
      </c>
      <c r="R7" s="3">
        <f>児童数!F37</f>
        <v>0</v>
      </c>
      <c r="S7" s="3">
        <f>児童数!G37</f>
        <v>0</v>
      </c>
      <c r="T7" s="3">
        <f>児童数!H37</f>
        <v>0</v>
      </c>
      <c r="U7" s="3">
        <f>児童数!J37</f>
        <v>0</v>
      </c>
      <c r="V7" s="3">
        <f>児童数!K37</f>
        <v>0</v>
      </c>
      <c r="W7" s="3">
        <f>児童数!L37</f>
        <v>0</v>
      </c>
      <c r="X7" s="3">
        <f>児童数!M37</f>
        <v>0</v>
      </c>
      <c r="Y7" s="64">
        <f t="shared" ref="Y7:Y10" si="0">SUM(Q7:X7)</f>
        <v>0</v>
      </c>
      <c r="Z7" s="2"/>
      <c r="AA7" s="2"/>
      <c r="AC7" s="1" t="s">
        <v>8</v>
      </c>
      <c r="AM7" s="1427"/>
      <c r="AN7" s="1418"/>
      <c r="AO7" s="1418"/>
      <c r="AP7" s="53" t="s">
        <v>167</v>
      </c>
      <c r="AQ7" s="85" t="e">
        <f t="shared" ref="AQ7:AQ26" si="1">SUMPRODUCT(F7:M7,$Q$11:$X$11)</f>
        <v>#VALUE!</v>
      </c>
    </row>
    <row r="8" spans="2:43" ht="15" customHeight="1">
      <c r="B8" s="1427"/>
      <c r="C8" s="1419" t="s">
        <v>203</v>
      </c>
      <c r="D8" s="1422" t="s">
        <v>37</v>
      </c>
      <c r="E8" s="53" t="s">
        <v>169</v>
      </c>
      <c r="F8" s="6"/>
      <c r="G8" s="3">
        <f>IF(加算と減算!F5="○",単価表!AV41,0)</f>
        <v>0</v>
      </c>
      <c r="H8" s="6"/>
      <c r="I8" s="6"/>
      <c r="J8" s="6"/>
      <c r="K8" s="3">
        <f>G8</f>
        <v>0</v>
      </c>
      <c r="L8" s="6"/>
      <c r="M8" s="6"/>
      <c r="O8" s="1444"/>
      <c r="P8" s="632">
        <f>基本情報!E19</f>
        <v>0</v>
      </c>
      <c r="Q8" s="3">
        <f>児童数!E51</f>
        <v>0</v>
      </c>
      <c r="R8" s="3">
        <f>児童数!F51</f>
        <v>0</v>
      </c>
      <c r="S8" s="3">
        <f>児童数!G51</f>
        <v>0</v>
      </c>
      <c r="T8" s="3">
        <f>児童数!H51</f>
        <v>0</v>
      </c>
      <c r="U8" s="3">
        <f>児童数!J51</f>
        <v>0</v>
      </c>
      <c r="V8" s="3">
        <f>児童数!K51</f>
        <v>0</v>
      </c>
      <c r="W8" s="3">
        <f>児童数!L51</f>
        <v>0</v>
      </c>
      <c r="X8" s="3">
        <f>児童数!M51</f>
        <v>0</v>
      </c>
      <c r="Y8" s="64">
        <f t="shared" si="0"/>
        <v>0</v>
      </c>
      <c r="AC8" s="1" t="s">
        <v>9</v>
      </c>
      <c r="AM8" s="1427"/>
      <c r="AN8" s="1419" t="s">
        <v>203</v>
      </c>
      <c r="AO8" s="1422" t="s">
        <v>37</v>
      </c>
      <c r="AP8" s="732" t="s">
        <v>559</v>
      </c>
      <c r="AQ8" s="85">
        <f t="shared" si="1"/>
        <v>0</v>
      </c>
    </row>
    <row r="9" spans="2:43">
      <c r="B9" s="1427"/>
      <c r="C9" s="1420"/>
      <c r="D9" s="1422"/>
      <c r="E9" s="53" t="s">
        <v>167</v>
      </c>
      <c r="F9" s="6"/>
      <c r="G9" s="3">
        <f>IF(加算と減算!F5="○",単価表!AW41*基本情報!G7,0)</f>
        <v>0</v>
      </c>
      <c r="H9" s="6"/>
      <c r="I9" s="6"/>
      <c r="J9" s="6"/>
      <c r="K9" s="3">
        <f>G9</f>
        <v>0</v>
      </c>
      <c r="L9" s="6"/>
      <c r="M9" s="6"/>
      <c r="O9" s="1444"/>
      <c r="P9" s="633">
        <f>基本情報!E20</f>
        <v>0</v>
      </c>
      <c r="Q9" s="3">
        <f>児童数!E65</f>
        <v>0</v>
      </c>
      <c r="R9" s="3">
        <f>児童数!F65</f>
        <v>0</v>
      </c>
      <c r="S9" s="3">
        <f>児童数!G65</f>
        <v>0</v>
      </c>
      <c r="T9" s="3">
        <f>児童数!H65</f>
        <v>0</v>
      </c>
      <c r="U9" s="3">
        <f>児童数!J65</f>
        <v>0</v>
      </c>
      <c r="V9" s="3">
        <f>児童数!K65</f>
        <v>0</v>
      </c>
      <c r="W9" s="3">
        <f>児童数!L65</f>
        <v>0</v>
      </c>
      <c r="X9" s="3">
        <f>児童数!M65</f>
        <v>0</v>
      </c>
      <c r="Y9" s="64">
        <f t="shared" si="0"/>
        <v>0</v>
      </c>
      <c r="AM9" s="1427"/>
      <c r="AN9" s="1420"/>
      <c r="AO9" s="1422"/>
      <c r="AP9" s="53" t="s">
        <v>167</v>
      </c>
      <c r="AQ9" s="85">
        <f t="shared" si="1"/>
        <v>0</v>
      </c>
    </row>
    <row r="10" spans="2:43">
      <c r="B10" s="1427"/>
      <c r="C10" s="1420"/>
      <c r="D10" s="383" t="s">
        <v>69</v>
      </c>
      <c r="E10" s="60"/>
      <c r="F10" s="3">
        <f>IF(K2=0,0,IF(加算と減算!F6="○",ROUNDDOWN((加算と減算!R6+(加算と減算!S6*基本情報!G7))/'5月'!K2,-1),0))</f>
        <v>0</v>
      </c>
      <c r="G10" s="3">
        <f t="shared" ref="G10:G18" si="2">F10</f>
        <v>0</v>
      </c>
      <c r="H10" s="3">
        <f>F10</f>
        <v>0</v>
      </c>
      <c r="I10" s="3">
        <f>F10</f>
        <v>0</v>
      </c>
      <c r="J10" s="3">
        <f t="shared" ref="J10:J18" si="3">F10</f>
        <v>0</v>
      </c>
      <c r="K10" s="3">
        <f t="shared" ref="K10:K18" si="4">F10</f>
        <v>0</v>
      </c>
      <c r="L10" s="3">
        <f>F10</f>
        <v>0</v>
      </c>
      <c r="M10" s="3">
        <f>F10</f>
        <v>0</v>
      </c>
      <c r="O10" s="1444"/>
      <c r="P10" s="634">
        <f>基本情報!E21</f>
        <v>0</v>
      </c>
      <c r="Q10" s="3">
        <f>児童数!E79</f>
        <v>0</v>
      </c>
      <c r="R10" s="3">
        <f>児童数!F79</f>
        <v>0</v>
      </c>
      <c r="S10" s="3">
        <f>児童数!G79</f>
        <v>0</v>
      </c>
      <c r="T10" s="3">
        <f>児童数!H79</f>
        <v>0</v>
      </c>
      <c r="U10" s="3">
        <f>児童数!J79</f>
        <v>0</v>
      </c>
      <c r="V10" s="3">
        <f>児童数!K79</f>
        <v>0</v>
      </c>
      <c r="W10" s="3">
        <f>児童数!L79</f>
        <v>0</v>
      </c>
      <c r="X10" s="3">
        <f>児童数!M79</f>
        <v>0</v>
      </c>
      <c r="Y10" s="64">
        <f t="shared" si="0"/>
        <v>0</v>
      </c>
      <c r="AM10" s="1427"/>
      <c r="AN10" s="1420"/>
      <c r="AO10" s="383" t="s">
        <v>69</v>
      </c>
      <c r="AP10" s="629"/>
      <c r="AQ10" s="85">
        <f t="shared" si="1"/>
        <v>0</v>
      </c>
    </row>
    <row r="11" spans="2:43">
      <c r="B11" s="1427"/>
      <c r="C11" s="1420"/>
      <c r="D11" s="1422" t="s">
        <v>161</v>
      </c>
      <c r="E11" s="53" t="s">
        <v>169</v>
      </c>
      <c r="F11" s="3">
        <f>IF(加算と減算!F7="○",単価表!AZ39,0)</f>
        <v>0</v>
      </c>
      <c r="G11" s="3">
        <f t="shared" si="2"/>
        <v>0</v>
      </c>
      <c r="H11" s="3">
        <f>IF(加算と減算!F7="○",単価表!AZ43,0)</f>
        <v>0</v>
      </c>
      <c r="I11" s="3">
        <f>H11</f>
        <v>0</v>
      </c>
      <c r="J11" s="3">
        <f t="shared" si="3"/>
        <v>0</v>
      </c>
      <c r="K11" s="3">
        <f t="shared" si="4"/>
        <v>0</v>
      </c>
      <c r="L11" s="3">
        <f>H11</f>
        <v>0</v>
      </c>
      <c r="M11" s="3">
        <f>H11</f>
        <v>0</v>
      </c>
      <c r="O11" s="1445"/>
      <c r="P11" s="635" t="s">
        <v>36</v>
      </c>
      <c r="Q11" s="3">
        <f>SUM(Q6:Q10)</f>
        <v>0</v>
      </c>
      <c r="R11" s="3">
        <f t="shared" ref="R11:Y11" si="5">SUM(R6:R10)</f>
        <v>0</v>
      </c>
      <c r="S11" s="3">
        <f t="shared" si="5"/>
        <v>0</v>
      </c>
      <c r="T11" s="3">
        <f t="shared" si="5"/>
        <v>0</v>
      </c>
      <c r="U11" s="3">
        <f t="shared" si="5"/>
        <v>0</v>
      </c>
      <c r="V11" s="3">
        <f t="shared" si="5"/>
        <v>0</v>
      </c>
      <c r="W11" s="3">
        <f t="shared" si="5"/>
        <v>0</v>
      </c>
      <c r="X11" s="3">
        <f t="shared" si="5"/>
        <v>0</v>
      </c>
      <c r="Y11" s="3">
        <f t="shared" si="5"/>
        <v>0</v>
      </c>
      <c r="Z11" s="55" t="s">
        <v>176</v>
      </c>
      <c r="AA11" s="71" t="str">
        <f>IF(SUM(Q11:X11)=G2,"OK",SUM(Q11:X11)-K2)</f>
        <v>OK</v>
      </c>
      <c r="AB11" s="62"/>
      <c r="AM11" s="1427"/>
      <c r="AN11" s="1420"/>
      <c r="AO11" s="1422" t="s">
        <v>161</v>
      </c>
      <c r="AP11" s="53" t="s">
        <v>169</v>
      </c>
      <c r="AQ11" s="85">
        <f t="shared" si="1"/>
        <v>0</v>
      </c>
    </row>
    <row r="12" spans="2:43" ht="15" customHeight="1">
      <c r="B12" s="1427"/>
      <c r="C12" s="1420"/>
      <c r="D12" s="1422"/>
      <c r="E12" s="53" t="s">
        <v>167</v>
      </c>
      <c r="F12" s="3">
        <f>IF(加算と減算!F7="○",単価表!BA39*基本情報!G7,0)</f>
        <v>0</v>
      </c>
      <c r="G12" s="3">
        <f t="shared" si="2"/>
        <v>0</v>
      </c>
      <c r="H12" s="3">
        <f>IF(加算と減算!F7="○",単価表!BA43*基本情報!G7,0)</f>
        <v>0</v>
      </c>
      <c r="I12" s="3">
        <f>H12</f>
        <v>0</v>
      </c>
      <c r="J12" s="3">
        <f t="shared" si="3"/>
        <v>0</v>
      </c>
      <c r="K12" s="3">
        <f t="shared" si="4"/>
        <v>0</v>
      </c>
      <c r="L12" s="3">
        <f>H12</f>
        <v>0</v>
      </c>
      <c r="M12" s="3">
        <f>H12</f>
        <v>0</v>
      </c>
      <c r="O12" s="75"/>
      <c r="P12" s="636"/>
      <c r="Q12" s="54"/>
      <c r="R12" s="54"/>
      <c r="S12" s="54"/>
      <c r="T12" s="54"/>
      <c r="U12" s="54"/>
      <c r="V12" s="54"/>
      <c r="W12" s="54"/>
      <c r="X12" s="54"/>
      <c r="Y12" s="54"/>
      <c r="AA12" s="62"/>
      <c r="AB12" s="62"/>
      <c r="AM12" s="1427"/>
      <c r="AN12" s="1420"/>
      <c r="AO12" s="1422"/>
      <c r="AP12" s="53" t="s">
        <v>167</v>
      </c>
      <c r="AQ12" s="85">
        <f t="shared" si="1"/>
        <v>0</v>
      </c>
    </row>
    <row r="13" spans="2:43" ht="16.5">
      <c r="B13" s="1427"/>
      <c r="C13" s="1420"/>
      <c r="D13" s="366" t="s">
        <v>162</v>
      </c>
      <c r="E13" s="59"/>
      <c r="F13" s="3">
        <f>IF(加算と減算!F8="○",加算と減算!R8,0)</f>
        <v>0</v>
      </c>
      <c r="G13" s="3">
        <f t="shared" si="2"/>
        <v>0</v>
      </c>
      <c r="H13" s="3">
        <f t="shared" ref="H13:H18" si="6">F13</f>
        <v>0</v>
      </c>
      <c r="I13" s="3">
        <f t="shared" ref="I13:I18" si="7">F13</f>
        <v>0</v>
      </c>
      <c r="J13" s="3">
        <f t="shared" si="3"/>
        <v>0</v>
      </c>
      <c r="K13" s="3">
        <f t="shared" si="4"/>
        <v>0</v>
      </c>
      <c r="L13" s="3">
        <f t="shared" ref="L13:L18" si="8">F13</f>
        <v>0</v>
      </c>
      <c r="M13" s="3">
        <f t="shared" ref="M13:M18" si="9">F13</f>
        <v>0</v>
      </c>
      <c r="O13" s="1443" t="s">
        <v>187</v>
      </c>
      <c r="P13" s="1449" t="s">
        <v>171</v>
      </c>
      <c r="Q13" s="1440" t="s">
        <v>15</v>
      </c>
      <c r="R13" s="1440"/>
      <c r="S13" s="1440"/>
      <c r="T13" s="1440"/>
      <c r="U13" s="1440" t="s">
        <v>16</v>
      </c>
      <c r="V13" s="1440"/>
      <c r="W13" s="1440"/>
      <c r="X13" s="1440"/>
      <c r="Y13" s="1449" t="s">
        <v>177</v>
      </c>
      <c r="AA13" s="62"/>
      <c r="AB13" s="62"/>
      <c r="AM13" s="1427"/>
      <c r="AN13" s="1420"/>
      <c r="AO13" s="720" t="s">
        <v>162</v>
      </c>
      <c r="AP13" s="731" t="s">
        <v>353</v>
      </c>
      <c r="AQ13" s="85">
        <f t="shared" si="1"/>
        <v>0</v>
      </c>
    </row>
    <row r="14" spans="2:43" ht="16.5">
      <c r="B14" s="1427"/>
      <c r="C14" s="1420"/>
      <c r="D14" s="366" t="s">
        <v>54</v>
      </c>
      <c r="E14" s="59"/>
      <c r="F14" s="3">
        <f>IF(加算と減算!F9="○",加算と減算!R9,0)</f>
        <v>0</v>
      </c>
      <c r="G14" s="3">
        <f t="shared" si="2"/>
        <v>0</v>
      </c>
      <c r="H14" s="3">
        <f t="shared" si="6"/>
        <v>0</v>
      </c>
      <c r="I14" s="3">
        <f t="shared" si="7"/>
        <v>0</v>
      </c>
      <c r="J14" s="3">
        <f t="shared" si="3"/>
        <v>0</v>
      </c>
      <c r="K14" s="3">
        <f t="shared" si="4"/>
        <v>0</v>
      </c>
      <c r="L14" s="3">
        <f t="shared" si="8"/>
        <v>0</v>
      </c>
      <c r="M14" s="3">
        <f t="shared" si="9"/>
        <v>0</v>
      </c>
      <c r="O14" s="1447"/>
      <c r="P14" s="1445"/>
      <c r="Q14" s="368" t="s">
        <v>6</v>
      </c>
      <c r="R14" s="368" t="s">
        <v>7</v>
      </c>
      <c r="S14" s="368" t="s">
        <v>8</v>
      </c>
      <c r="T14" s="368" t="s">
        <v>9</v>
      </c>
      <c r="U14" s="368" t="s">
        <v>6</v>
      </c>
      <c r="V14" s="368" t="s">
        <v>7</v>
      </c>
      <c r="W14" s="368" t="s">
        <v>8</v>
      </c>
      <c r="X14" s="368" t="s">
        <v>9</v>
      </c>
      <c r="Y14" s="1445"/>
      <c r="AA14" s="62"/>
      <c r="AB14" s="62"/>
      <c r="AM14" s="1427"/>
      <c r="AN14" s="1420"/>
      <c r="AO14" s="720" t="s">
        <v>54</v>
      </c>
      <c r="AP14" s="731" t="s">
        <v>353</v>
      </c>
      <c r="AQ14" s="85">
        <f t="shared" si="1"/>
        <v>0</v>
      </c>
    </row>
    <row r="15" spans="2:43" ht="16.5">
      <c r="B15" s="1427"/>
      <c r="C15" s="1420"/>
      <c r="D15" s="1422" t="s">
        <v>38</v>
      </c>
      <c r="E15" s="53" t="s">
        <v>169</v>
      </c>
      <c r="F15" s="3">
        <f>IF(加算と減算!F10="○",加算と減算!R10,0)</f>
        <v>0</v>
      </c>
      <c r="G15" s="3">
        <f t="shared" si="2"/>
        <v>0</v>
      </c>
      <c r="H15" s="3">
        <f t="shared" si="6"/>
        <v>0</v>
      </c>
      <c r="I15" s="3">
        <f t="shared" si="7"/>
        <v>0</v>
      </c>
      <c r="J15" s="3">
        <f t="shared" si="3"/>
        <v>0</v>
      </c>
      <c r="K15" s="3">
        <f t="shared" si="4"/>
        <v>0</v>
      </c>
      <c r="L15" s="3">
        <f t="shared" si="8"/>
        <v>0</v>
      </c>
      <c r="M15" s="3">
        <f t="shared" si="9"/>
        <v>0</v>
      </c>
      <c r="O15" s="1447"/>
      <c r="P15" s="630">
        <f>P6</f>
        <v>0</v>
      </c>
      <c r="Q15" s="3" t="e">
        <f t="shared" ref="Q15:X15" si="10">F27*Q6</f>
        <v>#VALUE!</v>
      </c>
      <c r="R15" s="3" t="e">
        <f t="shared" si="10"/>
        <v>#VALUE!</v>
      </c>
      <c r="S15" s="3" t="e">
        <f t="shared" si="10"/>
        <v>#VALUE!</v>
      </c>
      <c r="T15" s="3" t="e">
        <f t="shared" si="10"/>
        <v>#VALUE!</v>
      </c>
      <c r="U15" s="3" t="e">
        <f t="shared" si="10"/>
        <v>#VALUE!</v>
      </c>
      <c r="V15" s="3" t="e">
        <f t="shared" si="10"/>
        <v>#VALUE!</v>
      </c>
      <c r="W15" s="3" t="e">
        <f t="shared" si="10"/>
        <v>#VALUE!</v>
      </c>
      <c r="X15" s="3" t="e">
        <f t="shared" si="10"/>
        <v>#VALUE!</v>
      </c>
      <c r="Y15" s="3" t="e">
        <f>SUM(Q15:X15)</f>
        <v>#VALUE!</v>
      </c>
      <c r="AA15" s="62"/>
      <c r="AB15" s="62"/>
      <c r="AM15" s="1427"/>
      <c r="AN15" s="1420"/>
      <c r="AO15" s="1422" t="s">
        <v>38</v>
      </c>
      <c r="AP15" s="732" t="s">
        <v>559</v>
      </c>
      <c r="AQ15" s="85">
        <f t="shared" si="1"/>
        <v>0</v>
      </c>
    </row>
    <row r="16" spans="2:43">
      <c r="B16" s="1427"/>
      <c r="C16" s="1421"/>
      <c r="D16" s="1422"/>
      <c r="E16" s="53" t="s">
        <v>167</v>
      </c>
      <c r="F16" s="3">
        <f>IF(加算と減算!F10="○",加算と減算!S10*基本情報!G7,0)</f>
        <v>0</v>
      </c>
      <c r="G16" s="3">
        <f t="shared" si="2"/>
        <v>0</v>
      </c>
      <c r="H16" s="3">
        <f t="shared" si="6"/>
        <v>0</v>
      </c>
      <c r="I16" s="3">
        <f t="shared" si="7"/>
        <v>0</v>
      </c>
      <c r="J16" s="3">
        <f t="shared" si="3"/>
        <v>0</v>
      </c>
      <c r="K16" s="3">
        <f t="shared" si="4"/>
        <v>0</v>
      </c>
      <c r="L16" s="3">
        <f t="shared" si="8"/>
        <v>0</v>
      </c>
      <c r="M16" s="3">
        <f t="shared" si="9"/>
        <v>0</v>
      </c>
      <c r="O16" s="1447"/>
      <c r="P16" s="631">
        <f>P7</f>
        <v>0</v>
      </c>
      <c r="Q16" s="3" t="e">
        <f t="shared" ref="Q16:X16" si="11">F27*Q7</f>
        <v>#VALUE!</v>
      </c>
      <c r="R16" s="3" t="e">
        <f t="shared" si="11"/>
        <v>#VALUE!</v>
      </c>
      <c r="S16" s="3" t="e">
        <f t="shared" si="11"/>
        <v>#VALUE!</v>
      </c>
      <c r="T16" s="3" t="e">
        <f t="shared" si="11"/>
        <v>#VALUE!</v>
      </c>
      <c r="U16" s="3" t="e">
        <f t="shared" si="11"/>
        <v>#VALUE!</v>
      </c>
      <c r="V16" s="3" t="e">
        <f t="shared" si="11"/>
        <v>#VALUE!</v>
      </c>
      <c r="W16" s="3" t="e">
        <f t="shared" si="11"/>
        <v>#VALUE!</v>
      </c>
      <c r="X16" s="3" t="e">
        <f t="shared" si="11"/>
        <v>#VALUE!</v>
      </c>
      <c r="Y16" s="3" t="e">
        <f t="shared" ref="Y16:Y19" si="12">SUM(Q16:X16)</f>
        <v>#VALUE!</v>
      </c>
      <c r="AA16" s="62"/>
      <c r="AB16" s="62"/>
      <c r="AM16" s="1427"/>
      <c r="AN16" s="1421"/>
      <c r="AO16" s="1422"/>
      <c r="AP16" s="53" t="s">
        <v>167</v>
      </c>
      <c r="AQ16" s="85">
        <f t="shared" si="1"/>
        <v>0</v>
      </c>
    </row>
    <row r="17" spans="2:43">
      <c r="B17" s="1427"/>
      <c r="C17" s="1423" t="s">
        <v>205</v>
      </c>
      <c r="D17" s="1424" t="s">
        <v>43</v>
      </c>
      <c r="E17" s="53" t="s">
        <v>169</v>
      </c>
      <c r="F17" s="74">
        <f>-IF(加算と減算!F32="○",単価表!AZ7,0)</f>
        <v>0</v>
      </c>
      <c r="G17" s="74">
        <f t="shared" si="2"/>
        <v>0</v>
      </c>
      <c r="H17" s="74">
        <f t="shared" si="6"/>
        <v>0</v>
      </c>
      <c r="I17" s="74">
        <f t="shared" si="7"/>
        <v>0</v>
      </c>
      <c r="J17" s="74">
        <f t="shared" si="3"/>
        <v>0</v>
      </c>
      <c r="K17" s="74">
        <f t="shared" si="4"/>
        <v>0</v>
      </c>
      <c r="L17" s="74">
        <f t="shared" si="8"/>
        <v>0</v>
      </c>
      <c r="M17" s="74">
        <f t="shared" si="9"/>
        <v>0</v>
      </c>
      <c r="O17" s="1447"/>
      <c r="P17" s="632">
        <f>P8</f>
        <v>0</v>
      </c>
      <c r="Q17" s="3" t="e">
        <f t="shared" ref="Q17:X17" si="13">F27*Q8</f>
        <v>#VALUE!</v>
      </c>
      <c r="R17" s="3" t="e">
        <f t="shared" si="13"/>
        <v>#VALUE!</v>
      </c>
      <c r="S17" s="3" t="e">
        <f t="shared" si="13"/>
        <v>#VALUE!</v>
      </c>
      <c r="T17" s="3" t="e">
        <f t="shared" si="13"/>
        <v>#VALUE!</v>
      </c>
      <c r="U17" s="3" t="e">
        <f t="shared" si="13"/>
        <v>#VALUE!</v>
      </c>
      <c r="V17" s="3" t="e">
        <f t="shared" si="13"/>
        <v>#VALUE!</v>
      </c>
      <c r="W17" s="3" t="e">
        <f t="shared" si="13"/>
        <v>#VALUE!</v>
      </c>
      <c r="X17" s="3" t="e">
        <f t="shared" si="13"/>
        <v>#VALUE!</v>
      </c>
      <c r="Y17" s="3" t="e">
        <f t="shared" si="12"/>
        <v>#VALUE!</v>
      </c>
      <c r="AA17" s="62"/>
      <c r="AB17" s="62"/>
      <c r="AM17" s="1427"/>
      <c r="AN17" s="1423" t="s">
        <v>205</v>
      </c>
      <c r="AO17" s="1424" t="s">
        <v>43</v>
      </c>
      <c r="AP17" s="53" t="s">
        <v>169</v>
      </c>
      <c r="AQ17" s="85">
        <f t="shared" si="1"/>
        <v>0</v>
      </c>
    </row>
    <row r="18" spans="2:43">
      <c r="B18" s="1427"/>
      <c r="C18" s="1423"/>
      <c r="D18" s="1424"/>
      <c r="E18" s="53" t="s">
        <v>167</v>
      </c>
      <c r="F18" s="74">
        <f>-IF(加算と減算!F32="○",単価表!BA7*基本情報!G7,0)</f>
        <v>0</v>
      </c>
      <c r="G18" s="74">
        <f t="shared" si="2"/>
        <v>0</v>
      </c>
      <c r="H18" s="74">
        <f t="shared" si="6"/>
        <v>0</v>
      </c>
      <c r="I18" s="74">
        <f t="shared" si="7"/>
        <v>0</v>
      </c>
      <c r="J18" s="74">
        <f t="shared" si="3"/>
        <v>0</v>
      </c>
      <c r="K18" s="74">
        <f t="shared" si="4"/>
        <v>0</v>
      </c>
      <c r="L18" s="74">
        <f t="shared" si="8"/>
        <v>0</v>
      </c>
      <c r="M18" s="74">
        <f t="shared" si="9"/>
        <v>0</v>
      </c>
      <c r="O18" s="1447"/>
      <c r="P18" s="633">
        <f>P9</f>
        <v>0</v>
      </c>
      <c r="Q18" s="3" t="e">
        <f t="shared" ref="Q18:X18" si="14">F27*Q9</f>
        <v>#VALUE!</v>
      </c>
      <c r="R18" s="3" t="e">
        <f t="shared" si="14"/>
        <v>#VALUE!</v>
      </c>
      <c r="S18" s="3" t="e">
        <f t="shared" si="14"/>
        <v>#VALUE!</v>
      </c>
      <c r="T18" s="3" t="e">
        <f t="shared" si="14"/>
        <v>#VALUE!</v>
      </c>
      <c r="U18" s="3" t="e">
        <f t="shared" si="14"/>
        <v>#VALUE!</v>
      </c>
      <c r="V18" s="3" t="e">
        <f t="shared" si="14"/>
        <v>#VALUE!</v>
      </c>
      <c r="W18" s="3" t="e">
        <f t="shared" si="14"/>
        <v>#VALUE!</v>
      </c>
      <c r="X18" s="3" t="e">
        <f t="shared" si="14"/>
        <v>#VALUE!</v>
      </c>
      <c r="Y18" s="3" t="e">
        <f t="shared" si="12"/>
        <v>#VALUE!</v>
      </c>
      <c r="AA18" s="62"/>
      <c r="AB18" s="62"/>
      <c r="AM18" s="1427"/>
      <c r="AN18" s="1423"/>
      <c r="AO18" s="1424"/>
      <c r="AP18" s="53" t="s">
        <v>167</v>
      </c>
      <c r="AQ18" s="85">
        <f t="shared" si="1"/>
        <v>0</v>
      </c>
    </row>
    <row r="19" spans="2:43">
      <c r="B19" s="1427"/>
      <c r="C19" s="1423"/>
      <c r="D19" s="371" t="s">
        <v>165</v>
      </c>
      <c r="E19" s="60"/>
      <c r="F19" s="74" t="e">
        <f t="shared" ref="F19:M19" si="15">-ROUNDDOWN((F6+F7+F11+F12+F8+F9)*$S$2/100,-1)</f>
        <v>#VALUE!</v>
      </c>
      <c r="G19" s="74" t="e">
        <f t="shared" si="15"/>
        <v>#VALUE!</v>
      </c>
      <c r="H19" s="74" t="e">
        <f t="shared" si="15"/>
        <v>#VALUE!</v>
      </c>
      <c r="I19" s="74" t="e">
        <f t="shared" si="15"/>
        <v>#VALUE!</v>
      </c>
      <c r="J19" s="74" t="e">
        <f t="shared" si="15"/>
        <v>#VALUE!</v>
      </c>
      <c r="K19" s="74" t="e">
        <f t="shared" si="15"/>
        <v>#VALUE!</v>
      </c>
      <c r="L19" s="74" t="e">
        <f t="shared" si="15"/>
        <v>#VALUE!</v>
      </c>
      <c r="M19" s="74" t="e">
        <f t="shared" si="15"/>
        <v>#VALUE!</v>
      </c>
      <c r="O19" s="1447"/>
      <c r="P19" s="634">
        <f>P10</f>
        <v>0</v>
      </c>
      <c r="Q19" s="3" t="e">
        <f t="shared" ref="Q19:X19" si="16">F27*Q10</f>
        <v>#VALUE!</v>
      </c>
      <c r="R19" s="3" t="e">
        <f t="shared" si="16"/>
        <v>#VALUE!</v>
      </c>
      <c r="S19" s="3" t="e">
        <f t="shared" si="16"/>
        <v>#VALUE!</v>
      </c>
      <c r="T19" s="3" t="e">
        <f t="shared" si="16"/>
        <v>#VALUE!</v>
      </c>
      <c r="U19" s="3" t="e">
        <f t="shared" si="16"/>
        <v>#VALUE!</v>
      </c>
      <c r="V19" s="3" t="e">
        <f t="shared" si="16"/>
        <v>#VALUE!</v>
      </c>
      <c r="W19" s="3" t="e">
        <f t="shared" si="16"/>
        <v>#VALUE!</v>
      </c>
      <c r="X19" s="3" t="e">
        <f t="shared" si="16"/>
        <v>#VALUE!</v>
      </c>
      <c r="Y19" s="3" t="e">
        <f t="shared" si="12"/>
        <v>#VALUE!</v>
      </c>
      <c r="AA19" s="62"/>
      <c r="AB19" s="62"/>
      <c r="AM19" s="1427"/>
      <c r="AN19" s="1423"/>
      <c r="AO19" s="717" t="s">
        <v>165</v>
      </c>
      <c r="AP19" s="60"/>
      <c r="AQ19" s="85" t="e">
        <f t="shared" si="1"/>
        <v>#VALUE!</v>
      </c>
    </row>
    <row r="20" spans="2:43">
      <c r="B20" s="1427"/>
      <c r="C20" s="1423"/>
      <c r="D20" s="371" t="s">
        <v>166</v>
      </c>
      <c r="E20" s="60"/>
      <c r="F20" s="74" t="e">
        <f t="shared" ref="F20:M20" si="17">-ROUNDUP(SUM(F6:F19)*$V$2/100,-1)</f>
        <v>#VALUE!</v>
      </c>
      <c r="G20" s="74" t="e">
        <f t="shared" si="17"/>
        <v>#VALUE!</v>
      </c>
      <c r="H20" s="74" t="e">
        <f t="shared" si="17"/>
        <v>#VALUE!</v>
      </c>
      <c r="I20" s="74" t="e">
        <f t="shared" si="17"/>
        <v>#VALUE!</v>
      </c>
      <c r="J20" s="74" t="e">
        <f t="shared" si="17"/>
        <v>#VALUE!</v>
      </c>
      <c r="K20" s="74" t="e">
        <f t="shared" si="17"/>
        <v>#VALUE!</v>
      </c>
      <c r="L20" s="74" t="e">
        <f t="shared" si="17"/>
        <v>#VALUE!</v>
      </c>
      <c r="M20" s="74" t="e">
        <f t="shared" si="17"/>
        <v>#VALUE!</v>
      </c>
      <c r="O20" s="1448"/>
      <c r="P20" s="635" t="s">
        <v>36</v>
      </c>
      <c r="Q20" s="3" t="e">
        <f>SUM(Q15:Q19)</f>
        <v>#VALUE!</v>
      </c>
      <c r="R20" s="3" t="e">
        <f t="shared" ref="R20:Y20" si="18">SUM(R15:R19)</f>
        <v>#VALUE!</v>
      </c>
      <c r="S20" s="3" t="e">
        <f t="shared" si="18"/>
        <v>#VALUE!</v>
      </c>
      <c r="T20" s="3" t="e">
        <f t="shared" si="18"/>
        <v>#VALUE!</v>
      </c>
      <c r="U20" s="3" t="e">
        <f t="shared" si="18"/>
        <v>#VALUE!</v>
      </c>
      <c r="V20" s="3" t="e">
        <f t="shared" si="18"/>
        <v>#VALUE!</v>
      </c>
      <c r="W20" s="3" t="e">
        <f t="shared" si="18"/>
        <v>#VALUE!</v>
      </c>
      <c r="X20" s="3" t="e">
        <f t="shared" si="18"/>
        <v>#VALUE!</v>
      </c>
      <c r="Y20" s="3" t="e">
        <f t="shared" si="18"/>
        <v>#VALUE!</v>
      </c>
      <c r="AA20" s="62"/>
      <c r="AB20" s="62"/>
      <c r="AM20" s="1427"/>
      <c r="AN20" s="1423"/>
      <c r="AO20" s="717" t="s">
        <v>166</v>
      </c>
      <c r="AP20" s="60"/>
      <c r="AQ20" s="85" t="e">
        <f t="shared" si="1"/>
        <v>#VALUE!</v>
      </c>
    </row>
    <row r="21" spans="2:43" ht="15" customHeight="1">
      <c r="B21" s="1427"/>
      <c r="C21" s="1419" t="s">
        <v>204</v>
      </c>
      <c r="D21" s="366" t="s">
        <v>18</v>
      </c>
      <c r="E21" s="59"/>
      <c r="F21" s="3">
        <f>IF(K2=0,0,IF(加算と減算!F13="",0,ROUNDDOWN(加算と減算!U13/'5月'!$K$2,-1)))</f>
        <v>0</v>
      </c>
      <c r="G21" s="3">
        <f>F21</f>
        <v>0</v>
      </c>
      <c r="H21" s="3">
        <f t="shared" ref="H21:M21" si="19">G21</f>
        <v>0</v>
      </c>
      <c r="I21" s="3">
        <f t="shared" si="19"/>
        <v>0</v>
      </c>
      <c r="J21" s="3">
        <f t="shared" si="19"/>
        <v>0</v>
      </c>
      <c r="K21" s="3">
        <f t="shared" si="19"/>
        <v>0</v>
      </c>
      <c r="L21" s="3">
        <f t="shared" si="19"/>
        <v>0</v>
      </c>
      <c r="M21" s="3">
        <f t="shared" si="19"/>
        <v>0</v>
      </c>
      <c r="O21" s="76"/>
      <c r="P21" s="636"/>
      <c r="Q21" s="54"/>
      <c r="R21" s="54"/>
      <c r="S21" s="9"/>
      <c r="T21" s="9"/>
      <c r="U21" s="54"/>
      <c r="V21" s="54"/>
      <c r="W21" s="10"/>
      <c r="X21" s="10"/>
      <c r="Y21" s="10"/>
      <c r="AA21" s="62"/>
      <c r="AB21" s="62"/>
      <c r="AM21" s="1427"/>
      <c r="AN21" s="1419" t="s">
        <v>204</v>
      </c>
      <c r="AO21" s="720" t="s">
        <v>18</v>
      </c>
      <c r="AP21" s="732" t="s">
        <v>559</v>
      </c>
      <c r="AQ21" s="85">
        <f t="shared" si="1"/>
        <v>0</v>
      </c>
    </row>
    <row r="22" spans="2:43" ht="15" customHeight="1">
      <c r="B22" s="1427"/>
      <c r="C22" s="1420"/>
      <c r="D22" s="366" t="s">
        <v>62</v>
      </c>
      <c r="E22" s="59"/>
      <c r="F22" s="3">
        <f>IF(K2=0,0,ROUNDDOWN(IF(加算と減算!F14="○",加算と減算!U14,IF(加算と減算!F15="○",加算と減算!U15,0))/K2,-1))</f>
        <v>0</v>
      </c>
      <c r="G22" s="3">
        <f t="shared" ref="G22:M26" si="20">F22</f>
        <v>0</v>
      </c>
      <c r="H22" s="3">
        <f t="shared" si="20"/>
        <v>0</v>
      </c>
      <c r="I22" s="3">
        <f t="shared" si="20"/>
        <v>0</v>
      </c>
      <c r="J22" s="3">
        <f t="shared" si="20"/>
        <v>0</v>
      </c>
      <c r="K22" s="3">
        <f t="shared" si="20"/>
        <v>0</v>
      </c>
      <c r="L22" s="3">
        <f t="shared" si="20"/>
        <v>0</v>
      </c>
      <c r="M22" s="3">
        <f>L22</f>
        <v>0</v>
      </c>
      <c r="O22" s="1443" t="s">
        <v>180</v>
      </c>
      <c r="P22" s="367" t="s">
        <v>171</v>
      </c>
      <c r="Q22" s="368" t="s">
        <v>178</v>
      </c>
      <c r="R22" s="367" t="s">
        <v>179</v>
      </c>
      <c r="S22" s="4"/>
      <c r="T22" s="1443" t="s">
        <v>188</v>
      </c>
      <c r="U22" s="367" t="s">
        <v>171</v>
      </c>
      <c r="V22" s="40" t="s">
        <v>179</v>
      </c>
      <c r="AA22" s="62"/>
      <c r="AB22" s="62"/>
      <c r="AM22" s="1427"/>
      <c r="AN22" s="1420"/>
      <c r="AO22" s="720" t="s">
        <v>62</v>
      </c>
      <c r="AP22" s="732" t="s">
        <v>559</v>
      </c>
      <c r="AQ22" s="85">
        <f t="shared" si="1"/>
        <v>0</v>
      </c>
    </row>
    <row r="23" spans="2:43" ht="16.5">
      <c r="B23" s="1427"/>
      <c r="C23" s="1420"/>
      <c r="D23" s="366" t="s">
        <v>19</v>
      </c>
      <c r="E23" s="59"/>
      <c r="F23" s="3">
        <f>IF(K2=0,0,IF(加算と減算!F16="",0,ROUNDDOWN(加算と減算!U16/'5月'!$K$2,-1)))</f>
        <v>0</v>
      </c>
      <c r="G23" s="3">
        <f t="shared" si="20"/>
        <v>0</v>
      </c>
      <c r="H23" s="3">
        <f t="shared" si="20"/>
        <v>0</v>
      </c>
      <c r="I23" s="3">
        <f t="shared" si="20"/>
        <v>0</v>
      </c>
      <c r="J23" s="3">
        <f t="shared" si="20"/>
        <v>0</v>
      </c>
      <c r="K23" s="3">
        <f t="shared" si="20"/>
        <v>0</v>
      </c>
      <c r="L23" s="3">
        <f t="shared" si="20"/>
        <v>0</v>
      </c>
      <c r="M23" s="3">
        <f t="shared" si="20"/>
        <v>0</v>
      </c>
      <c r="O23" s="1447"/>
      <c r="P23" s="630">
        <f>P6</f>
        <v>0</v>
      </c>
      <c r="Q23" s="3">
        <f>児童数!AE23</f>
        <v>0</v>
      </c>
      <c r="R23" s="64">
        <f>4500*Q23</f>
        <v>0</v>
      </c>
      <c r="S23" s="4"/>
      <c r="T23" s="1447"/>
      <c r="U23" s="630">
        <f>P6</f>
        <v>0</v>
      </c>
      <c r="V23" s="65" t="e">
        <f>Y15+R23</f>
        <v>#VALUE!</v>
      </c>
      <c r="AA23" s="62"/>
      <c r="AB23" s="62"/>
      <c r="AM23" s="1427"/>
      <c r="AN23" s="1420"/>
      <c r="AO23" s="720" t="s">
        <v>19</v>
      </c>
      <c r="AP23" s="732" t="s">
        <v>559</v>
      </c>
      <c r="AQ23" s="85">
        <f t="shared" si="1"/>
        <v>0</v>
      </c>
    </row>
    <row r="24" spans="2:43" ht="16.5">
      <c r="B24" s="1427"/>
      <c r="C24" s="1420"/>
      <c r="D24" s="366" t="s">
        <v>41</v>
      </c>
      <c r="E24" s="59"/>
      <c r="F24" s="3">
        <f>IF(K2=0,0,IF(加算と減算!D17="",0,ROUNDDOWN(加算と減算!U17/'5月'!$K$2,-1)))</f>
        <v>0</v>
      </c>
      <c r="G24" s="3">
        <f t="shared" si="20"/>
        <v>0</v>
      </c>
      <c r="H24" s="3">
        <f t="shared" si="20"/>
        <v>0</v>
      </c>
      <c r="I24" s="3">
        <f t="shared" si="20"/>
        <v>0</v>
      </c>
      <c r="J24" s="3">
        <f t="shared" si="20"/>
        <v>0</v>
      </c>
      <c r="K24" s="3">
        <f t="shared" si="20"/>
        <v>0</v>
      </c>
      <c r="L24" s="3">
        <f t="shared" si="20"/>
        <v>0</v>
      </c>
      <c r="M24" s="3">
        <f t="shared" si="20"/>
        <v>0</v>
      </c>
      <c r="O24" s="1447"/>
      <c r="P24" s="631">
        <f>P7</f>
        <v>0</v>
      </c>
      <c r="Q24" s="3">
        <f>児童数!AE37</f>
        <v>0</v>
      </c>
      <c r="R24" s="64">
        <f t="shared" ref="R24:R27" si="21">4500*Q24</f>
        <v>0</v>
      </c>
      <c r="S24" s="4"/>
      <c r="T24" s="1447"/>
      <c r="U24" s="631">
        <f>P7</f>
        <v>0</v>
      </c>
      <c r="V24" s="66" t="e">
        <f>Y16+R24</f>
        <v>#VALUE!</v>
      </c>
      <c r="AA24" s="62"/>
      <c r="AB24" s="62"/>
      <c r="AM24" s="1427"/>
      <c r="AN24" s="1420"/>
      <c r="AO24" s="720" t="s">
        <v>41</v>
      </c>
      <c r="AP24" s="732" t="s">
        <v>559</v>
      </c>
      <c r="AQ24" s="85">
        <f t="shared" si="1"/>
        <v>0</v>
      </c>
    </row>
    <row r="25" spans="2:43" ht="16.5">
      <c r="B25" s="1427"/>
      <c r="C25" s="1420"/>
      <c r="D25" s="366" t="s">
        <v>42</v>
      </c>
      <c r="E25" s="59"/>
      <c r="F25" s="3" t="str">
        <f>加算と減算!U18</f>
        <v/>
      </c>
      <c r="G25" s="3" t="str">
        <f t="shared" si="20"/>
        <v/>
      </c>
      <c r="H25" s="3" t="str">
        <f t="shared" si="20"/>
        <v/>
      </c>
      <c r="I25" s="3" t="str">
        <f t="shared" si="20"/>
        <v/>
      </c>
      <c r="J25" s="3" t="str">
        <f t="shared" si="20"/>
        <v/>
      </c>
      <c r="K25" s="3" t="str">
        <f t="shared" si="20"/>
        <v/>
      </c>
      <c r="L25" s="3" t="str">
        <f t="shared" si="20"/>
        <v/>
      </c>
      <c r="M25" s="3" t="str">
        <f t="shared" si="20"/>
        <v/>
      </c>
      <c r="O25" s="1447"/>
      <c r="P25" s="632">
        <f>P8</f>
        <v>0</v>
      </c>
      <c r="Q25" s="3">
        <f>児童数!AE51</f>
        <v>0</v>
      </c>
      <c r="R25" s="64">
        <f t="shared" si="21"/>
        <v>0</v>
      </c>
      <c r="S25" s="4"/>
      <c r="T25" s="1447"/>
      <c r="U25" s="632">
        <f>P8</f>
        <v>0</v>
      </c>
      <c r="V25" s="67" t="e">
        <f>Y17+R25</f>
        <v>#VALUE!</v>
      </c>
      <c r="AA25" s="62"/>
      <c r="AB25" s="62"/>
      <c r="AM25" s="1427"/>
      <c r="AN25" s="1420"/>
      <c r="AO25" s="718" t="s">
        <v>42</v>
      </c>
      <c r="AP25" s="731" t="s">
        <v>353</v>
      </c>
      <c r="AQ25" s="85">
        <f t="shared" si="1"/>
        <v>0</v>
      </c>
    </row>
    <row r="26" spans="2:43" ht="16.5">
      <c r="B26" s="1427"/>
      <c r="C26" s="1421"/>
      <c r="D26" s="366" t="s">
        <v>80</v>
      </c>
      <c r="E26" s="59"/>
      <c r="F26" s="3">
        <f>IF(K2=0,0,ROUNDDOWN(IF(加算と減算!F26="○",加算と減算!U26,IF(加算と減算!F27="○",加算と減算!U27,IF(加算と減算!F28="○",加算と減算!U28,0)))/K2,-1))</f>
        <v>0</v>
      </c>
      <c r="G26" s="3">
        <f t="shared" si="20"/>
        <v>0</v>
      </c>
      <c r="H26" s="3">
        <f t="shared" si="20"/>
        <v>0</v>
      </c>
      <c r="I26" s="3">
        <f t="shared" si="20"/>
        <v>0</v>
      </c>
      <c r="J26" s="3">
        <f t="shared" si="20"/>
        <v>0</v>
      </c>
      <c r="K26" s="3">
        <f t="shared" si="20"/>
        <v>0</v>
      </c>
      <c r="L26" s="3">
        <f t="shared" si="20"/>
        <v>0</v>
      </c>
      <c r="M26" s="3">
        <f t="shared" si="20"/>
        <v>0</v>
      </c>
      <c r="O26" s="1447"/>
      <c r="P26" s="633">
        <f>P9</f>
        <v>0</v>
      </c>
      <c r="Q26" s="3">
        <f>児童数!AE65</f>
        <v>0</v>
      </c>
      <c r="R26" s="64">
        <f t="shared" si="21"/>
        <v>0</v>
      </c>
      <c r="S26" s="4"/>
      <c r="T26" s="1447"/>
      <c r="U26" s="633">
        <f>P9</f>
        <v>0</v>
      </c>
      <c r="V26" s="68" t="e">
        <f>Y18+R26</f>
        <v>#VALUE!</v>
      </c>
      <c r="AA26" s="62"/>
      <c r="AB26" s="62"/>
      <c r="AM26" s="1427"/>
      <c r="AN26" s="1421"/>
      <c r="AO26" s="720" t="s">
        <v>80</v>
      </c>
      <c r="AP26" s="731" t="s">
        <v>353</v>
      </c>
      <c r="AQ26" s="85">
        <f t="shared" si="1"/>
        <v>0</v>
      </c>
    </row>
    <row r="27" spans="2:43" ht="18.75" customHeight="1" thickBot="1">
      <c r="B27" s="1428"/>
      <c r="C27" s="1410" t="s">
        <v>44</v>
      </c>
      <c r="D27" s="1411"/>
      <c r="E27" s="53"/>
      <c r="F27" s="5" t="e">
        <f t="shared" ref="F27:M27" si="22">SUM(F6:F26)</f>
        <v>#VALUE!</v>
      </c>
      <c r="G27" s="5" t="e">
        <f t="shared" si="22"/>
        <v>#VALUE!</v>
      </c>
      <c r="H27" s="5" t="e">
        <f t="shared" si="22"/>
        <v>#VALUE!</v>
      </c>
      <c r="I27" s="5" t="e">
        <f t="shared" si="22"/>
        <v>#VALUE!</v>
      </c>
      <c r="J27" s="5" t="e">
        <f t="shared" si="22"/>
        <v>#VALUE!</v>
      </c>
      <c r="K27" s="5" t="e">
        <f t="shared" si="22"/>
        <v>#VALUE!</v>
      </c>
      <c r="L27" s="5" t="e">
        <f t="shared" si="22"/>
        <v>#VALUE!</v>
      </c>
      <c r="M27" s="5" t="e">
        <f t="shared" si="22"/>
        <v>#VALUE!</v>
      </c>
      <c r="O27" s="1447"/>
      <c r="P27" s="634">
        <f>P10</f>
        <v>0</v>
      </c>
      <c r="Q27" s="3">
        <f>児童数!AE79</f>
        <v>0</v>
      </c>
      <c r="R27" s="64">
        <f t="shared" si="21"/>
        <v>0</v>
      </c>
      <c r="S27" s="4"/>
      <c r="T27" s="1447"/>
      <c r="U27" s="634">
        <f>P10</f>
        <v>0</v>
      </c>
      <c r="V27" s="69" t="e">
        <f>Y19+R27</f>
        <v>#VALUE!</v>
      </c>
      <c r="AA27" s="62"/>
      <c r="AB27" s="62"/>
      <c r="AM27" s="1428"/>
      <c r="AN27" s="1425" t="s">
        <v>562</v>
      </c>
      <c r="AO27" s="1425"/>
      <c r="AP27" s="733" t="s">
        <v>376</v>
      </c>
      <c r="AQ27" s="85">
        <f>R28</f>
        <v>0</v>
      </c>
    </row>
    <row r="28" spans="2:43" ht="15.75" thickBot="1">
      <c r="B28" s="263"/>
      <c r="C28" s="58"/>
      <c r="D28" s="58"/>
      <c r="E28" s="58" t="s">
        <v>167</v>
      </c>
      <c r="F28" s="7" t="e">
        <f>F7+F9+F12+F16+F18</f>
        <v>#VALUE!</v>
      </c>
      <c r="G28" s="7" t="e">
        <f t="shared" ref="G28:M28" si="23">G7+G9+G12+G16+G18</f>
        <v>#VALUE!</v>
      </c>
      <c r="H28" s="7" t="e">
        <f t="shared" si="23"/>
        <v>#VALUE!</v>
      </c>
      <c r="I28" s="7" t="e">
        <f t="shared" si="23"/>
        <v>#VALUE!</v>
      </c>
      <c r="J28" s="7" t="e">
        <f t="shared" si="23"/>
        <v>#VALUE!</v>
      </c>
      <c r="K28" s="7" t="e">
        <f>K7+K9+K12+K16+K18</f>
        <v>#VALUE!</v>
      </c>
      <c r="L28" s="7" t="e">
        <f>L7+L9+L12+L16+L18</f>
        <v>#VALUE!</v>
      </c>
      <c r="M28" s="7" t="e">
        <f t="shared" si="23"/>
        <v>#VALUE!</v>
      </c>
      <c r="O28" s="1448"/>
      <c r="P28" s="635" t="s">
        <v>36</v>
      </c>
      <c r="Q28" s="3">
        <f>SUM(Q23:Q27)</f>
        <v>0</v>
      </c>
      <c r="R28" s="3">
        <f>SUM(R23:R27)</f>
        <v>0</v>
      </c>
      <c r="S28" s="4"/>
      <c r="T28" s="1448"/>
      <c r="U28" s="635" t="s">
        <v>36</v>
      </c>
      <c r="V28" s="70" t="e">
        <f>SUM(V23:V27)</f>
        <v>#VALUE!</v>
      </c>
      <c r="AA28" s="62"/>
      <c r="AB28" s="62"/>
      <c r="AG28" s="288" t="e">
        <f>SUMPRODUCT(F28:M28,Q11:X11)</f>
        <v>#VALUE!</v>
      </c>
      <c r="AM28" s="263"/>
      <c r="AN28" s="1410" t="s">
        <v>44</v>
      </c>
      <c r="AO28" s="1411"/>
      <c r="AP28" s="53"/>
      <c r="AQ28" s="85" t="e">
        <f>SUM(AQ6:AQ27)</f>
        <v>#VALUE!</v>
      </c>
    </row>
    <row r="29" spans="2:43" ht="15" customHeight="1">
      <c r="E29" s="1020" t="s">
        <v>703</v>
      </c>
      <c r="F29" s="264" t="e">
        <f>-ROUNDUP(SUM(F6:F9,F11:F19)*$V$2/100,-1)</f>
        <v>#VALUE!</v>
      </c>
      <c r="G29" s="264" t="e">
        <f t="shared" ref="G29:M29" si="24">-ROUNDUP(SUM(G6:G9,G11:G19)*$V$2/100,-1)</f>
        <v>#VALUE!</v>
      </c>
      <c r="H29" s="264" t="e">
        <f t="shared" si="24"/>
        <v>#VALUE!</v>
      </c>
      <c r="I29" s="264" t="e">
        <f t="shared" si="24"/>
        <v>#VALUE!</v>
      </c>
      <c r="J29" s="264" t="e">
        <f t="shared" si="24"/>
        <v>#VALUE!</v>
      </c>
      <c r="K29" s="264" t="e">
        <f t="shared" si="24"/>
        <v>#VALUE!</v>
      </c>
      <c r="L29" s="264" t="e">
        <f t="shared" si="24"/>
        <v>#VALUE!</v>
      </c>
      <c r="M29" s="264" t="e">
        <f t="shared" si="24"/>
        <v>#VALUE!</v>
      </c>
      <c r="O29" s="637"/>
      <c r="P29" s="637"/>
      <c r="Q29" s="637"/>
      <c r="R29" s="637"/>
      <c r="S29" s="637"/>
      <c r="T29" s="637"/>
      <c r="U29" s="637"/>
      <c r="V29" s="63"/>
      <c r="AA29" s="62"/>
      <c r="AB29" s="62"/>
      <c r="AO29" s="1"/>
      <c r="AP29" s="57"/>
    </row>
    <row r="30" spans="2:43" ht="15" customHeight="1">
      <c r="B30" s="1412" t="s">
        <v>3</v>
      </c>
      <c r="C30" s="1415"/>
      <c r="D30" s="1415"/>
      <c r="E30" s="1416" t="s">
        <v>172</v>
      </c>
      <c r="F30" s="1418" t="s">
        <v>15</v>
      </c>
      <c r="G30" s="1418"/>
      <c r="H30" s="1418"/>
      <c r="I30" s="1418"/>
      <c r="J30" s="1418" t="s">
        <v>16</v>
      </c>
      <c r="K30" s="1418"/>
      <c r="L30" s="1418"/>
      <c r="M30" s="1418"/>
      <c r="O30" s="1449" t="s">
        <v>40</v>
      </c>
      <c r="P30" s="1446" t="s">
        <v>171</v>
      </c>
      <c r="Q30" s="1440" t="s">
        <v>15</v>
      </c>
      <c r="R30" s="1440"/>
      <c r="S30" s="1440"/>
      <c r="T30" s="1440"/>
      <c r="U30" s="1440" t="s">
        <v>16</v>
      </c>
      <c r="V30" s="1440"/>
      <c r="W30" s="1440"/>
      <c r="X30" s="1440"/>
      <c r="Y30" s="1441" t="s">
        <v>177</v>
      </c>
      <c r="Z30" s="11"/>
      <c r="AA30" s="57"/>
      <c r="AB30" s="62"/>
      <c r="AM30" s="1412" t="s">
        <v>3</v>
      </c>
      <c r="AN30" s="1415"/>
      <c r="AO30" s="1415"/>
      <c r="AP30" s="1416" t="s">
        <v>172</v>
      </c>
      <c r="AQ30" s="85"/>
    </row>
    <row r="31" spans="2:43" s="1" customFormat="1">
      <c r="B31" s="1413"/>
      <c r="C31" s="1415"/>
      <c r="D31" s="1415"/>
      <c r="E31" s="1417"/>
      <c r="F31" s="370" t="s">
        <v>6</v>
      </c>
      <c r="G31" s="370" t="s">
        <v>7</v>
      </c>
      <c r="H31" s="370" t="s">
        <v>8</v>
      </c>
      <c r="I31" s="370" t="s">
        <v>9</v>
      </c>
      <c r="J31" s="370" t="s">
        <v>6</v>
      </c>
      <c r="K31" s="370" t="s">
        <v>7</v>
      </c>
      <c r="L31" s="370" t="s">
        <v>8</v>
      </c>
      <c r="M31" s="370" t="s">
        <v>9</v>
      </c>
      <c r="N31" s="2"/>
      <c r="O31" s="1444"/>
      <c r="P31" s="1446"/>
      <c r="Q31" s="368" t="s">
        <v>6</v>
      </c>
      <c r="R31" s="368" t="s">
        <v>7</v>
      </c>
      <c r="S31" s="368" t="s">
        <v>8</v>
      </c>
      <c r="T31" s="368" t="s">
        <v>9</v>
      </c>
      <c r="U31" s="368" t="s">
        <v>6</v>
      </c>
      <c r="V31" s="368" t="s">
        <v>7</v>
      </c>
      <c r="W31" s="368" t="s">
        <v>8</v>
      </c>
      <c r="X31" s="368" t="s">
        <v>9</v>
      </c>
      <c r="Y31" s="1442"/>
      <c r="Z31" s="11"/>
      <c r="AA31" s="57"/>
      <c r="AB31" s="57"/>
      <c r="AE31" s="2"/>
      <c r="AM31" s="1413"/>
      <c r="AN31" s="1415"/>
      <c r="AO31" s="1415"/>
      <c r="AP31" s="1417"/>
      <c r="AQ31" s="85"/>
    </row>
    <row r="32" spans="2:43" s="1" customFormat="1">
      <c r="B32" s="1413"/>
      <c r="C32" s="1418" t="s">
        <v>17</v>
      </c>
      <c r="D32" s="1418"/>
      <c r="E32" s="53" t="s">
        <v>169</v>
      </c>
      <c r="F32" s="3">
        <f>単価表!AV23</f>
        <v>0</v>
      </c>
      <c r="G32" s="3">
        <f>単価表!AV25</f>
        <v>0</v>
      </c>
      <c r="H32" s="3">
        <f>単価表!AV27</f>
        <v>0</v>
      </c>
      <c r="I32" s="3">
        <f>単価表!AV29</f>
        <v>0</v>
      </c>
      <c r="J32" s="3">
        <f>単価表!AW23</f>
        <v>0</v>
      </c>
      <c r="K32" s="3">
        <f>単価表!AW25</f>
        <v>0</v>
      </c>
      <c r="L32" s="3">
        <f>単価表!AW27</f>
        <v>0</v>
      </c>
      <c r="M32" s="3">
        <f>単価表!AW29</f>
        <v>0</v>
      </c>
      <c r="O32" s="1444"/>
      <c r="P32" s="630">
        <f>P6</f>
        <v>0</v>
      </c>
      <c r="Q32" s="3">
        <f>児童数!R23</f>
        <v>0</v>
      </c>
      <c r="R32" s="3">
        <f>児童数!S23</f>
        <v>0</v>
      </c>
      <c r="S32" s="3">
        <f>児童数!T23</f>
        <v>0</v>
      </c>
      <c r="T32" s="3">
        <f>児童数!U23</f>
        <v>0</v>
      </c>
      <c r="U32" s="3">
        <f>児童数!W23</f>
        <v>0</v>
      </c>
      <c r="V32" s="3">
        <f>児童数!X23</f>
        <v>0</v>
      </c>
      <c r="W32" s="3">
        <f>児童数!Y23</f>
        <v>0</v>
      </c>
      <c r="X32" s="3">
        <f>児童数!Z23</f>
        <v>0</v>
      </c>
      <c r="Y32" s="64">
        <f>SUM(Q32:X32)</f>
        <v>0</v>
      </c>
      <c r="Z32" s="2"/>
      <c r="AA32" s="57"/>
      <c r="AB32" s="57"/>
      <c r="AM32" s="1413"/>
      <c r="AN32" s="1418" t="s">
        <v>17</v>
      </c>
      <c r="AO32" s="1418"/>
      <c r="AP32" s="53" t="s">
        <v>169</v>
      </c>
      <c r="AQ32" s="85">
        <f>SUMPRODUCT(F32:M32,$Q$37:$X$37)</f>
        <v>0</v>
      </c>
    </row>
    <row r="33" spans="2:43" s="1" customFormat="1" ht="15" customHeight="1">
      <c r="B33" s="1413"/>
      <c r="C33" s="1418"/>
      <c r="D33" s="1418"/>
      <c r="E33" s="53" t="s">
        <v>167</v>
      </c>
      <c r="F33" s="3">
        <f>単価表!AX23*基本情報!G7</f>
        <v>0</v>
      </c>
      <c r="G33" s="3">
        <f>単価表!AX25*基本情報!G7</f>
        <v>0</v>
      </c>
      <c r="H33" s="3">
        <f>単価表!AX27*基本情報!G7</f>
        <v>0</v>
      </c>
      <c r="I33" s="3">
        <f>単価表!AX29*基本情報!G7</f>
        <v>0</v>
      </c>
      <c r="J33" s="3">
        <f>単価表!AY23*基本情報!G7</f>
        <v>0</v>
      </c>
      <c r="K33" s="3">
        <f>単価表!AY25*基本情報!G7</f>
        <v>0</v>
      </c>
      <c r="L33" s="3">
        <f>単価表!AY27*基本情報!G7</f>
        <v>0</v>
      </c>
      <c r="M33" s="3">
        <f>単価表!AY29*基本情報!G7</f>
        <v>0</v>
      </c>
      <c r="O33" s="1444"/>
      <c r="P33" s="631">
        <f>P7</f>
        <v>0</v>
      </c>
      <c r="Q33" s="3">
        <f>児童数!R37</f>
        <v>0</v>
      </c>
      <c r="R33" s="3">
        <f>児童数!S37</f>
        <v>0</v>
      </c>
      <c r="S33" s="3">
        <f>児童数!T37</f>
        <v>0</v>
      </c>
      <c r="T33" s="3">
        <f>児童数!U37</f>
        <v>0</v>
      </c>
      <c r="U33" s="3">
        <f>児童数!W37</f>
        <v>0</v>
      </c>
      <c r="V33" s="3">
        <f>児童数!X37</f>
        <v>0</v>
      </c>
      <c r="W33" s="3">
        <f>児童数!Y37</f>
        <v>0</v>
      </c>
      <c r="X33" s="3">
        <f>児童数!Z37</f>
        <v>0</v>
      </c>
      <c r="Y33" s="64">
        <f t="shared" ref="Y33:Y36" si="25">SUM(Q33:X33)</f>
        <v>0</v>
      </c>
      <c r="Z33" s="2"/>
      <c r="AA33" s="62"/>
      <c r="AB33" s="57"/>
      <c r="AM33" s="1413"/>
      <c r="AN33" s="1418"/>
      <c r="AO33" s="1418"/>
      <c r="AP33" s="53" t="s">
        <v>167</v>
      </c>
      <c r="AQ33" s="85">
        <f t="shared" ref="AQ33:AQ53" si="26">SUMPRODUCT(F33:M33,$Q$37:$X$37)</f>
        <v>0</v>
      </c>
    </row>
    <row r="34" spans="2:43" ht="16.5">
      <c r="B34" s="1413"/>
      <c r="C34" s="1419" t="s">
        <v>203</v>
      </c>
      <c r="D34" s="1422" t="s">
        <v>37</v>
      </c>
      <c r="E34" s="53" t="s">
        <v>169</v>
      </c>
      <c r="F34" s="6"/>
      <c r="G34" s="3">
        <f>IF(基本情報!E5="",0,G8)</f>
        <v>0</v>
      </c>
      <c r="H34" s="6"/>
      <c r="I34" s="6"/>
      <c r="J34" s="6"/>
      <c r="K34" s="3">
        <f>IF(基本情報!E5="",0,K8)</f>
        <v>0</v>
      </c>
      <c r="L34" s="6"/>
      <c r="M34" s="6"/>
      <c r="N34" s="1"/>
      <c r="O34" s="1444"/>
      <c r="P34" s="632">
        <f>P8</f>
        <v>0</v>
      </c>
      <c r="Q34" s="3">
        <f>児童数!R51</f>
        <v>0</v>
      </c>
      <c r="R34" s="3">
        <f>児童数!S51</f>
        <v>0</v>
      </c>
      <c r="S34" s="3">
        <f>児童数!T51</f>
        <v>0</v>
      </c>
      <c r="T34" s="3">
        <f>児童数!U51</f>
        <v>0</v>
      </c>
      <c r="U34" s="3">
        <f>児童数!W51</f>
        <v>0</v>
      </c>
      <c r="V34" s="3">
        <f>児童数!X51</f>
        <v>0</v>
      </c>
      <c r="W34" s="3">
        <f>児童数!Y51</f>
        <v>0</v>
      </c>
      <c r="X34" s="3">
        <f>児童数!Z51</f>
        <v>0</v>
      </c>
      <c r="Y34" s="64">
        <f t="shared" si="25"/>
        <v>0</v>
      </c>
      <c r="AA34" s="62"/>
      <c r="AB34" s="62"/>
      <c r="AE34" s="1"/>
      <c r="AM34" s="1413"/>
      <c r="AN34" s="1419" t="s">
        <v>203</v>
      </c>
      <c r="AO34" s="1422" t="s">
        <v>37</v>
      </c>
      <c r="AP34" s="732" t="s">
        <v>559</v>
      </c>
      <c r="AQ34" s="85">
        <f t="shared" si="26"/>
        <v>0</v>
      </c>
    </row>
    <row r="35" spans="2:43">
      <c r="B35" s="1413"/>
      <c r="C35" s="1420"/>
      <c r="D35" s="1422"/>
      <c r="E35" s="53" t="s">
        <v>167</v>
      </c>
      <c r="F35" s="6"/>
      <c r="G35" s="3">
        <f>IF(基本情報!E5="",0,G9)</f>
        <v>0</v>
      </c>
      <c r="H35" s="6"/>
      <c r="I35" s="6"/>
      <c r="J35" s="6"/>
      <c r="K35" s="3">
        <f>IF(基本情報!E5="",0,K9)</f>
        <v>0</v>
      </c>
      <c r="L35" s="6"/>
      <c r="M35" s="6"/>
      <c r="O35" s="1444"/>
      <c r="P35" s="633">
        <f>P9</f>
        <v>0</v>
      </c>
      <c r="Q35" s="3">
        <f>児童数!R65</f>
        <v>0</v>
      </c>
      <c r="R35" s="3">
        <f>児童数!S65</f>
        <v>0</v>
      </c>
      <c r="S35" s="3">
        <f>児童数!T65</f>
        <v>0</v>
      </c>
      <c r="T35" s="3">
        <f>児童数!U65</f>
        <v>0</v>
      </c>
      <c r="U35" s="3">
        <f>児童数!W65</f>
        <v>0</v>
      </c>
      <c r="V35" s="3">
        <f>児童数!X65</f>
        <v>0</v>
      </c>
      <c r="W35" s="3">
        <f>児童数!Y65</f>
        <v>0</v>
      </c>
      <c r="X35" s="3">
        <f>児童数!Z65</f>
        <v>0</v>
      </c>
      <c r="Y35" s="64">
        <f t="shared" si="25"/>
        <v>0</v>
      </c>
      <c r="AA35" s="62"/>
      <c r="AB35" s="62"/>
      <c r="AM35" s="1413"/>
      <c r="AN35" s="1420"/>
      <c r="AO35" s="1422"/>
      <c r="AP35" s="53" t="s">
        <v>167</v>
      </c>
      <c r="AQ35" s="85">
        <f t="shared" si="26"/>
        <v>0</v>
      </c>
    </row>
    <row r="36" spans="2:43">
      <c r="B36" s="1413"/>
      <c r="C36" s="1420"/>
      <c r="D36" s="383" t="s">
        <v>69</v>
      </c>
      <c r="E36" s="629"/>
      <c r="F36" s="3">
        <f>IF(基本情報!E5="",0,F10)</f>
        <v>0</v>
      </c>
      <c r="G36" s="3">
        <f t="shared" ref="G36:G42" si="27">F36</f>
        <v>0</v>
      </c>
      <c r="H36" s="3">
        <f>F36</f>
        <v>0</v>
      </c>
      <c r="I36" s="3">
        <f>F36</f>
        <v>0</v>
      </c>
      <c r="J36" s="3">
        <f t="shared" ref="J36:J42" si="28">F36</f>
        <v>0</v>
      </c>
      <c r="K36" s="3">
        <f t="shared" ref="K36:K42" si="29">F36</f>
        <v>0</v>
      </c>
      <c r="L36" s="3">
        <f>F36</f>
        <v>0</v>
      </c>
      <c r="M36" s="3">
        <f>F36</f>
        <v>0</v>
      </c>
      <c r="O36" s="1444"/>
      <c r="P36" s="634">
        <f>P10</f>
        <v>0</v>
      </c>
      <c r="Q36" s="3">
        <f>児童数!R79</f>
        <v>0</v>
      </c>
      <c r="R36" s="3">
        <f>児童数!S79</f>
        <v>0</v>
      </c>
      <c r="S36" s="3">
        <f>児童数!T79</f>
        <v>0</v>
      </c>
      <c r="T36" s="3">
        <f>児童数!U79</f>
        <v>0</v>
      </c>
      <c r="U36" s="3">
        <f>児童数!W79</f>
        <v>0</v>
      </c>
      <c r="V36" s="3">
        <f>児童数!X79</f>
        <v>0</v>
      </c>
      <c r="W36" s="3">
        <f>児童数!Y79</f>
        <v>0</v>
      </c>
      <c r="X36" s="3">
        <f>児童数!Z79</f>
        <v>0</v>
      </c>
      <c r="Y36" s="64">
        <f t="shared" si="25"/>
        <v>0</v>
      </c>
      <c r="AA36" s="62"/>
      <c r="AB36" s="62"/>
      <c r="AM36" s="1413"/>
      <c r="AN36" s="1420"/>
      <c r="AO36" s="383" t="s">
        <v>69</v>
      </c>
      <c r="AP36" s="629"/>
      <c r="AQ36" s="85">
        <f t="shared" si="26"/>
        <v>0</v>
      </c>
    </row>
    <row r="37" spans="2:43">
      <c r="B37" s="1413"/>
      <c r="C37" s="1420"/>
      <c r="D37" s="1422" t="s">
        <v>161</v>
      </c>
      <c r="E37" s="53" t="s">
        <v>169</v>
      </c>
      <c r="F37" s="3">
        <f>IF(基本情報!E5="",0,F11)</f>
        <v>0</v>
      </c>
      <c r="G37" s="3">
        <f t="shared" si="27"/>
        <v>0</v>
      </c>
      <c r="H37" s="3">
        <f>IF(基本情報!E5="",0,H11)</f>
        <v>0</v>
      </c>
      <c r="I37" s="3">
        <f>H37</f>
        <v>0</v>
      </c>
      <c r="J37" s="3">
        <f t="shared" si="28"/>
        <v>0</v>
      </c>
      <c r="K37" s="3">
        <f t="shared" si="29"/>
        <v>0</v>
      </c>
      <c r="L37" s="3">
        <f>H37</f>
        <v>0</v>
      </c>
      <c r="M37" s="3">
        <f>H37</f>
        <v>0</v>
      </c>
      <c r="O37" s="1445"/>
      <c r="P37" s="635" t="s">
        <v>36</v>
      </c>
      <c r="Q37" s="3">
        <f>SUM(Q32:Q36)</f>
        <v>0</v>
      </c>
      <c r="R37" s="3">
        <f t="shared" ref="R37:Y37" si="30">SUM(R32:R36)</f>
        <v>0</v>
      </c>
      <c r="S37" s="3">
        <f t="shared" si="30"/>
        <v>0</v>
      </c>
      <c r="T37" s="3">
        <f t="shared" si="30"/>
        <v>0</v>
      </c>
      <c r="U37" s="3">
        <f t="shared" si="30"/>
        <v>0</v>
      </c>
      <c r="V37" s="3">
        <f t="shared" si="30"/>
        <v>0</v>
      </c>
      <c r="W37" s="3">
        <f t="shared" si="30"/>
        <v>0</v>
      </c>
      <c r="X37" s="3">
        <f t="shared" si="30"/>
        <v>0</v>
      </c>
      <c r="Y37" s="3">
        <f t="shared" si="30"/>
        <v>0</v>
      </c>
      <c r="Z37" s="55" t="s">
        <v>176</v>
      </c>
      <c r="AA37" s="71" t="str">
        <f>IF(SUM(Q37:X37)=I2,"OK",SUM(Q37:X37)-G27)</f>
        <v>OK</v>
      </c>
      <c r="AM37" s="1413"/>
      <c r="AN37" s="1420"/>
      <c r="AO37" s="1422" t="s">
        <v>161</v>
      </c>
      <c r="AP37" s="53" t="s">
        <v>169</v>
      </c>
      <c r="AQ37" s="85">
        <f t="shared" si="26"/>
        <v>0</v>
      </c>
    </row>
    <row r="38" spans="2:43">
      <c r="B38" s="1413"/>
      <c r="C38" s="1420"/>
      <c r="D38" s="1422"/>
      <c r="E38" s="53" t="s">
        <v>167</v>
      </c>
      <c r="F38" s="3">
        <f>IF(基本情報!E5="",0,F12)</f>
        <v>0</v>
      </c>
      <c r="G38" s="3">
        <f t="shared" si="27"/>
        <v>0</v>
      </c>
      <c r="H38" s="3">
        <f>F38</f>
        <v>0</v>
      </c>
      <c r="I38" s="3">
        <f>F38</f>
        <v>0</v>
      </c>
      <c r="J38" s="3">
        <f t="shared" si="28"/>
        <v>0</v>
      </c>
      <c r="K38" s="3">
        <f t="shared" si="29"/>
        <v>0</v>
      </c>
      <c r="L38" s="3">
        <f>F38</f>
        <v>0</v>
      </c>
      <c r="M38" s="3">
        <f>F38</f>
        <v>0</v>
      </c>
      <c r="O38" s="58"/>
      <c r="P38" s="58"/>
      <c r="Q38" s="10"/>
      <c r="R38" s="10"/>
      <c r="S38" s="10"/>
      <c r="T38" s="10"/>
      <c r="U38" s="10"/>
      <c r="V38" s="10"/>
      <c r="W38" s="10"/>
      <c r="X38" s="10"/>
      <c r="Y38" s="11"/>
      <c r="Z38" s="11"/>
      <c r="AM38" s="1413"/>
      <c r="AN38" s="1420"/>
      <c r="AO38" s="1422"/>
      <c r="AP38" s="53" t="s">
        <v>167</v>
      </c>
      <c r="AQ38" s="85">
        <f t="shared" si="26"/>
        <v>0</v>
      </c>
    </row>
    <row r="39" spans="2:43" ht="16.5">
      <c r="B39" s="1413"/>
      <c r="C39" s="1420"/>
      <c r="D39" s="366" t="s">
        <v>162</v>
      </c>
      <c r="E39" s="59"/>
      <c r="F39" s="3">
        <f>IF(基本情報!E5="",0,F13)</f>
        <v>0</v>
      </c>
      <c r="G39" s="3">
        <f t="shared" si="27"/>
        <v>0</v>
      </c>
      <c r="H39" s="3">
        <f>F39</f>
        <v>0</v>
      </c>
      <c r="I39" s="3">
        <f>F39</f>
        <v>0</v>
      </c>
      <c r="J39" s="3">
        <f t="shared" si="28"/>
        <v>0</v>
      </c>
      <c r="K39" s="3">
        <f t="shared" si="29"/>
        <v>0</v>
      </c>
      <c r="L39" s="3">
        <f>F39</f>
        <v>0</v>
      </c>
      <c r="M39" s="3">
        <f>F39</f>
        <v>0</v>
      </c>
      <c r="O39" s="1443" t="s">
        <v>189</v>
      </c>
      <c r="P39" s="1446" t="s">
        <v>171</v>
      </c>
      <c r="Q39" s="1440" t="s">
        <v>15</v>
      </c>
      <c r="R39" s="1440"/>
      <c r="S39" s="1440"/>
      <c r="T39" s="1440"/>
      <c r="U39" s="1440" t="s">
        <v>16</v>
      </c>
      <c r="V39" s="1440"/>
      <c r="W39" s="1440"/>
      <c r="X39" s="1440"/>
      <c r="Y39" s="1441" t="s">
        <v>177</v>
      </c>
      <c r="AM39" s="1413"/>
      <c r="AN39" s="1420"/>
      <c r="AO39" s="720" t="s">
        <v>162</v>
      </c>
      <c r="AP39" s="731" t="s">
        <v>353</v>
      </c>
      <c r="AQ39" s="85">
        <f t="shared" si="26"/>
        <v>0</v>
      </c>
    </row>
    <row r="40" spans="2:43" ht="16.5">
      <c r="B40" s="1413"/>
      <c r="C40" s="1420"/>
      <c r="D40" s="366" t="s">
        <v>54</v>
      </c>
      <c r="E40" s="59"/>
      <c r="F40" s="3">
        <f>IF(基本情報!E5="",0,F14)</f>
        <v>0</v>
      </c>
      <c r="G40" s="3">
        <f t="shared" si="27"/>
        <v>0</v>
      </c>
      <c r="H40" s="3">
        <f>F40</f>
        <v>0</v>
      </c>
      <c r="I40" s="3">
        <f>F40</f>
        <v>0</v>
      </c>
      <c r="J40" s="3">
        <f t="shared" si="28"/>
        <v>0</v>
      </c>
      <c r="K40" s="3">
        <f t="shared" si="29"/>
        <v>0</v>
      </c>
      <c r="L40" s="3">
        <f>F40</f>
        <v>0</v>
      </c>
      <c r="M40" s="3">
        <f>F40</f>
        <v>0</v>
      </c>
      <c r="O40" s="1444"/>
      <c r="P40" s="1446"/>
      <c r="Q40" s="368" t="s">
        <v>6</v>
      </c>
      <c r="R40" s="368" t="s">
        <v>7</v>
      </c>
      <c r="S40" s="368" t="s">
        <v>8</v>
      </c>
      <c r="T40" s="368" t="s">
        <v>9</v>
      </c>
      <c r="U40" s="368" t="s">
        <v>6</v>
      </c>
      <c r="V40" s="368" t="s">
        <v>7</v>
      </c>
      <c r="W40" s="368" t="s">
        <v>8</v>
      </c>
      <c r="X40" s="368" t="s">
        <v>9</v>
      </c>
      <c r="Y40" s="1442"/>
      <c r="AM40" s="1413"/>
      <c r="AN40" s="1420"/>
      <c r="AO40" s="720" t="s">
        <v>54</v>
      </c>
      <c r="AP40" s="731" t="s">
        <v>353</v>
      </c>
      <c r="AQ40" s="85">
        <f t="shared" si="26"/>
        <v>0</v>
      </c>
    </row>
    <row r="41" spans="2:43" ht="16.5">
      <c r="B41" s="1413"/>
      <c r="C41" s="1420"/>
      <c r="D41" s="1422" t="s">
        <v>38</v>
      </c>
      <c r="E41" s="53" t="s">
        <v>169</v>
      </c>
      <c r="F41" s="3">
        <f>IF(基本情報!E5="",0,F15)</f>
        <v>0</v>
      </c>
      <c r="G41" s="3">
        <f t="shared" si="27"/>
        <v>0</v>
      </c>
      <c r="H41" s="3">
        <f>F41</f>
        <v>0</v>
      </c>
      <c r="I41" s="3">
        <f>F41</f>
        <v>0</v>
      </c>
      <c r="J41" s="3">
        <f t="shared" si="28"/>
        <v>0</v>
      </c>
      <c r="K41" s="3">
        <f t="shared" si="29"/>
        <v>0</v>
      </c>
      <c r="L41" s="3">
        <f>F41</f>
        <v>0</v>
      </c>
      <c r="M41" s="3">
        <f>F41</f>
        <v>0</v>
      </c>
      <c r="O41" s="1444"/>
      <c r="P41" s="630">
        <f>P32</f>
        <v>0</v>
      </c>
      <c r="Q41" s="3">
        <f t="shared" ref="Q41:X41" si="31">F54*Q32</f>
        <v>0</v>
      </c>
      <c r="R41" s="3">
        <f t="shared" si="31"/>
        <v>0</v>
      </c>
      <c r="S41" s="3">
        <f t="shared" si="31"/>
        <v>0</v>
      </c>
      <c r="T41" s="3">
        <f>I54*T32</f>
        <v>0</v>
      </c>
      <c r="U41" s="3">
        <f t="shared" si="31"/>
        <v>0</v>
      </c>
      <c r="V41" s="3">
        <f t="shared" si="31"/>
        <v>0</v>
      </c>
      <c r="W41" s="3">
        <f t="shared" si="31"/>
        <v>0</v>
      </c>
      <c r="X41" s="3">
        <f t="shared" si="31"/>
        <v>0</v>
      </c>
      <c r="Y41" s="3">
        <f>SUM(Q41:X41)</f>
        <v>0</v>
      </c>
      <c r="AM41" s="1413"/>
      <c r="AN41" s="1420"/>
      <c r="AO41" s="1422" t="s">
        <v>38</v>
      </c>
      <c r="AP41" s="732" t="s">
        <v>559</v>
      </c>
      <c r="AQ41" s="85">
        <f t="shared" si="26"/>
        <v>0</v>
      </c>
    </row>
    <row r="42" spans="2:43">
      <c r="B42" s="1413"/>
      <c r="C42" s="1421"/>
      <c r="D42" s="1422"/>
      <c r="E42" s="53" t="s">
        <v>167</v>
      </c>
      <c r="F42" s="3">
        <f>IF(基本情報!E5="",0,F16)</f>
        <v>0</v>
      </c>
      <c r="G42" s="3">
        <f t="shared" si="27"/>
        <v>0</v>
      </c>
      <c r="H42" s="3">
        <f>F42</f>
        <v>0</v>
      </c>
      <c r="I42" s="3">
        <f>F42</f>
        <v>0</v>
      </c>
      <c r="J42" s="3">
        <f t="shared" si="28"/>
        <v>0</v>
      </c>
      <c r="K42" s="3">
        <f t="shared" si="29"/>
        <v>0</v>
      </c>
      <c r="L42" s="3">
        <f>F42</f>
        <v>0</v>
      </c>
      <c r="M42" s="3">
        <f>F42</f>
        <v>0</v>
      </c>
      <c r="O42" s="1444"/>
      <c r="P42" s="631">
        <f>P33</f>
        <v>0</v>
      </c>
      <c r="Q42" s="3">
        <f t="shared" ref="Q42:X42" si="32">F54*Q33</f>
        <v>0</v>
      </c>
      <c r="R42" s="3">
        <f t="shared" si="32"/>
        <v>0</v>
      </c>
      <c r="S42" s="3">
        <f t="shared" si="32"/>
        <v>0</v>
      </c>
      <c r="T42" s="3">
        <f t="shared" si="32"/>
        <v>0</v>
      </c>
      <c r="U42" s="3">
        <f t="shared" si="32"/>
        <v>0</v>
      </c>
      <c r="V42" s="3">
        <f t="shared" si="32"/>
        <v>0</v>
      </c>
      <c r="W42" s="3">
        <f t="shared" si="32"/>
        <v>0</v>
      </c>
      <c r="X42" s="3">
        <f t="shared" si="32"/>
        <v>0</v>
      </c>
      <c r="Y42" s="3">
        <f t="shared" ref="Y42:Y45" si="33">SUM(Q42:X42)</f>
        <v>0</v>
      </c>
      <c r="AM42" s="1413"/>
      <c r="AN42" s="1421"/>
      <c r="AO42" s="1422"/>
      <c r="AP42" s="53" t="s">
        <v>167</v>
      </c>
      <c r="AQ42" s="85">
        <f t="shared" si="26"/>
        <v>0</v>
      </c>
    </row>
    <row r="43" spans="2:43">
      <c r="B43" s="1413"/>
      <c r="C43" s="1423" t="s">
        <v>205</v>
      </c>
      <c r="D43" s="371" t="s">
        <v>164</v>
      </c>
      <c r="E43" s="60"/>
      <c r="F43" s="3">
        <f t="shared" ref="F43:M43" si="34">-ROUNDDOWN((F32+F33)*$P$2%,-1)</f>
        <v>0</v>
      </c>
      <c r="G43" s="3">
        <f t="shared" si="34"/>
        <v>0</v>
      </c>
      <c r="H43" s="3">
        <f t="shared" si="34"/>
        <v>0</v>
      </c>
      <c r="I43" s="3">
        <f t="shared" si="34"/>
        <v>0</v>
      </c>
      <c r="J43" s="3">
        <f t="shared" si="34"/>
        <v>0</v>
      </c>
      <c r="K43" s="3">
        <f t="shared" si="34"/>
        <v>0</v>
      </c>
      <c r="L43" s="3">
        <f t="shared" si="34"/>
        <v>0</v>
      </c>
      <c r="M43" s="3">
        <f t="shared" si="34"/>
        <v>0</v>
      </c>
      <c r="O43" s="1444"/>
      <c r="P43" s="632">
        <f>P34</f>
        <v>0</v>
      </c>
      <c r="Q43" s="3">
        <f t="shared" ref="Q43:X43" si="35">F54*Q34</f>
        <v>0</v>
      </c>
      <c r="R43" s="3">
        <f t="shared" si="35"/>
        <v>0</v>
      </c>
      <c r="S43" s="3">
        <f t="shared" si="35"/>
        <v>0</v>
      </c>
      <c r="T43" s="3">
        <f t="shared" si="35"/>
        <v>0</v>
      </c>
      <c r="U43" s="3">
        <f t="shared" si="35"/>
        <v>0</v>
      </c>
      <c r="V43" s="3">
        <f t="shared" si="35"/>
        <v>0</v>
      </c>
      <c r="W43" s="3">
        <f t="shared" si="35"/>
        <v>0</v>
      </c>
      <c r="X43" s="3">
        <f t="shared" si="35"/>
        <v>0</v>
      </c>
      <c r="Y43" s="3">
        <f t="shared" si="33"/>
        <v>0</v>
      </c>
      <c r="AM43" s="1413"/>
      <c r="AN43" s="1423" t="s">
        <v>205</v>
      </c>
      <c r="AO43" s="717" t="s">
        <v>164</v>
      </c>
      <c r="AP43" s="60"/>
      <c r="AQ43" s="85">
        <f t="shared" si="26"/>
        <v>0</v>
      </c>
    </row>
    <row r="44" spans="2:43">
      <c r="B44" s="1413"/>
      <c r="C44" s="1423"/>
      <c r="D44" s="1424" t="s">
        <v>43</v>
      </c>
      <c r="E44" s="53" t="s">
        <v>169</v>
      </c>
      <c r="F44" s="74">
        <f>-IF(加算と減算!F32="○",単価表!AZ23,0)</f>
        <v>0</v>
      </c>
      <c r="G44" s="74">
        <f>F44</f>
        <v>0</v>
      </c>
      <c r="H44" s="74">
        <f>F44</f>
        <v>0</v>
      </c>
      <c r="I44" s="74">
        <f>F44</f>
        <v>0</v>
      </c>
      <c r="J44" s="74">
        <f>F44</f>
        <v>0</v>
      </c>
      <c r="K44" s="74">
        <f>F44</f>
        <v>0</v>
      </c>
      <c r="L44" s="74">
        <f>F44</f>
        <v>0</v>
      </c>
      <c r="M44" s="74">
        <f>F44</f>
        <v>0</v>
      </c>
      <c r="O44" s="1444"/>
      <c r="P44" s="633">
        <f>P35</f>
        <v>0</v>
      </c>
      <c r="Q44" s="3">
        <f t="shared" ref="Q44:X44" si="36">F54*Q35</f>
        <v>0</v>
      </c>
      <c r="R44" s="3">
        <f t="shared" si="36"/>
        <v>0</v>
      </c>
      <c r="S44" s="3">
        <f t="shared" si="36"/>
        <v>0</v>
      </c>
      <c r="T44" s="3">
        <f t="shared" si="36"/>
        <v>0</v>
      </c>
      <c r="U44" s="3">
        <f t="shared" si="36"/>
        <v>0</v>
      </c>
      <c r="V44" s="3">
        <f t="shared" si="36"/>
        <v>0</v>
      </c>
      <c r="W44" s="3">
        <f t="shared" si="36"/>
        <v>0</v>
      </c>
      <c r="X44" s="3">
        <f t="shared" si="36"/>
        <v>0</v>
      </c>
      <c r="Y44" s="3">
        <f t="shared" si="33"/>
        <v>0</v>
      </c>
      <c r="AM44" s="1413"/>
      <c r="AN44" s="1423"/>
      <c r="AO44" s="1424" t="s">
        <v>43</v>
      </c>
      <c r="AP44" s="53" t="s">
        <v>169</v>
      </c>
      <c r="AQ44" s="85">
        <f t="shared" si="26"/>
        <v>0</v>
      </c>
    </row>
    <row r="45" spans="2:43">
      <c r="B45" s="1413"/>
      <c r="C45" s="1423"/>
      <c r="D45" s="1424"/>
      <c r="E45" s="53" t="s">
        <v>167</v>
      </c>
      <c r="F45" s="74">
        <f>-IF(加算と減算!F32="○",単価表!BA23*基本情報!G7,0)</f>
        <v>0</v>
      </c>
      <c r="G45" s="74">
        <f>F45</f>
        <v>0</v>
      </c>
      <c r="H45" s="74">
        <f>F45</f>
        <v>0</v>
      </c>
      <c r="I45" s="74">
        <f>F45</f>
        <v>0</v>
      </c>
      <c r="J45" s="74">
        <f>F45</f>
        <v>0</v>
      </c>
      <c r="K45" s="74">
        <f>F45</f>
        <v>0</v>
      </c>
      <c r="L45" s="74">
        <f>F45</f>
        <v>0</v>
      </c>
      <c r="M45" s="74">
        <f>F45</f>
        <v>0</v>
      </c>
      <c r="O45" s="1444"/>
      <c r="P45" s="634">
        <f>P36</f>
        <v>0</v>
      </c>
      <c r="Q45" s="3">
        <f t="shared" ref="Q45:X45" si="37">F54*Q36</f>
        <v>0</v>
      </c>
      <c r="R45" s="3">
        <f t="shared" si="37"/>
        <v>0</v>
      </c>
      <c r="S45" s="3">
        <f t="shared" si="37"/>
        <v>0</v>
      </c>
      <c r="T45" s="3">
        <f t="shared" si="37"/>
        <v>0</v>
      </c>
      <c r="U45" s="3">
        <f t="shared" si="37"/>
        <v>0</v>
      </c>
      <c r="V45" s="3">
        <f t="shared" si="37"/>
        <v>0</v>
      </c>
      <c r="W45" s="3">
        <f t="shared" si="37"/>
        <v>0</v>
      </c>
      <c r="X45" s="3">
        <f t="shared" si="37"/>
        <v>0</v>
      </c>
      <c r="Y45" s="3">
        <f t="shared" si="33"/>
        <v>0</v>
      </c>
      <c r="AM45" s="1413"/>
      <c r="AN45" s="1423"/>
      <c r="AO45" s="1424"/>
      <c r="AP45" s="53" t="s">
        <v>167</v>
      </c>
      <c r="AQ45" s="85">
        <f t="shared" si="26"/>
        <v>0</v>
      </c>
    </row>
    <row r="46" spans="2:43">
      <c r="B46" s="1413"/>
      <c r="C46" s="1423"/>
      <c r="D46" s="371" t="s">
        <v>165</v>
      </c>
      <c r="E46" s="60"/>
      <c r="F46" s="74">
        <f t="shared" ref="F46:M46" si="38">-ROUNDDOWN((F32+F33+F37+F38+F34+F35)*$T$2/100,-1)</f>
        <v>0</v>
      </c>
      <c r="G46" s="74">
        <f t="shared" si="38"/>
        <v>0</v>
      </c>
      <c r="H46" s="74">
        <f t="shared" si="38"/>
        <v>0</v>
      </c>
      <c r="I46" s="74">
        <f t="shared" si="38"/>
        <v>0</v>
      </c>
      <c r="J46" s="74">
        <f t="shared" si="38"/>
        <v>0</v>
      </c>
      <c r="K46" s="74">
        <f t="shared" si="38"/>
        <v>0</v>
      </c>
      <c r="L46" s="74">
        <f t="shared" si="38"/>
        <v>0</v>
      </c>
      <c r="M46" s="74">
        <f t="shared" si="38"/>
        <v>0</v>
      </c>
      <c r="O46" s="1445"/>
      <c r="P46" s="635" t="s">
        <v>36</v>
      </c>
      <c r="Q46" s="3">
        <f>SUM(Q41:Q45)</f>
        <v>0</v>
      </c>
      <c r="R46" s="3">
        <f t="shared" ref="R46:Y46" si="39">SUM(R41:R45)</f>
        <v>0</v>
      </c>
      <c r="S46" s="3">
        <f t="shared" si="39"/>
        <v>0</v>
      </c>
      <c r="T46" s="3">
        <f>SUM(T41:T45)</f>
        <v>0</v>
      </c>
      <c r="U46" s="3">
        <f t="shared" si="39"/>
        <v>0</v>
      </c>
      <c r="V46" s="3">
        <f t="shared" si="39"/>
        <v>0</v>
      </c>
      <c r="W46" s="3">
        <f t="shared" si="39"/>
        <v>0</v>
      </c>
      <c r="X46" s="3">
        <f t="shared" si="39"/>
        <v>0</v>
      </c>
      <c r="Y46" s="3">
        <f t="shared" si="39"/>
        <v>0</v>
      </c>
      <c r="AM46" s="1413"/>
      <c r="AN46" s="1423"/>
      <c r="AO46" s="717" t="s">
        <v>165</v>
      </c>
      <c r="AP46" s="60"/>
      <c r="AQ46" s="85">
        <f t="shared" si="26"/>
        <v>0</v>
      </c>
    </row>
    <row r="47" spans="2:43" ht="15" customHeight="1">
      <c r="B47" s="1413"/>
      <c r="C47" s="1423"/>
      <c r="D47" s="371" t="s">
        <v>166</v>
      </c>
      <c r="E47" s="60"/>
      <c r="F47" s="74">
        <f t="shared" ref="F47:M47" si="40">-ROUNDUP(SUM(F32:F46)*$W$2/100,-1)</f>
        <v>0</v>
      </c>
      <c r="G47" s="74">
        <f t="shared" si="40"/>
        <v>0</v>
      </c>
      <c r="H47" s="74">
        <f t="shared" si="40"/>
        <v>0</v>
      </c>
      <c r="I47" s="74">
        <f t="shared" si="40"/>
        <v>0</v>
      </c>
      <c r="J47" s="74">
        <f t="shared" si="40"/>
        <v>0</v>
      </c>
      <c r="K47" s="74">
        <f t="shared" si="40"/>
        <v>0</v>
      </c>
      <c r="L47" s="74">
        <f t="shared" si="40"/>
        <v>0</v>
      </c>
      <c r="M47" s="74">
        <f t="shared" si="40"/>
        <v>0</v>
      </c>
      <c r="O47" s="8"/>
      <c r="P47" s="58"/>
      <c r="Q47" s="7"/>
      <c r="R47" s="7"/>
      <c r="S47" s="7"/>
      <c r="T47" s="7"/>
      <c r="U47" s="7"/>
      <c r="V47" s="7"/>
      <c r="W47" s="7"/>
      <c r="X47" s="7"/>
      <c r="Y47" s="4"/>
      <c r="Z47" s="4"/>
      <c r="AM47" s="1413"/>
      <c r="AN47" s="1423"/>
      <c r="AO47" s="717" t="s">
        <v>166</v>
      </c>
      <c r="AP47" s="60"/>
      <c r="AQ47" s="85">
        <f t="shared" si="26"/>
        <v>0</v>
      </c>
    </row>
    <row r="48" spans="2:43" ht="15" customHeight="1">
      <c r="B48" s="1413"/>
      <c r="C48" s="1419" t="s">
        <v>204</v>
      </c>
      <c r="D48" s="366" t="s">
        <v>18</v>
      </c>
      <c r="E48" s="59"/>
      <c r="F48" s="3">
        <f>IF(基本情報!E5="",0,F21)</f>
        <v>0</v>
      </c>
      <c r="G48" s="3">
        <f t="shared" ref="G48:G53" si="41">F48</f>
        <v>0</v>
      </c>
      <c r="H48" s="3">
        <f t="shared" ref="H48:H53" si="42">F48</f>
        <v>0</v>
      </c>
      <c r="I48" s="3">
        <f t="shared" ref="I48:I53" si="43">F48</f>
        <v>0</v>
      </c>
      <c r="J48" s="3">
        <f t="shared" ref="J48:J53" si="44">F48</f>
        <v>0</v>
      </c>
      <c r="K48" s="3">
        <f t="shared" ref="K48:K53" si="45">F48</f>
        <v>0</v>
      </c>
      <c r="L48" s="3">
        <f t="shared" ref="L48:L53" si="46">F48</f>
        <v>0</v>
      </c>
      <c r="M48" s="3">
        <f t="shared" ref="M48:M53" si="47">F48</f>
        <v>0</v>
      </c>
      <c r="O48" s="1443" t="s">
        <v>180</v>
      </c>
      <c r="P48" s="367" t="s">
        <v>171</v>
      </c>
      <c r="Q48" s="61" t="s">
        <v>178</v>
      </c>
      <c r="R48" s="40" t="s">
        <v>179</v>
      </c>
      <c r="S48" s="4"/>
      <c r="T48" s="1443" t="s">
        <v>190</v>
      </c>
      <c r="U48" s="367" t="s">
        <v>171</v>
      </c>
      <c r="V48" s="40" t="s">
        <v>179</v>
      </c>
      <c r="X48" s="1431" t="s">
        <v>186</v>
      </c>
      <c r="Y48" s="1431"/>
      <c r="AM48" s="1413"/>
      <c r="AN48" s="1419" t="s">
        <v>204</v>
      </c>
      <c r="AO48" s="720" t="s">
        <v>18</v>
      </c>
      <c r="AP48" s="732" t="s">
        <v>559</v>
      </c>
      <c r="AQ48" s="85">
        <f t="shared" si="26"/>
        <v>0</v>
      </c>
    </row>
    <row r="49" spans="2:43" ht="16.5">
      <c r="B49" s="1413"/>
      <c r="C49" s="1420"/>
      <c r="D49" s="366" t="s">
        <v>62</v>
      </c>
      <c r="E49" s="59"/>
      <c r="F49" s="3">
        <f>IF(基本情報!E5="",0,F22)</f>
        <v>0</v>
      </c>
      <c r="G49" s="3">
        <f t="shared" si="41"/>
        <v>0</v>
      </c>
      <c r="H49" s="3">
        <f t="shared" si="42"/>
        <v>0</v>
      </c>
      <c r="I49" s="3">
        <f t="shared" si="43"/>
        <v>0</v>
      </c>
      <c r="J49" s="3">
        <f t="shared" si="44"/>
        <v>0</v>
      </c>
      <c r="K49" s="3">
        <f t="shared" si="45"/>
        <v>0</v>
      </c>
      <c r="L49" s="3">
        <f t="shared" si="46"/>
        <v>0</v>
      </c>
      <c r="M49" s="3">
        <f t="shared" si="47"/>
        <v>0</v>
      </c>
      <c r="O49" s="1444"/>
      <c r="P49" s="630">
        <f>P32</f>
        <v>0</v>
      </c>
      <c r="Q49" s="3">
        <f>児童数!AF23</f>
        <v>0</v>
      </c>
      <c r="R49" s="64">
        <f>4500*Q49</f>
        <v>0</v>
      </c>
      <c r="S49" s="4"/>
      <c r="T49" s="1444"/>
      <c r="U49" s="630">
        <f>P32</f>
        <v>0</v>
      </c>
      <c r="V49" s="65">
        <f>Y41+R49</f>
        <v>0</v>
      </c>
      <c r="X49" s="630">
        <f>P32</f>
        <v>0</v>
      </c>
      <c r="Y49" s="65" t="e">
        <f>V23+V49</f>
        <v>#VALUE!</v>
      </c>
      <c r="AM49" s="1413"/>
      <c r="AN49" s="1420"/>
      <c r="AO49" s="720" t="s">
        <v>62</v>
      </c>
      <c r="AP49" s="732" t="s">
        <v>559</v>
      </c>
      <c r="AQ49" s="85">
        <f t="shared" si="26"/>
        <v>0</v>
      </c>
    </row>
    <row r="50" spans="2:43" ht="16.5">
      <c r="B50" s="1413"/>
      <c r="C50" s="1420"/>
      <c r="D50" s="366" t="s">
        <v>19</v>
      </c>
      <c r="E50" s="59"/>
      <c r="F50" s="3">
        <f>IF(基本情報!E5="",0,F23)</f>
        <v>0</v>
      </c>
      <c r="G50" s="3">
        <f t="shared" si="41"/>
        <v>0</v>
      </c>
      <c r="H50" s="3">
        <f t="shared" si="42"/>
        <v>0</v>
      </c>
      <c r="I50" s="3">
        <f t="shared" si="43"/>
        <v>0</v>
      </c>
      <c r="J50" s="3">
        <f t="shared" si="44"/>
        <v>0</v>
      </c>
      <c r="K50" s="3">
        <f t="shared" si="45"/>
        <v>0</v>
      </c>
      <c r="L50" s="3">
        <f t="shared" si="46"/>
        <v>0</v>
      </c>
      <c r="M50" s="3">
        <f t="shared" si="47"/>
        <v>0</v>
      </c>
      <c r="O50" s="1444"/>
      <c r="P50" s="631">
        <f>P33</f>
        <v>0</v>
      </c>
      <c r="Q50" s="3">
        <f>児童数!AF37</f>
        <v>0</v>
      </c>
      <c r="R50" s="64">
        <f t="shared" ref="R50:R53" si="48">4500*Q50</f>
        <v>0</v>
      </c>
      <c r="S50" s="4"/>
      <c r="T50" s="1444"/>
      <c r="U50" s="631">
        <f>P33</f>
        <v>0</v>
      </c>
      <c r="V50" s="66">
        <f>Y42+R50</f>
        <v>0</v>
      </c>
      <c r="X50" s="631">
        <f>P33</f>
        <v>0</v>
      </c>
      <c r="Y50" s="66" t="e">
        <f>V24+V50</f>
        <v>#VALUE!</v>
      </c>
      <c r="AM50" s="1413"/>
      <c r="AN50" s="1420"/>
      <c r="AO50" s="720" t="s">
        <v>19</v>
      </c>
      <c r="AP50" s="732" t="s">
        <v>559</v>
      </c>
      <c r="AQ50" s="85">
        <f t="shared" si="26"/>
        <v>0</v>
      </c>
    </row>
    <row r="51" spans="2:43" ht="16.5">
      <c r="B51" s="1413"/>
      <c r="C51" s="1420"/>
      <c r="D51" s="366" t="s">
        <v>41</v>
      </c>
      <c r="E51" s="59"/>
      <c r="F51" s="3">
        <f>IF(基本情報!E5="",0,F24)</f>
        <v>0</v>
      </c>
      <c r="G51" s="3">
        <f t="shared" si="41"/>
        <v>0</v>
      </c>
      <c r="H51" s="3">
        <f t="shared" si="42"/>
        <v>0</v>
      </c>
      <c r="I51" s="3">
        <f t="shared" si="43"/>
        <v>0</v>
      </c>
      <c r="J51" s="3">
        <f t="shared" si="44"/>
        <v>0</v>
      </c>
      <c r="K51" s="3">
        <f t="shared" si="45"/>
        <v>0</v>
      </c>
      <c r="L51" s="3">
        <f t="shared" si="46"/>
        <v>0</v>
      </c>
      <c r="M51" s="3">
        <f t="shared" si="47"/>
        <v>0</v>
      </c>
      <c r="O51" s="1444"/>
      <c r="P51" s="632">
        <f>P34</f>
        <v>0</v>
      </c>
      <c r="Q51" s="3">
        <f>児童数!AF51</f>
        <v>0</v>
      </c>
      <c r="R51" s="64">
        <f t="shared" si="48"/>
        <v>0</v>
      </c>
      <c r="S51" s="4"/>
      <c r="T51" s="1444"/>
      <c r="U51" s="632">
        <f>P34</f>
        <v>0</v>
      </c>
      <c r="V51" s="67">
        <f>Y43+R51</f>
        <v>0</v>
      </c>
      <c r="X51" s="632">
        <f>P34</f>
        <v>0</v>
      </c>
      <c r="Y51" s="67" t="e">
        <f>V25+V51</f>
        <v>#VALUE!</v>
      </c>
      <c r="AM51" s="1413"/>
      <c r="AN51" s="1420"/>
      <c r="AO51" s="720" t="s">
        <v>41</v>
      </c>
      <c r="AP51" s="732" t="s">
        <v>559</v>
      </c>
      <c r="AQ51" s="85">
        <f t="shared" si="26"/>
        <v>0</v>
      </c>
    </row>
    <row r="52" spans="2:43" ht="16.5">
      <c r="B52" s="1413"/>
      <c r="C52" s="1420"/>
      <c r="D52" s="366" t="s">
        <v>42</v>
      </c>
      <c r="E52" s="59"/>
      <c r="F52" s="3">
        <f>IF(基本情報!E5="",0,F25)</f>
        <v>0</v>
      </c>
      <c r="G52" s="3">
        <f t="shared" si="41"/>
        <v>0</v>
      </c>
      <c r="H52" s="3">
        <f t="shared" si="42"/>
        <v>0</v>
      </c>
      <c r="I52" s="3">
        <f t="shared" si="43"/>
        <v>0</v>
      </c>
      <c r="J52" s="3">
        <f t="shared" si="44"/>
        <v>0</v>
      </c>
      <c r="K52" s="3">
        <f t="shared" si="45"/>
        <v>0</v>
      </c>
      <c r="L52" s="3">
        <f t="shared" si="46"/>
        <v>0</v>
      </c>
      <c r="M52" s="3">
        <f t="shared" si="47"/>
        <v>0</v>
      </c>
      <c r="O52" s="1444"/>
      <c r="P52" s="633">
        <f>P35</f>
        <v>0</v>
      </c>
      <c r="Q52" s="3">
        <f>児童数!AF65</f>
        <v>0</v>
      </c>
      <c r="R52" s="64">
        <f t="shared" si="48"/>
        <v>0</v>
      </c>
      <c r="S52" s="4"/>
      <c r="T52" s="1444"/>
      <c r="U52" s="633">
        <f>P35</f>
        <v>0</v>
      </c>
      <c r="V52" s="68">
        <f>Y44+R52</f>
        <v>0</v>
      </c>
      <c r="X52" s="633">
        <f>P35</f>
        <v>0</v>
      </c>
      <c r="Y52" s="68" t="e">
        <f>V26+V52</f>
        <v>#VALUE!</v>
      </c>
      <c r="AM52" s="1413"/>
      <c r="AN52" s="1420"/>
      <c r="AO52" s="720" t="s">
        <v>42</v>
      </c>
      <c r="AP52" s="731" t="s">
        <v>353</v>
      </c>
      <c r="AQ52" s="85">
        <f t="shared" si="26"/>
        <v>0</v>
      </c>
    </row>
    <row r="53" spans="2:43" ht="16.5">
      <c r="B53" s="1413"/>
      <c r="C53" s="1421"/>
      <c r="D53" s="366" t="s">
        <v>80</v>
      </c>
      <c r="E53" s="59"/>
      <c r="F53" s="3">
        <f>IF(基本情報!E5="",0,F26)</f>
        <v>0</v>
      </c>
      <c r="G53" s="3">
        <f t="shared" si="41"/>
        <v>0</v>
      </c>
      <c r="H53" s="3">
        <f t="shared" si="42"/>
        <v>0</v>
      </c>
      <c r="I53" s="3">
        <f t="shared" si="43"/>
        <v>0</v>
      </c>
      <c r="J53" s="3">
        <f t="shared" si="44"/>
        <v>0</v>
      </c>
      <c r="K53" s="3">
        <f t="shared" si="45"/>
        <v>0</v>
      </c>
      <c r="L53" s="3">
        <f t="shared" si="46"/>
        <v>0</v>
      </c>
      <c r="M53" s="3">
        <f t="shared" si="47"/>
        <v>0</v>
      </c>
      <c r="O53" s="1444"/>
      <c r="P53" s="634">
        <f>P36</f>
        <v>0</v>
      </c>
      <c r="Q53" s="3">
        <f>児童数!AF79</f>
        <v>0</v>
      </c>
      <c r="R53" s="64">
        <f t="shared" si="48"/>
        <v>0</v>
      </c>
      <c r="S53" s="4"/>
      <c r="T53" s="1444"/>
      <c r="U53" s="634">
        <f>P36</f>
        <v>0</v>
      </c>
      <c r="V53" s="69">
        <f>Y45+R53</f>
        <v>0</v>
      </c>
      <c r="X53" s="634">
        <f>P36</f>
        <v>0</v>
      </c>
      <c r="Y53" s="69" t="e">
        <f>V27+V53</f>
        <v>#VALUE!</v>
      </c>
      <c r="AM53" s="1413"/>
      <c r="AN53" s="1421"/>
      <c r="AO53" s="720" t="s">
        <v>80</v>
      </c>
      <c r="AP53" s="731" t="s">
        <v>353</v>
      </c>
      <c r="AQ53" s="85">
        <f t="shared" si="26"/>
        <v>0</v>
      </c>
    </row>
    <row r="54" spans="2:43" ht="17.25" thickBot="1">
      <c r="B54" s="1414"/>
      <c r="C54" s="1410" t="s">
        <v>44</v>
      </c>
      <c r="D54" s="1411"/>
      <c r="E54" s="53"/>
      <c r="F54" s="5">
        <f t="shared" ref="F54:M54" si="49">SUM(F32:F53)</f>
        <v>0</v>
      </c>
      <c r="G54" s="5">
        <f t="shared" si="49"/>
        <v>0</v>
      </c>
      <c r="H54" s="5">
        <f t="shared" si="49"/>
        <v>0</v>
      </c>
      <c r="I54" s="5">
        <f t="shared" si="49"/>
        <v>0</v>
      </c>
      <c r="J54" s="5">
        <f t="shared" si="49"/>
        <v>0</v>
      </c>
      <c r="K54" s="5">
        <f t="shared" si="49"/>
        <v>0</v>
      </c>
      <c r="L54" s="5">
        <f t="shared" si="49"/>
        <v>0</v>
      </c>
      <c r="M54" s="5">
        <f t="shared" si="49"/>
        <v>0</v>
      </c>
      <c r="O54" s="1445"/>
      <c r="P54" s="635" t="s">
        <v>36</v>
      </c>
      <c r="Q54" s="3">
        <f>SUM(Q49:Q53)</f>
        <v>0</v>
      </c>
      <c r="R54" s="3">
        <f>SUM(R49:R53)</f>
        <v>0</v>
      </c>
      <c r="S54" s="4"/>
      <c r="T54" s="1445"/>
      <c r="U54" s="635" t="s">
        <v>36</v>
      </c>
      <c r="V54" s="70">
        <f>SUM(V49:V53)</f>
        <v>0</v>
      </c>
      <c r="X54" s="635" t="s">
        <v>36</v>
      </c>
      <c r="Y54" s="70" t="e">
        <f>SUM(Y49:Y53)</f>
        <v>#VALUE!</v>
      </c>
      <c r="AM54" s="1414"/>
      <c r="AN54" s="1425" t="s">
        <v>562</v>
      </c>
      <c r="AO54" s="1425"/>
      <c r="AP54" s="733" t="s">
        <v>376</v>
      </c>
      <c r="AQ54" s="85">
        <f>R54</f>
        <v>0</v>
      </c>
    </row>
    <row r="55" spans="2:43" ht="15.75" thickBot="1">
      <c r="C55" s="57"/>
      <c r="D55" s="57"/>
      <c r="E55" s="58" t="s">
        <v>167</v>
      </c>
      <c r="F55" s="264">
        <f>F33+F35+F38+F42+F45</f>
        <v>0</v>
      </c>
      <c r="G55" s="264">
        <f t="shared" ref="G55:M55" si="50">G33+G35+G38+G42+G45</f>
        <v>0</v>
      </c>
      <c r="H55" s="264">
        <f t="shared" si="50"/>
        <v>0</v>
      </c>
      <c r="I55" s="264">
        <f t="shared" si="50"/>
        <v>0</v>
      </c>
      <c r="J55" s="264">
        <f t="shared" si="50"/>
        <v>0</v>
      </c>
      <c r="K55" s="264">
        <f t="shared" si="50"/>
        <v>0</v>
      </c>
      <c r="L55" s="264">
        <f t="shared" si="50"/>
        <v>0</v>
      </c>
      <c r="M55" s="264">
        <f t="shared" si="50"/>
        <v>0</v>
      </c>
      <c r="AG55" s="288">
        <f>ROUNDUP(SUMPRODUCT(F55:M55,Q37:X37)*90%,-1)</f>
        <v>0</v>
      </c>
      <c r="AN55" s="1410" t="s">
        <v>44</v>
      </c>
      <c r="AO55" s="1411"/>
      <c r="AP55" s="53"/>
      <c r="AQ55" s="85">
        <f>SUM(AQ32:AQ54)</f>
        <v>0</v>
      </c>
    </row>
    <row r="56" spans="2:43">
      <c r="E56" s="1020" t="s">
        <v>703</v>
      </c>
      <c r="F56" s="264">
        <f>-ROUNDUP(SUM(F32:F35,F37:F46)*$W$2/100,-1)</f>
        <v>0</v>
      </c>
      <c r="G56" s="264">
        <f>-ROUNDUP(SUM(G32:G35,G37:G46)*$W$2/100,-1)</f>
        <v>0</v>
      </c>
      <c r="H56" s="264">
        <f t="shared" ref="H56:K56" si="51">-ROUNDUP(SUM(H32:H35,H37:H46)*$W$2/100,-1)</f>
        <v>0</v>
      </c>
      <c r="I56" s="264">
        <f t="shared" si="51"/>
        <v>0</v>
      </c>
      <c r="J56" s="264">
        <f t="shared" si="51"/>
        <v>0</v>
      </c>
      <c r="K56" s="264">
        <f t="shared" si="51"/>
        <v>0</v>
      </c>
      <c r="L56" s="264">
        <f>-ROUNDUP(SUM(L32:L35,L37:L46)*$W$2/100,-1)</f>
        <v>0</v>
      </c>
      <c r="M56" s="264">
        <f>-ROUNDUP(SUM(M32:M35,M37:M46)*$W$2/100,-1)</f>
        <v>0</v>
      </c>
      <c r="O56" s="1430" t="s">
        <v>428</v>
      </c>
      <c r="P56" s="1430"/>
      <c r="X56" s="1430" t="s">
        <v>427</v>
      </c>
      <c r="Y56" s="1430"/>
      <c r="AO56" s="1"/>
      <c r="AP56" s="57"/>
    </row>
    <row r="57" spans="2:43" ht="15.75" thickBot="1">
      <c r="O57" s="83" t="s">
        <v>429</v>
      </c>
      <c r="P57" s="83" t="s">
        <v>206</v>
      </c>
      <c r="Q57" s="83" t="s">
        <v>207</v>
      </c>
      <c r="R57" s="83" t="s">
        <v>448</v>
      </c>
      <c r="S57" s="83" t="s">
        <v>214</v>
      </c>
      <c r="T57" s="83" t="s">
        <v>215</v>
      </c>
      <c r="U57" s="83" t="s">
        <v>216</v>
      </c>
      <c r="V57" s="282" t="s">
        <v>455</v>
      </c>
      <c r="W57" s="261"/>
      <c r="X57" s="83" t="s">
        <v>429</v>
      </c>
      <c r="Y57" s="83" t="s">
        <v>206</v>
      </c>
      <c r="Z57" s="83" t="s">
        <v>207</v>
      </c>
      <c r="AA57" s="83" t="s">
        <v>448</v>
      </c>
      <c r="AB57" s="83" t="s">
        <v>218</v>
      </c>
      <c r="AC57" s="83" t="s">
        <v>215</v>
      </c>
      <c r="AD57" s="280" t="s">
        <v>453</v>
      </c>
      <c r="AE57" s="282" t="s">
        <v>455</v>
      </c>
    </row>
    <row r="58" spans="2:43" ht="15.75" thickBot="1">
      <c r="C58" s="310" t="s">
        <v>479</v>
      </c>
      <c r="D58" s="311"/>
      <c r="E58" s="312"/>
      <c r="F58" s="313"/>
      <c r="G58" s="313"/>
      <c r="H58" s="313"/>
      <c r="I58" s="313"/>
      <c r="J58" s="313"/>
      <c r="K58" s="313"/>
      <c r="L58" s="313"/>
      <c r="M58" s="314"/>
      <c r="O58" s="61" t="str">
        <f>IF(月途中入退所情報!$D8=$B$2,月途中入退所情報!F8,"-")</f>
        <v>-</v>
      </c>
      <c r="P58" s="61" t="str">
        <f>IF(月途中入退所情報!$D8=$B$2,月途中入退所情報!G8,"-")</f>
        <v>-</v>
      </c>
      <c r="Q58" s="61" t="str">
        <f>IF(月途中入退所情報!$D8=$B$2,月途中入退所情報!H8,"-")</f>
        <v>-</v>
      </c>
      <c r="R58" s="61" t="str">
        <f>IF(月途中入退所情報!$D8=$B$2,月途中入退所情報!I8,"-")</f>
        <v>-</v>
      </c>
      <c r="S58" s="61" t="str">
        <f>IF(月途中入退所情報!$D8=$B$2,月途中入退所情報!J8,"-")</f>
        <v>-</v>
      </c>
      <c r="T58" s="84">
        <f>IF($Q58="標準時間",HLOOKUP($P58,$F$5:$I$27,23,FALSE)-SUM($F$10,$F$21:$F$24,$F$26)-HLOOKUP($P58,$F$5:$I$27,16,FALSE)+HLOOKUP($P58,$F$5:$I$29,25,FALSE),IF($Q58="短時間",HLOOKUP($P58,$J$5:$M$27,23,FALSE)-SUM($F$10,$F$21:$F$24,$F$26)-HLOOKUP($P58,$J$5:$M$27,16,FALSE)+HLOOKUP($P58,$J$5:$M$29,25,FALSE),0))+IF(R58="○",加算と減算!$AH$3,0)</f>
        <v>0</v>
      </c>
      <c r="U58" s="85">
        <f t="shared" ref="U58:U77" si="52">IFERROR(ROUNDDOWN(T58*S58/25,-1),0)</f>
        <v>0</v>
      </c>
      <c r="V58" s="262">
        <f>IFERROR(ROUNDDOWN(IF($Q58="標準時間",HLOOKUP($P58,$F$5:$I$28,24,FALSE),IF($Q58="短時間",HLOOKUP($P58,$J$5:$M$28,24,FALSE),0))*S58/25,-1),0)</f>
        <v>0</v>
      </c>
      <c r="W58" s="262"/>
      <c r="X58" s="61" t="str">
        <f>IF(月途中入退所情報!$N8=$B$2,月途中入退所情報!$P8,"-")</f>
        <v>-</v>
      </c>
      <c r="Y58" s="61" t="str">
        <f>IF(月途中入退所情報!$N8=$B$2,月途中入退所情報!$Q8,"-")</f>
        <v>-</v>
      </c>
      <c r="Z58" s="61" t="str">
        <f>IF(月途中入退所情報!$N8=$B$2,月途中入退所情報!$R8,"-")</f>
        <v>-</v>
      </c>
      <c r="AA58" s="61" t="str">
        <f>IF(月途中入退所情報!$N8=$B$2,月途中入退所情報!$S8,"-")</f>
        <v>-</v>
      </c>
      <c r="AB58" s="61" t="str">
        <f>IF(月途中入退所情報!$N8=$B$2,月途中入退所情報!$T8,"-")</f>
        <v>-</v>
      </c>
      <c r="AC58" s="84">
        <f>IF($Z58="標準時間",HLOOKUP($Y58,$F$5:$I$27,23,FALSE)-SUM($F$10,$F$21:$F$24,$F$26)-HLOOKUP($Y58,$F$5:$I$27,16,FALSE)+HLOOKUP($Y58,$F$5:$I$29,25,FALSE),IF($Z58="短時間",HLOOKUP($Y58,$J$5:$M$27,23,FALSE)-SUM($F$10,$F$21:$F$24,$F$26)-HLOOKUP($Y58,$J$5:$M$27,16,FALSE)+HLOOKUP($Y58,$J$5:$M$29,25,FALSE),0))+IF(AA58="○",加算と減算!$AH$3,0)</f>
        <v>0</v>
      </c>
      <c r="AD58" s="85">
        <f t="shared" ref="AD58:AD77" si="53">IFERROR(-ROUNDUP(AC58*AB58/25,-1),0)</f>
        <v>0</v>
      </c>
      <c r="AE58" s="262">
        <f t="shared" ref="AE58:AE77" si="54">IFERROR(-ROUNDUP(IF($Z58="標準時間",HLOOKUP($Y58,$F$5:$I$28,24,FALSE),IF($Z58="短時間",HLOOKUP($Y58,$J$5:$M$28,24,FALSE),0))*AB58/25,-1),0)</f>
        <v>0</v>
      </c>
    </row>
    <row r="59" spans="2:43">
      <c r="C59" s="307"/>
      <c r="D59" s="308"/>
      <c r="E59" s="309"/>
      <c r="F59" s="1417" t="s">
        <v>15</v>
      </c>
      <c r="G59" s="1417"/>
      <c r="H59" s="1417"/>
      <c r="I59" s="1417"/>
      <c r="J59" s="1417" t="s">
        <v>16</v>
      </c>
      <c r="K59" s="1417"/>
      <c r="L59" s="1417"/>
      <c r="M59" s="1417"/>
      <c r="O59" s="61" t="str">
        <f>IF(月途中入退所情報!$D9=$B$2,月途中入退所情報!F9,"-")</f>
        <v>-</v>
      </c>
      <c r="P59" s="61" t="str">
        <f>IF(月途中入退所情報!$D9=$B$2,月途中入退所情報!G9,"-")</f>
        <v>-</v>
      </c>
      <c r="Q59" s="61" t="str">
        <f>IF(月途中入退所情報!$D9=$B$2,月途中入退所情報!H9,"-")</f>
        <v>-</v>
      </c>
      <c r="R59" s="61" t="str">
        <f>IF(月途中入退所情報!$D9=$B$2,月途中入退所情報!I9,"-")</f>
        <v>-</v>
      </c>
      <c r="S59" s="61" t="str">
        <f>IF(月途中入退所情報!$D9=$B$2,月途中入退所情報!J9,"-")</f>
        <v>-</v>
      </c>
      <c r="T59" s="84">
        <f>IF($Q59="標準時間",HLOOKUP($P59,$F$5:$I$27,23,FALSE)-SUM($F$10,$F$21:$F$24,$F$26)-HLOOKUP($P59,$F$5:$I$27,16,FALSE)+HLOOKUP($P59,$F$5:$I$29,25,FALSE),IF($Q59="短時間",HLOOKUP($P59,$J$5:$M$27,23,FALSE)-SUM($F$10,$F$21:$F$24,$F$26)-HLOOKUP($P59,$J$5:$M$27,16,FALSE)+HLOOKUP($P59,$J$5:$M$29,25,FALSE),0))+IF(R59="○",加算と減算!$AH$3,0)</f>
        <v>0</v>
      </c>
      <c r="U59" s="85">
        <f t="shared" si="52"/>
        <v>0</v>
      </c>
      <c r="V59" s="262">
        <f>IFERROR(ROUNDDOWN(IF($Q59="標準時間",HLOOKUP($P59,$F$5:$I$28,24,FALSE),IF($Q59="短時間",HLOOKUP($P59,$J$5:$M$28,24,FALSE),0))*S59/25,-1),0)</f>
        <v>0</v>
      </c>
      <c r="W59" s="262"/>
      <c r="X59" s="61" t="str">
        <f>IF(月途中入退所情報!$N9=$B$2,月途中入退所情報!$P9,"-")</f>
        <v>-</v>
      </c>
      <c r="Y59" s="61" t="str">
        <f>IF(月途中入退所情報!$N9=$B$2,月途中入退所情報!$Q9,"-")</f>
        <v>-</v>
      </c>
      <c r="Z59" s="61" t="str">
        <f>IF(月途中入退所情報!$N9=$B$2,月途中入退所情報!$R9,"-")</f>
        <v>-</v>
      </c>
      <c r="AA59" s="61" t="str">
        <f>IF(月途中入退所情報!$N9=$B$2,月途中入退所情報!$S9,"-")</f>
        <v>-</v>
      </c>
      <c r="AB59" s="61" t="str">
        <f>IF(月途中入退所情報!$N9=$B$2,月途中入退所情報!$T9,"-")</f>
        <v>-</v>
      </c>
      <c r="AC59" s="84">
        <f>IF($Z59="標準時間",HLOOKUP($Y59,$F$5:$I$27,23,FALSE)-SUM($F$10,$F$21:$F$24,$F$26)-HLOOKUP($Y59,$F$5:$I$27,16,FALSE)+HLOOKUP($Y59,$F$5:$I$29,25,FALSE),IF($Z59="短時間",HLOOKUP($Y59,$J$5:$M$27,23,FALSE)-SUM($F$10,$F$21:$F$24,$F$26)-HLOOKUP($Y59,$J$5:$M$27,16,FALSE)+HLOOKUP($Y59,$J$5:$M$29,25,FALSE),0))+IF(AA59="○",加算と減算!$AH$3,0)</f>
        <v>0</v>
      </c>
      <c r="AD59" s="85">
        <f t="shared" si="53"/>
        <v>0</v>
      </c>
      <c r="AE59" s="262">
        <f t="shared" si="54"/>
        <v>0</v>
      </c>
    </row>
    <row r="60" spans="2:43">
      <c r="C60" s="307"/>
      <c r="D60" s="308"/>
      <c r="E60" s="309"/>
      <c r="F60" s="369" t="s">
        <v>6</v>
      </c>
      <c r="G60" s="369" t="s">
        <v>7</v>
      </c>
      <c r="H60" s="369" t="s">
        <v>8</v>
      </c>
      <c r="I60" s="369" t="s">
        <v>9</v>
      </c>
      <c r="J60" s="369" t="s">
        <v>6</v>
      </c>
      <c r="K60" s="369" t="s">
        <v>7</v>
      </c>
      <c r="L60" s="369" t="s">
        <v>8</v>
      </c>
      <c r="M60" s="369" t="s">
        <v>9</v>
      </c>
      <c r="O60" s="61" t="str">
        <f>IF(月途中入退所情報!$D10=$B$2,月途中入退所情報!F10,"-")</f>
        <v>-</v>
      </c>
      <c r="P60" s="61" t="str">
        <f>IF(月途中入退所情報!$D10=$B$2,月途中入退所情報!G10,"-")</f>
        <v>-</v>
      </c>
      <c r="Q60" s="61" t="str">
        <f>IF(月途中入退所情報!$D10=$B$2,月途中入退所情報!H10,"-")</f>
        <v>-</v>
      </c>
      <c r="R60" s="61" t="str">
        <f>IF(月途中入退所情報!$D10=$B$2,月途中入退所情報!I10,"-")</f>
        <v>-</v>
      </c>
      <c r="S60" s="61" t="str">
        <f>IF(月途中入退所情報!$D10=$B$2,月途中入退所情報!J10,"-")</f>
        <v>-</v>
      </c>
      <c r="T60" s="84">
        <f>IF($Q60="標準時間",HLOOKUP($P60,$F$5:$I$27,23,FALSE)-SUM($F$10,$F$21:$F$24,$F$26)-HLOOKUP($P60,$F$5:$I$27,16,FALSE)+HLOOKUP($P60,$F$5:$I$29,25,FALSE),IF($Q60="短時間",HLOOKUP($P60,$J$5:$M$27,23,FALSE)-SUM($F$10,$F$21:$F$24,$F$26)-HLOOKUP($P60,$J$5:$M$27,16,FALSE)+HLOOKUP($P60,$J$5:$M$29,25,FALSE),0))+IF(R60="○",加算と減算!$AH$3,0)</f>
        <v>0</v>
      </c>
      <c r="U60" s="85">
        <f t="shared" si="52"/>
        <v>0</v>
      </c>
      <c r="V60" s="262">
        <f t="shared" ref="V60:V77" si="55">IFERROR(ROUNDDOWN(IF($Q60="標準時間",HLOOKUP($P60,$F$5:$I$28,24,FALSE),IF($Q60="短時間",HLOOKUP($P60,$J$5:$M$28,24,FALSE),0))*S60/25,-1),0)</f>
        <v>0</v>
      </c>
      <c r="W60" s="262"/>
      <c r="X60" s="61" t="str">
        <f>IF(月途中入退所情報!$N10=$B$2,月途中入退所情報!$P10,"-")</f>
        <v>-</v>
      </c>
      <c r="Y60" s="61" t="str">
        <f>IF(月途中入退所情報!$N10=$B$2,月途中入退所情報!$Q10,"-")</f>
        <v>-</v>
      </c>
      <c r="Z60" s="61" t="str">
        <f>IF(月途中入退所情報!$N10=$B$2,月途中入退所情報!$R10,"-")</f>
        <v>-</v>
      </c>
      <c r="AA60" s="61" t="str">
        <f>IF(月途中入退所情報!$N10=$B$2,月途中入退所情報!$S10,"-")</f>
        <v>-</v>
      </c>
      <c r="AB60" s="61" t="str">
        <f>IF(月途中入退所情報!$N10=$B$2,月途中入退所情報!$T10,"-")</f>
        <v>-</v>
      </c>
      <c r="AC60" s="84">
        <f>IF($Z60="標準時間",HLOOKUP($Y60,$F$5:$I$27,23,FALSE)-SUM($F$10,$F$21:$F$24,$F$26)-HLOOKUP($Y60,$F$5:$I$27,16,FALSE)+HLOOKUP($Y60,$F$5:$I$29,25,FALSE),IF($Z60="短時間",HLOOKUP($Y60,$J$5:$M$27,23,FALSE)-SUM($F$10,$F$21:$F$24,$F$26)-HLOOKUP($Y60,$J$5:$M$27,16,FALSE)+HLOOKUP($Y60,$J$5:$M$29,25,FALSE),0))+IF(AA60="○",加算と減算!$AH$3,0)</f>
        <v>0</v>
      </c>
      <c r="AD60" s="85">
        <f t="shared" si="53"/>
        <v>0</v>
      </c>
      <c r="AE60" s="262">
        <f t="shared" si="54"/>
        <v>0</v>
      </c>
    </row>
    <row r="61" spans="2:43">
      <c r="C61" s="307"/>
      <c r="D61" s="1432" t="s">
        <v>482</v>
      </c>
      <c r="E61" s="320" t="s">
        <v>480</v>
      </c>
      <c r="F61" s="85" t="e">
        <f t="shared" ref="F61:M61" si="56">-ROUNDDOWN((F7+F9+F1)*$S$2%,-1)</f>
        <v>#VALUE!</v>
      </c>
      <c r="G61" s="85" t="e">
        <f t="shared" si="56"/>
        <v>#VALUE!</v>
      </c>
      <c r="H61" s="85" t="e">
        <f t="shared" si="56"/>
        <v>#VALUE!</v>
      </c>
      <c r="I61" s="85" t="e">
        <f t="shared" si="56"/>
        <v>#VALUE!</v>
      </c>
      <c r="J61" s="85" t="e">
        <f t="shared" si="56"/>
        <v>#VALUE!</v>
      </c>
      <c r="K61" s="85" t="e">
        <f t="shared" si="56"/>
        <v>#VALUE!</v>
      </c>
      <c r="L61" s="85" t="e">
        <f t="shared" si="56"/>
        <v>#VALUE!</v>
      </c>
      <c r="M61" s="85" t="e">
        <f t="shared" si="56"/>
        <v>#VALUE!</v>
      </c>
      <c r="O61" s="61" t="str">
        <f>IF(月途中入退所情報!$D11=$B$2,月途中入退所情報!F11,"-")</f>
        <v>-</v>
      </c>
      <c r="P61" s="61" t="str">
        <f>IF(月途中入退所情報!$D11=$B$2,月途中入退所情報!G11,"-")</f>
        <v>-</v>
      </c>
      <c r="Q61" s="61" t="str">
        <f>IF(月途中入退所情報!$D11=$B$2,月途中入退所情報!H11,"-")</f>
        <v>-</v>
      </c>
      <c r="R61" s="61" t="str">
        <f>IF(月途中入退所情報!$D11=$B$2,月途中入退所情報!I11,"-")</f>
        <v>-</v>
      </c>
      <c r="S61" s="61" t="str">
        <f>IF(月途中入退所情報!$D11=$B$2,月途中入退所情報!J11,"-")</f>
        <v>-</v>
      </c>
      <c r="T61" s="84">
        <f>IF($Q61="標準時間",HLOOKUP($P61,$F$5:$I$27,23,FALSE)-SUM($F$10,$F$21:$F$24,$F$26)-HLOOKUP($P61,$F$5:$I$27,16,FALSE)+HLOOKUP($P61,$F$5:$I$29,25,FALSE),IF($Q61="短時間",HLOOKUP($P61,$J$5:$M$27,23,FALSE)-SUM($F$10,$F$21:$F$24,$F$26)-HLOOKUP($P61,$J$5:$M$27,16,FALSE)+HLOOKUP($P61,$J$5:$M$29,25,FALSE),0))+IF(R61="○",加算と減算!$AH$3,0)</f>
        <v>0</v>
      </c>
      <c r="U61" s="85">
        <f t="shared" si="52"/>
        <v>0</v>
      </c>
      <c r="V61" s="262">
        <f t="shared" si="55"/>
        <v>0</v>
      </c>
      <c r="W61" s="262"/>
      <c r="X61" s="61" t="str">
        <f>IF(月途中入退所情報!$N11=$B$2,月途中入退所情報!$P11,"-")</f>
        <v>-</v>
      </c>
      <c r="Y61" s="61" t="str">
        <f>IF(月途中入退所情報!$N11=$B$2,月途中入退所情報!$Q11,"-")</f>
        <v>-</v>
      </c>
      <c r="Z61" s="61" t="str">
        <f>IF(月途中入退所情報!$N11=$B$2,月途中入退所情報!$R11,"-")</f>
        <v>-</v>
      </c>
      <c r="AA61" s="61" t="str">
        <f>IF(月途中入退所情報!$N11=$B$2,月途中入退所情報!$S11,"-")</f>
        <v>-</v>
      </c>
      <c r="AB61" s="61" t="str">
        <f>IF(月途中入退所情報!$N11=$B$2,月途中入退所情報!$T11,"-")</f>
        <v>-</v>
      </c>
      <c r="AC61" s="84">
        <f>IF($Z61="標準時間",HLOOKUP($Y61,$F$5:$I$27,23,FALSE)-SUM($F$10,$F$21:$F$24,$F$26)-HLOOKUP($Y61,$F$5:$I$27,16,FALSE)+HLOOKUP($Y61,$F$5:$I$29,25,FALSE),IF($Z61="短時間",HLOOKUP($Y61,$J$5:$M$27,23,FALSE)-SUM($F$10,$F$21:$F$24,$F$26)-HLOOKUP($Y61,$J$5:$M$27,16,FALSE)+HLOOKUP($Y61,$J$5:$M$29,25,FALSE),0))+IF(AA61="○",加算と減算!$AH$3,0)</f>
        <v>0</v>
      </c>
      <c r="AD61" s="85">
        <f t="shared" si="53"/>
        <v>0</v>
      </c>
      <c r="AE61" s="262">
        <f t="shared" si="54"/>
        <v>0</v>
      </c>
    </row>
    <row r="62" spans="2:43">
      <c r="C62" s="307"/>
      <c r="D62" s="1432"/>
      <c r="E62" s="320" t="s">
        <v>481</v>
      </c>
      <c r="F62" s="85" t="e">
        <f>F61*Q11</f>
        <v>#VALUE!</v>
      </c>
      <c r="G62" s="85" t="e">
        <f t="shared" ref="G62:M62" si="57">G61*R11</f>
        <v>#VALUE!</v>
      </c>
      <c r="H62" s="85" t="e">
        <f t="shared" si="57"/>
        <v>#VALUE!</v>
      </c>
      <c r="I62" s="85" t="e">
        <f t="shared" si="57"/>
        <v>#VALUE!</v>
      </c>
      <c r="J62" s="85" t="e">
        <f t="shared" si="57"/>
        <v>#VALUE!</v>
      </c>
      <c r="K62" s="85" t="e">
        <f t="shared" si="57"/>
        <v>#VALUE!</v>
      </c>
      <c r="L62" s="85" t="e">
        <f t="shared" si="57"/>
        <v>#VALUE!</v>
      </c>
      <c r="M62" s="85" t="e">
        <f t="shared" si="57"/>
        <v>#VALUE!</v>
      </c>
      <c r="O62" s="61" t="str">
        <f>IF(月途中入退所情報!$D12=$B$2,月途中入退所情報!F12,"-")</f>
        <v>-</v>
      </c>
      <c r="P62" s="61" t="str">
        <f>IF(月途中入退所情報!$D12=$B$2,月途中入退所情報!G12,"-")</f>
        <v>-</v>
      </c>
      <c r="Q62" s="61" t="str">
        <f>IF(月途中入退所情報!$D12=$B$2,月途中入退所情報!H12,"-")</f>
        <v>-</v>
      </c>
      <c r="R62" s="61" t="str">
        <f>IF(月途中入退所情報!$D12=$B$2,月途中入退所情報!I12,"-")</f>
        <v>-</v>
      </c>
      <c r="S62" s="61" t="str">
        <f>IF(月途中入退所情報!$D12=$B$2,月途中入退所情報!J12,"-")</f>
        <v>-</v>
      </c>
      <c r="T62" s="84">
        <f>IF($Q62="標準時間",HLOOKUP($P62,$F$5:$I$27,23,FALSE)-SUM($F$10,$F$21:$F$24,$F$26)-HLOOKUP($P62,$F$5:$I$27,16,FALSE)+HLOOKUP($P62,$F$5:$I$29,25,FALSE),IF($Q62="短時間",HLOOKUP($P62,$J$5:$M$27,23,FALSE)-SUM($F$10,$F$21:$F$24,$F$26)-HLOOKUP($P62,$J$5:$M$27,16,FALSE)+HLOOKUP($P62,$J$5:$M$29,25,FALSE),0))+IF(R62="○",加算と減算!$AH$3,0)</f>
        <v>0</v>
      </c>
      <c r="U62" s="85">
        <f t="shared" si="52"/>
        <v>0</v>
      </c>
      <c r="V62" s="262">
        <f t="shared" si="55"/>
        <v>0</v>
      </c>
      <c r="W62" s="262"/>
      <c r="X62" s="61" t="str">
        <f>IF(月途中入退所情報!$N12=$B$2,月途中入退所情報!$P12,"-")</f>
        <v>-</v>
      </c>
      <c r="Y62" s="61" t="str">
        <f>IF(月途中入退所情報!$N12=$B$2,月途中入退所情報!$Q12,"-")</f>
        <v>-</v>
      </c>
      <c r="Z62" s="61" t="str">
        <f>IF(月途中入退所情報!$N12=$B$2,月途中入退所情報!$R12,"-")</f>
        <v>-</v>
      </c>
      <c r="AA62" s="61" t="str">
        <f>IF(月途中入退所情報!$N12=$B$2,月途中入退所情報!$S12,"-")</f>
        <v>-</v>
      </c>
      <c r="AB62" s="61" t="str">
        <f>IF(月途中入退所情報!$N12=$B$2,月途中入退所情報!$T12,"-")</f>
        <v>-</v>
      </c>
      <c r="AC62" s="84">
        <f>IF($Z62="標準時間",HLOOKUP($Y62,$F$5:$I$27,23,FALSE)-SUM($F$10,$F$21:$F$24,$F$26)-HLOOKUP($Y62,$F$5:$I$27,16,FALSE)+HLOOKUP($Y62,$F$5:$I$29,25,FALSE),IF($Z62="短時間",HLOOKUP($Y62,$J$5:$M$27,23,FALSE)-SUM($F$10,$F$21:$F$24,$F$26)-HLOOKUP($Y62,$J$5:$M$27,16,FALSE)+HLOOKUP($Y62,$J$5:$M$29,25,FALSE),0))+IF(AA62="○",加算と減算!$AH$3,0)</f>
        <v>0</v>
      </c>
      <c r="AD62" s="85">
        <f t="shared" si="53"/>
        <v>0</v>
      </c>
      <c r="AE62" s="262">
        <f t="shared" si="54"/>
        <v>0</v>
      </c>
    </row>
    <row r="63" spans="2:43">
      <c r="C63" s="307"/>
      <c r="D63" s="317"/>
      <c r="E63" s="315"/>
      <c r="F63" s="316"/>
      <c r="G63" s="316"/>
      <c r="H63" s="316"/>
      <c r="I63" s="316"/>
      <c r="J63" s="316"/>
      <c r="K63" s="316"/>
      <c r="L63" s="316"/>
      <c r="M63" s="316"/>
      <c r="O63" s="61" t="str">
        <f>IF(月途中入退所情報!$D13=$B$2,月途中入退所情報!F13,"-")</f>
        <v>-</v>
      </c>
      <c r="P63" s="61" t="str">
        <f>IF(月途中入退所情報!$D13=$B$2,月途中入退所情報!G13,"-")</f>
        <v>-</v>
      </c>
      <c r="Q63" s="61" t="str">
        <f>IF(月途中入退所情報!$D13=$B$2,月途中入退所情報!H13,"-")</f>
        <v>-</v>
      </c>
      <c r="R63" s="61" t="str">
        <f>IF(月途中入退所情報!$D13=$B$2,月途中入退所情報!I13,"-")</f>
        <v>-</v>
      </c>
      <c r="S63" s="61" t="str">
        <f>IF(月途中入退所情報!$D13=$B$2,月途中入退所情報!J13,"-")</f>
        <v>-</v>
      </c>
      <c r="T63" s="84">
        <f>IF($Q63="標準時間",HLOOKUP($P63,$F$5:$I$27,23,FALSE)-SUM($F$10,$F$21:$F$24,$F$26)-HLOOKUP($P63,$F$5:$I$27,16,FALSE)+HLOOKUP($P63,$F$5:$I$29,25,FALSE),IF($Q63="短時間",HLOOKUP($P63,$J$5:$M$27,23,FALSE)-SUM($F$10,$F$21:$F$24,$F$26)-HLOOKUP($P63,$J$5:$M$27,16,FALSE)+HLOOKUP($P63,$J$5:$M$29,25,FALSE),0))+IF(R63="○",加算と減算!$AH$3,0)</f>
        <v>0</v>
      </c>
      <c r="U63" s="85">
        <f t="shared" si="52"/>
        <v>0</v>
      </c>
      <c r="V63" s="262">
        <f t="shared" si="55"/>
        <v>0</v>
      </c>
      <c r="W63" s="262"/>
      <c r="X63" s="61" t="str">
        <f>IF(月途中入退所情報!$N13=$B$2,月途中入退所情報!$P13,"-")</f>
        <v>-</v>
      </c>
      <c r="Y63" s="61" t="str">
        <f>IF(月途中入退所情報!$N13=$B$2,月途中入退所情報!$Q13,"-")</f>
        <v>-</v>
      </c>
      <c r="Z63" s="61" t="str">
        <f>IF(月途中入退所情報!$N13=$B$2,月途中入退所情報!$R13,"-")</f>
        <v>-</v>
      </c>
      <c r="AA63" s="61" t="str">
        <f>IF(月途中入退所情報!$N13=$B$2,月途中入退所情報!$S13,"-")</f>
        <v>-</v>
      </c>
      <c r="AB63" s="61" t="str">
        <f>IF(月途中入退所情報!$N13=$B$2,月途中入退所情報!$T13,"-")</f>
        <v>-</v>
      </c>
      <c r="AC63" s="84">
        <f>IF($Z63="標準時間",HLOOKUP($Y63,$F$5:$I$27,23,FALSE)-SUM($F$10,$F$21:$F$24,$F$26)-HLOOKUP($Y63,$F$5:$I$27,16,FALSE)+HLOOKUP($Y63,$F$5:$I$29,25,FALSE),IF($Z63="短時間",HLOOKUP($Y63,$J$5:$M$27,23,FALSE)-SUM($F$10,$F$21:$F$24,$F$26)-HLOOKUP($Y63,$J$5:$M$27,16,FALSE)+HLOOKUP($Y63,$J$5:$M$29,25,FALSE),0))+IF(AA63="○",加算と減算!$AH$3,0)</f>
        <v>0</v>
      </c>
      <c r="AD63" s="85">
        <f t="shared" si="53"/>
        <v>0</v>
      </c>
      <c r="AE63" s="262">
        <f t="shared" si="54"/>
        <v>0</v>
      </c>
    </row>
    <row r="64" spans="2:43">
      <c r="C64" s="307"/>
      <c r="D64" s="308"/>
      <c r="E64" s="309"/>
      <c r="F64" s="369" t="s">
        <v>6</v>
      </c>
      <c r="G64" s="369" t="s">
        <v>7</v>
      </c>
      <c r="H64" s="369" t="s">
        <v>8</v>
      </c>
      <c r="I64" s="369" t="s">
        <v>9</v>
      </c>
      <c r="J64" s="369" t="s">
        <v>6</v>
      </c>
      <c r="K64" s="369" t="s">
        <v>7</v>
      </c>
      <c r="L64" s="369" t="s">
        <v>8</v>
      </c>
      <c r="M64" s="369" t="s">
        <v>9</v>
      </c>
      <c r="O64" s="61" t="str">
        <f>IF(月途中入退所情報!$D14=$B$2,月途中入退所情報!F14,"-")</f>
        <v>-</v>
      </c>
      <c r="P64" s="61" t="str">
        <f>IF(月途中入退所情報!$D14=$B$2,月途中入退所情報!G14,"-")</f>
        <v>-</v>
      </c>
      <c r="Q64" s="61" t="str">
        <f>IF(月途中入退所情報!$D14=$B$2,月途中入退所情報!H14,"-")</f>
        <v>-</v>
      </c>
      <c r="R64" s="61" t="str">
        <f>IF(月途中入退所情報!$D14=$B$2,月途中入退所情報!I14,"-")</f>
        <v>-</v>
      </c>
      <c r="S64" s="61" t="str">
        <f>IF(月途中入退所情報!$D14=$B$2,月途中入退所情報!J14,"-")</f>
        <v>-</v>
      </c>
      <c r="T64" s="84">
        <f>IF($Q64="標準時間",HLOOKUP($P64,$F$5:$I$27,23,FALSE)-SUM($F$10,$F$21:$F$24,$F$26)-HLOOKUP($P64,$F$5:$I$27,16,FALSE)+HLOOKUP($P64,$F$5:$I$29,25,FALSE),IF($Q64="短時間",HLOOKUP($P64,$J$5:$M$27,23,FALSE)-SUM($F$10,$F$21:$F$24,$F$26)-HLOOKUP($P64,$J$5:$M$27,16,FALSE)+HLOOKUP($P64,$J$5:$M$29,25,FALSE),0))+IF(R64="○",加算と減算!$AH$3,0)</f>
        <v>0</v>
      </c>
      <c r="U64" s="85">
        <f t="shared" si="52"/>
        <v>0</v>
      </c>
      <c r="V64" s="262">
        <f t="shared" si="55"/>
        <v>0</v>
      </c>
      <c r="W64" s="262"/>
      <c r="X64" s="61" t="str">
        <f>IF(月途中入退所情報!$N14=$B$2,月途中入退所情報!$P14,"-")</f>
        <v>-</v>
      </c>
      <c r="Y64" s="61" t="str">
        <f>IF(月途中入退所情報!$N14=$B$2,月途中入退所情報!$Q14,"-")</f>
        <v>-</v>
      </c>
      <c r="Z64" s="61" t="str">
        <f>IF(月途中入退所情報!$N14=$B$2,月途中入退所情報!$R14,"-")</f>
        <v>-</v>
      </c>
      <c r="AA64" s="61" t="str">
        <f>IF(月途中入退所情報!$N14=$B$2,月途中入退所情報!$S14,"-")</f>
        <v>-</v>
      </c>
      <c r="AB64" s="61" t="str">
        <f>IF(月途中入退所情報!$N14=$B$2,月途中入退所情報!$T14,"-")</f>
        <v>-</v>
      </c>
      <c r="AC64" s="84">
        <f>IF($Z64="標準時間",HLOOKUP($Y64,$F$5:$I$27,23,FALSE)-SUM($F$10,$F$21:$F$24,$F$26)-HLOOKUP($Y64,$F$5:$I$27,16,FALSE)+HLOOKUP($Y64,$F$5:$I$29,25,FALSE),IF($Z64="短時間",HLOOKUP($Y64,$J$5:$M$27,23,FALSE)-SUM($F$10,$F$21:$F$24,$F$26)-HLOOKUP($Y64,$J$5:$M$27,16,FALSE)+HLOOKUP($Y64,$J$5:$M$29,25,FALSE),0))+IF(AA64="○",加算と減算!$AH$3,0)</f>
        <v>0</v>
      </c>
      <c r="AD64" s="85">
        <f t="shared" si="53"/>
        <v>0</v>
      </c>
      <c r="AE64" s="262">
        <f t="shared" si="54"/>
        <v>0</v>
      </c>
    </row>
    <row r="65" spans="3:31">
      <c r="C65" s="307"/>
      <c r="D65" s="1432" t="s">
        <v>483</v>
      </c>
      <c r="E65" s="320" t="s">
        <v>480</v>
      </c>
      <c r="F65" s="85">
        <f t="shared" ref="F65:M65" si="58">-ROUNDDOWN((F33+F35+F38)*$T$2%,-1)</f>
        <v>0</v>
      </c>
      <c r="G65" s="85">
        <f t="shared" si="58"/>
        <v>0</v>
      </c>
      <c r="H65" s="85">
        <f t="shared" si="58"/>
        <v>0</v>
      </c>
      <c r="I65" s="85">
        <f t="shared" si="58"/>
        <v>0</v>
      </c>
      <c r="J65" s="85">
        <f t="shared" si="58"/>
        <v>0</v>
      </c>
      <c r="K65" s="85">
        <f t="shared" si="58"/>
        <v>0</v>
      </c>
      <c r="L65" s="85">
        <f t="shared" si="58"/>
        <v>0</v>
      </c>
      <c r="M65" s="85">
        <f t="shared" si="58"/>
        <v>0</v>
      </c>
      <c r="O65" s="61" t="str">
        <f>IF(月途中入退所情報!$D15=$B$2,月途中入退所情報!F15,"-")</f>
        <v>-</v>
      </c>
      <c r="P65" s="61" t="str">
        <f>IF(月途中入退所情報!$D15=$B$2,月途中入退所情報!G15,"-")</f>
        <v>-</v>
      </c>
      <c r="Q65" s="61" t="str">
        <f>IF(月途中入退所情報!$D15=$B$2,月途中入退所情報!H15,"-")</f>
        <v>-</v>
      </c>
      <c r="R65" s="61" t="str">
        <f>IF(月途中入退所情報!$D15=$B$2,月途中入退所情報!I15,"-")</f>
        <v>-</v>
      </c>
      <c r="S65" s="61" t="str">
        <f>IF(月途中入退所情報!$D15=$B$2,月途中入退所情報!J15,"-")</f>
        <v>-</v>
      </c>
      <c r="T65" s="84">
        <f>IF($Q65="標準時間",HLOOKUP($P65,$F$5:$I$27,23,FALSE)-SUM($F$10,$F$21:$F$24,$F$26)-HLOOKUP($P65,$F$5:$I$27,16,FALSE)+HLOOKUP($P65,$F$5:$I$29,25,FALSE),IF($Q65="短時間",HLOOKUP($P65,$J$5:$M$27,23,FALSE)-SUM($F$10,$F$21:$F$24,$F$26)-HLOOKUP($P65,$J$5:$M$27,16,FALSE)+HLOOKUP($P65,$J$5:$M$29,25,FALSE),0))+IF(R65="○",加算と減算!$AH$3,0)</f>
        <v>0</v>
      </c>
      <c r="U65" s="85">
        <f t="shared" si="52"/>
        <v>0</v>
      </c>
      <c r="V65" s="262">
        <f t="shared" si="55"/>
        <v>0</v>
      </c>
      <c r="W65" s="262"/>
      <c r="X65" s="61" t="str">
        <f>IF(月途中入退所情報!$N15=$B$2,月途中入退所情報!$P15,"-")</f>
        <v>-</v>
      </c>
      <c r="Y65" s="61" t="str">
        <f>IF(月途中入退所情報!$N15=$B$2,月途中入退所情報!$Q15,"-")</f>
        <v>-</v>
      </c>
      <c r="Z65" s="61" t="str">
        <f>IF(月途中入退所情報!$N15=$B$2,月途中入退所情報!$R15,"-")</f>
        <v>-</v>
      </c>
      <c r="AA65" s="61" t="str">
        <f>IF(月途中入退所情報!$N15=$B$2,月途中入退所情報!$S15,"-")</f>
        <v>-</v>
      </c>
      <c r="AB65" s="61" t="str">
        <f>IF(月途中入退所情報!$N15=$B$2,月途中入退所情報!$T15,"-")</f>
        <v>-</v>
      </c>
      <c r="AC65" s="84">
        <f>IF($Z65="標準時間",HLOOKUP($Y65,$F$5:$I$27,23,FALSE)-SUM($F$10,$F$21:$F$24,$F$26)-HLOOKUP($Y65,$F$5:$I$27,16,FALSE)+HLOOKUP($Y65,$F$5:$I$29,25,FALSE),IF($Z65="短時間",HLOOKUP($Y65,$J$5:$M$27,23,FALSE)-SUM($F$10,$F$21:$F$24,$F$26)-HLOOKUP($Y65,$J$5:$M$27,16,FALSE)+HLOOKUP($Y65,$J$5:$M$29,25,FALSE),0))+IF(AA65="○",加算と減算!$AH$3,0)</f>
        <v>0</v>
      </c>
      <c r="AD65" s="85">
        <f t="shared" si="53"/>
        <v>0</v>
      </c>
      <c r="AE65" s="262">
        <f t="shared" si="54"/>
        <v>0</v>
      </c>
    </row>
    <row r="66" spans="3:31">
      <c r="C66" s="307"/>
      <c r="D66" s="1432"/>
      <c r="E66" s="320" t="s">
        <v>481</v>
      </c>
      <c r="F66" s="85">
        <f>F65*Q37</f>
        <v>0</v>
      </c>
      <c r="G66" s="85">
        <f t="shared" ref="G66:M66" si="59">G65*R37</f>
        <v>0</v>
      </c>
      <c r="H66" s="85">
        <f t="shared" si="59"/>
        <v>0</v>
      </c>
      <c r="I66" s="85">
        <f t="shared" si="59"/>
        <v>0</v>
      </c>
      <c r="J66" s="85">
        <f t="shared" si="59"/>
        <v>0</v>
      </c>
      <c r="K66" s="85">
        <f t="shared" si="59"/>
        <v>0</v>
      </c>
      <c r="L66" s="85">
        <f t="shared" si="59"/>
        <v>0</v>
      </c>
      <c r="M66" s="85">
        <f t="shared" si="59"/>
        <v>0</v>
      </c>
      <c r="O66" s="61" t="str">
        <f>IF(月途中入退所情報!$D16=$B$2,月途中入退所情報!F16,"-")</f>
        <v>-</v>
      </c>
      <c r="P66" s="61" t="str">
        <f>IF(月途中入退所情報!$D16=$B$2,月途中入退所情報!G16,"-")</f>
        <v>-</v>
      </c>
      <c r="Q66" s="61" t="str">
        <f>IF(月途中入退所情報!$D16=$B$2,月途中入退所情報!H16,"-")</f>
        <v>-</v>
      </c>
      <c r="R66" s="61" t="str">
        <f>IF(月途中入退所情報!$D16=$B$2,月途中入退所情報!I16,"-")</f>
        <v>-</v>
      </c>
      <c r="S66" s="61" t="str">
        <f>IF(月途中入退所情報!$D16=$B$2,月途中入退所情報!J16,"-")</f>
        <v>-</v>
      </c>
      <c r="T66" s="84">
        <f>IF($Q66="標準時間",HLOOKUP($P66,$F$5:$I$27,23,FALSE)-SUM($F$10,$F$21:$F$24,$F$26)-HLOOKUP($P66,$F$5:$I$27,16,FALSE)+HLOOKUP($P66,$F$5:$I$29,25,FALSE),IF($Q66="短時間",HLOOKUP($P66,$J$5:$M$27,23,FALSE)-SUM($F$10,$F$21:$F$24,$F$26)-HLOOKUP($P66,$J$5:$M$27,16,FALSE)+HLOOKUP($P66,$J$5:$M$29,25,FALSE),0))+IF(R66="○",加算と減算!$AH$3,0)</f>
        <v>0</v>
      </c>
      <c r="U66" s="85">
        <f t="shared" si="52"/>
        <v>0</v>
      </c>
      <c r="V66" s="262">
        <f t="shared" si="55"/>
        <v>0</v>
      </c>
      <c r="W66" s="262"/>
      <c r="X66" s="61" t="str">
        <f>IF(月途中入退所情報!$N16=$B$2,月途中入退所情報!$P16,"-")</f>
        <v>-</v>
      </c>
      <c r="Y66" s="61" t="str">
        <f>IF(月途中入退所情報!$N16=$B$2,月途中入退所情報!$Q16,"-")</f>
        <v>-</v>
      </c>
      <c r="Z66" s="61" t="str">
        <f>IF(月途中入退所情報!$N16=$B$2,月途中入退所情報!$R16,"-")</f>
        <v>-</v>
      </c>
      <c r="AA66" s="61" t="str">
        <f>IF(月途中入退所情報!$N16=$B$2,月途中入退所情報!$S16,"-")</f>
        <v>-</v>
      </c>
      <c r="AB66" s="61" t="str">
        <f>IF(月途中入退所情報!$N16=$B$2,月途中入退所情報!$T16,"-")</f>
        <v>-</v>
      </c>
      <c r="AC66" s="84">
        <f>IF($Z66="標準時間",HLOOKUP($Y66,$F$5:$I$27,23,FALSE)-SUM($F$10,$F$21:$F$24,$F$26)-HLOOKUP($Y66,$F$5:$I$27,16,FALSE)+HLOOKUP($Y66,$F$5:$I$29,25,FALSE),IF($Z66="短時間",HLOOKUP($Y66,$J$5:$M$27,23,FALSE)-SUM($F$10,$F$21:$F$24,$F$26)-HLOOKUP($Y66,$J$5:$M$27,16,FALSE)+HLOOKUP($Y66,$J$5:$M$29,25,FALSE),0))+IF(AA66="○",加算と減算!$AH$3,0)</f>
        <v>0</v>
      </c>
      <c r="AD66" s="85">
        <f t="shared" si="53"/>
        <v>0</v>
      </c>
      <c r="AE66" s="262">
        <f t="shared" si="54"/>
        <v>0</v>
      </c>
    </row>
    <row r="67" spans="3:31" ht="15.75" thickBot="1">
      <c r="C67" s="307"/>
      <c r="D67" s="317"/>
      <c r="E67" s="315"/>
      <c r="F67" s="316"/>
      <c r="G67" s="316"/>
      <c r="H67" s="316"/>
      <c r="I67" s="316"/>
      <c r="J67" s="316"/>
      <c r="K67" s="316"/>
      <c r="L67" s="316"/>
      <c r="M67" s="316"/>
      <c r="O67" s="61" t="str">
        <f>IF(月途中入退所情報!$D17=$B$2,月途中入退所情報!F17,"-")</f>
        <v>-</v>
      </c>
      <c r="P67" s="61" t="str">
        <f>IF(月途中入退所情報!$D17=$B$2,月途中入退所情報!G17,"-")</f>
        <v>-</v>
      </c>
      <c r="Q67" s="61" t="str">
        <f>IF(月途中入退所情報!$D17=$B$2,月途中入退所情報!H17,"-")</f>
        <v>-</v>
      </c>
      <c r="R67" s="61" t="str">
        <f>IF(月途中入退所情報!$D17=$B$2,月途中入退所情報!I17,"-")</f>
        <v>-</v>
      </c>
      <c r="S67" s="61" t="str">
        <f>IF(月途中入退所情報!$D17=$B$2,月途中入退所情報!J17,"-")</f>
        <v>-</v>
      </c>
      <c r="T67" s="84">
        <f>IF($Q67="標準時間",HLOOKUP($P67,$F$5:$I$27,23,FALSE)-SUM($F$10,$F$21:$F$24,$F$26)-HLOOKUP($P67,$F$5:$I$27,16,FALSE)+HLOOKUP($P67,$F$5:$I$29,25,FALSE),IF($Q67="短時間",HLOOKUP($P67,$J$5:$M$27,23,FALSE)-SUM($F$10,$F$21:$F$24,$F$26)-HLOOKUP($P67,$J$5:$M$27,16,FALSE)+HLOOKUP($P67,$J$5:$M$29,25,FALSE),0))+IF(R67="○",加算と減算!$AH$3,0)</f>
        <v>0</v>
      </c>
      <c r="U67" s="85">
        <f t="shared" si="52"/>
        <v>0</v>
      </c>
      <c r="V67" s="262">
        <f t="shared" si="55"/>
        <v>0</v>
      </c>
      <c r="W67" s="262"/>
      <c r="X67" s="61" t="str">
        <f>IF(月途中入退所情報!$N17=$B$2,月途中入退所情報!$P17,"-")</f>
        <v>-</v>
      </c>
      <c r="Y67" s="61" t="str">
        <f>IF(月途中入退所情報!$N17=$B$2,月途中入退所情報!$Q17,"-")</f>
        <v>-</v>
      </c>
      <c r="Z67" s="61" t="str">
        <f>IF(月途中入退所情報!$N17=$B$2,月途中入退所情報!$R17,"-")</f>
        <v>-</v>
      </c>
      <c r="AA67" s="61" t="str">
        <f>IF(月途中入退所情報!$N17=$B$2,月途中入退所情報!$S17,"-")</f>
        <v>-</v>
      </c>
      <c r="AB67" s="61" t="str">
        <f>IF(月途中入退所情報!$N17=$B$2,月途中入退所情報!$T17,"-")</f>
        <v>-</v>
      </c>
      <c r="AC67" s="84">
        <f>IF($Z67="標準時間",HLOOKUP($Y67,$F$5:$I$27,23,FALSE)-SUM($F$10,$F$21:$F$24,$F$26)-HLOOKUP($Y67,$F$5:$I$27,16,FALSE)+HLOOKUP($Y67,$F$5:$I$29,25,FALSE),IF($Z67="短時間",HLOOKUP($Y67,$J$5:$M$27,23,FALSE)-SUM($F$10,$F$21:$F$24,$F$26)-HLOOKUP($Y67,$J$5:$M$27,16,FALSE)+HLOOKUP($Y67,$J$5:$M$29,25,FALSE),0))+IF(AA67="○",加算と減算!$AH$3,0)</f>
        <v>0</v>
      </c>
      <c r="AD67" s="85">
        <f t="shared" si="53"/>
        <v>0</v>
      </c>
      <c r="AE67" s="262">
        <f t="shared" si="54"/>
        <v>0</v>
      </c>
    </row>
    <row r="68" spans="3:31" ht="15.75" thickBot="1">
      <c r="D68" s="1433" t="s">
        <v>484</v>
      </c>
      <c r="E68" s="1434"/>
      <c r="F68" s="321" t="e">
        <f>F62+F66</f>
        <v>#VALUE!</v>
      </c>
      <c r="G68" s="321" t="e">
        <f t="shared" ref="G68:M68" si="60">G62+G66</f>
        <v>#VALUE!</v>
      </c>
      <c r="H68" s="321" t="e">
        <f t="shared" si="60"/>
        <v>#VALUE!</v>
      </c>
      <c r="I68" s="321" t="e">
        <f t="shared" si="60"/>
        <v>#VALUE!</v>
      </c>
      <c r="J68" s="321" t="e">
        <f t="shared" si="60"/>
        <v>#VALUE!</v>
      </c>
      <c r="K68" s="321" t="e">
        <f t="shared" si="60"/>
        <v>#VALUE!</v>
      </c>
      <c r="L68" s="321" t="e">
        <f t="shared" si="60"/>
        <v>#VALUE!</v>
      </c>
      <c r="M68" s="322" t="e">
        <f t="shared" si="60"/>
        <v>#VALUE!</v>
      </c>
      <c r="O68" s="61" t="str">
        <f>IF(月途中入退所情報!$D18=$B$2,月途中入退所情報!F18,"-")</f>
        <v>-</v>
      </c>
      <c r="P68" s="61" t="str">
        <f>IF(月途中入退所情報!$D18=$B$2,月途中入退所情報!G18,"-")</f>
        <v>-</v>
      </c>
      <c r="Q68" s="61" t="str">
        <f>IF(月途中入退所情報!$D18=$B$2,月途中入退所情報!H18,"-")</f>
        <v>-</v>
      </c>
      <c r="R68" s="61" t="str">
        <f>IF(月途中入退所情報!$D18=$B$2,月途中入退所情報!I18,"-")</f>
        <v>-</v>
      </c>
      <c r="S68" s="61" t="str">
        <f>IF(月途中入退所情報!$D18=$B$2,月途中入退所情報!J18,"-")</f>
        <v>-</v>
      </c>
      <c r="T68" s="84">
        <f>IF($Q68="標準時間",HLOOKUP($P68,$F$5:$I$27,23,FALSE)-SUM($F$10,$F$21:$F$24,$F$26)-HLOOKUP($P68,$F$5:$I$27,16,FALSE)+HLOOKUP($P68,$F$5:$I$29,25,FALSE),IF($Q68="短時間",HLOOKUP($P68,$J$5:$M$27,23,FALSE)-SUM($F$10,$F$21:$F$24,$F$26)-HLOOKUP($P68,$J$5:$M$27,16,FALSE)+HLOOKUP($P68,$J$5:$M$29,25,FALSE),0))+IF(R68="○",加算と減算!$AH$3,0)</f>
        <v>0</v>
      </c>
      <c r="U68" s="85">
        <f t="shared" si="52"/>
        <v>0</v>
      </c>
      <c r="V68" s="262">
        <f t="shared" si="55"/>
        <v>0</v>
      </c>
      <c r="W68" s="262"/>
      <c r="X68" s="61" t="str">
        <f>IF(月途中入退所情報!$N18=$B$2,月途中入退所情報!$P18,"-")</f>
        <v>-</v>
      </c>
      <c r="Y68" s="61" t="str">
        <f>IF(月途中入退所情報!$N18=$B$2,月途中入退所情報!$Q18,"-")</f>
        <v>-</v>
      </c>
      <c r="Z68" s="61" t="str">
        <f>IF(月途中入退所情報!$N18=$B$2,月途中入退所情報!$R18,"-")</f>
        <v>-</v>
      </c>
      <c r="AA68" s="61" t="str">
        <f>IF(月途中入退所情報!$N18=$B$2,月途中入退所情報!$S18,"-")</f>
        <v>-</v>
      </c>
      <c r="AB68" s="61" t="str">
        <f>IF(月途中入退所情報!$N18=$B$2,月途中入退所情報!$T18,"-")</f>
        <v>-</v>
      </c>
      <c r="AC68" s="84">
        <f>IF($Z68="標準時間",HLOOKUP($Y68,$F$5:$I$27,23,FALSE)-SUM($F$10,$F$21:$F$24,$F$26)-HLOOKUP($Y68,$F$5:$I$27,16,FALSE)+HLOOKUP($Y68,$F$5:$I$29,25,FALSE),IF($Z68="短時間",HLOOKUP($Y68,$J$5:$M$27,23,FALSE)-SUM($F$10,$F$21:$F$24,$F$26)-HLOOKUP($Y68,$J$5:$M$27,16,FALSE)+HLOOKUP($Y68,$J$5:$M$29,25,FALSE),0))+IF(AA68="○",加算と減算!$AH$3,0)</f>
        <v>0</v>
      </c>
      <c r="AD68" s="85">
        <f t="shared" si="53"/>
        <v>0</v>
      </c>
      <c r="AE68" s="262">
        <f t="shared" si="54"/>
        <v>0</v>
      </c>
    </row>
    <row r="69" spans="3:31" ht="15.75" thickBot="1">
      <c r="D69" s="1435"/>
      <c r="E69" s="1436"/>
      <c r="F69" s="1437" t="e">
        <f>SUM(F68:M68)</f>
        <v>#VALUE!</v>
      </c>
      <c r="G69" s="1438"/>
      <c r="H69" s="1438"/>
      <c r="I69" s="1438"/>
      <c r="J69" s="1438"/>
      <c r="K69" s="1438"/>
      <c r="L69" s="1438"/>
      <c r="M69" s="1439"/>
      <c r="O69" s="61" t="str">
        <f>IF(月途中入退所情報!$D19=$B$2,月途中入退所情報!F19,"-")</f>
        <v>-</v>
      </c>
      <c r="P69" s="61" t="str">
        <f>IF(月途中入退所情報!$D19=$B$2,月途中入退所情報!G19,"-")</f>
        <v>-</v>
      </c>
      <c r="Q69" s="61" t="str">
        <f>IF(月途中入退所情報!$D19=$B$2,月途中入退所情報!H19,"-")</f>
        <v>-</v>
      </c>
      <c r="R69" s="61" t="str">
        <f>IF(月途中入退所情報!$D19=$B$2,月途中入退所情報!I19,"-")</f>
        <v>-</v>
      </c>
      <c r="S69" s="61" t="str">
        <f>IF(月途中入退所情報!$D19=$B$2,月途中入退所情報!J19,"-")</f>
        <v>-</v>
      </c>
      <c r="T69" s="84">
        <f>IF($Q69="標準時間",HLOOKUP($P69,$F$5:$I$27,23,FALSE)-SUM($F$10,$F$21:$F$24,$F$26)-HLOOKUP($P69,$F$5:$I$27,16,FALSE)+HLOOKUP($P69,$F$5:$I$29,25,FALSE),IF($Q69="短時間",HLOOKUP($P69,$J$5:$M$27,23,FALSE)-SUM($F$10,$F$21:$F$24,$F$26)-HLOOKUP($P69,$J$5:$M$27,16,FALSE)+HLOOKUP($P69,$J$5:$M$29,25,FALSE),0))+IF(R69="○",加算と減算!$AH$3,0)</f>
        <v>0</v>
      </c>
      <c r="U69" s="85">
        <f t="shared" si="52"/>
        <v>0</v>
      </c>
      <c r="V69" s="262">
        <f t="shared" si="55"/>
        <v>0</v>
      </c>
      <c r="W69" s="262"/>
      <c r="X69" s="61" t="str">
        <f>IF(月途中入退所情報!$N19=$B$2,月途中入退所情報!$P19,"-")</f>
        <v>-</v>
      </c>
      <c r="Y69" s="61" t="str">
        <f>IF(月途中入退所情報!$N19=$B$2,月途中入退所情報!$Q19,"-")</f>
        <v>-</v>
      </c>
      <c r="Z69" s="61" t="str">
        <f>IF(月途中入退所情報!$N19=$B$2,月途中入退所情報!$R19,"-")</f>
        <v>-</v>
      </c>
      <c r="AA69" s="61" t="str">
        <f>IF(月途中入退所情報!$N19=$B$2,月途中入退所情報!$S19,"-")</f>
        <v>-</v>
      </c>
      <c r="AB69" s="61" t="str">
        <f>IF(月途中入退所情報!$N19=$B$2,月途中入退所情報!$T19,"-")</f>
        <v>-</v>
      </c>
      <c r="AC69" s="84">
        <f>IF($Z69="標準時間",HLOOKUP($Y69,$F$5:$I$27,23,FALSE)-SUM($F$10,$F$21:$F$24,$F$26)-HLOOKUP($Y69,$F$5:$I$27,16,FALSE)+HLOOKUP($Y69,$F$5:$I$29,25,FALSE),IF($Z69="短時間",HLOOKUP($Y69,$J$5:$M$27,23,FALSE)-SUM($F$10,$F$21:$F$24,$F$26)-HLOOKUP($Y69,$J$5:$M$27,16,FALSE)+HLOOKUP($Y69,$J$5:$M$29,25,FALSE),0))+IF(AA69="○",加算と減算!$AH$3,0)</f>
        <v>0</v>
      </c>
      <c r="AD69" s="85">
        <f t="shared" si="53"/>
        <v>0</v>
      </c>
      <c r="AE69" s="262">
        <f t="shared" si="54"/>
        <v>0</v>
      </c>
    </row>
    <row r="70" spans="3:31">
      <c r="O70" s="61" t="str">
        <f>IF(月途中入退所情報!$D20=$B$2,月途中入退所情報!F20,"-")</f>
        <v>-</v>
      </c>
      <c r="P70" s="61" t="str">
        <f>IF(月途中入退所情報!$D20=$B$2,月途中入退所情報!G20,"-")</f>
        <v>-</v>
      </c>
      <c r="Q70" s="61" t="str">
        <f>IF(月途中入退所情報!$D20=$B$2,月途中入退所情報!H20,"-")</f>
        <v>-</v>
      </c>
      <c r="R70" s="61" t="str">
        <f>IF(月途中入退所情報!$D20=$B$2,月途中入退所情報!I20,"-")</f>
        <v>-</v>
      </c>
      <c r="S70" s="61" t="str">
        <f>IF(月途中入退所情報!$D20=$B$2,月途中入退所情報!J20,"-")</f>
        <v>-</v>
      </c>
      <c r="T70" s="84">
        <f>IF($Q70="標準時間",HLOOKUP($P70,$F$5:$I$27,23,FALSE)-SUM($F$10,$F$21:$F$24,$F$26)-HLOOKUP($P70,$F$5:$I$27,16,FALSE)+HLOOKUP($P70,$F$5:$I$29,25,FALSE),IF($Q70="短時間",HLOOKUP($P70,$J$5:$M$27,23,FALSE)-SUM($F$10,$F$21:$F$24,$F$26)-HLOOKUP($P70,$J$5:$M$27,16,FALSE)+HLOOKUP($P70,$J$5:$M$29,25,FALSE),0))+IF(R70="○",加算と減算!$AH$3,0)</f>
        <v>0</v>
      </c>
      <c r="U70" s="85">
        <f t="shared" si="52"/>
        <v>0</v>
      </c>
      <c r="V70" s="262">
        <f t="shared" si="55"/>
        <v>0</v>
      </c>
      <c r="W70" s="262"/>
      <c r="X70" s="61" t="str">
        <f>IF(月途中入退所情報!$N20=$B$2,月途中入退所情報!$P20,"-")</f>
        <v>-</v>
      </c>
      <c r="Y70" s="61" t="str">
        <f>IF(月途中入退所情報!$N20=$B$2,月途中入退所情報!$Q20,"-")</f>
        <v>-</v>
      </c>
      <c r="Z70" s="61" t="str">
        <f>IF(月途中入退所情報!$N20=$B$2,月途中入退所情報!$R20,"-")</f>
        <v>-</v>
      </c>
      <c r="AA70" s="61" t="str">
        <f>IF(月途中入退所情報!$N20=$B$2,月途中入退所情報!$S20,"-")</f>
        <v>-</v>
      </c>
      <c r="AB70" s="61" t="str">
        <f>IF(月途中入退所情報!$N20=$B$2,月途中入退所情報!$T20,"-")</f>
        <v>-</v>
      </c>
      <c r="AC70" s="84">
        <f>IF($Z70="標準時間",HLOOKUP($Y70,$F$5:$I$27,23,FALSE)-SUM($F$10,$F$21:$F$24,$F$26)-HLOOKUP($Y70,$F$5:$I$27,16,FALSE)+HLOOKUP($Y70,$F$5:$I$29,25,FALSE),IF($Z70="短時間",HLOOKUP($Y70,$J$5:$M$27,23,FALSE)-SUM($F$10,$F$21:$F$24,$F$26)-HLOOKUP($Y70,$J$5:$M$27,16,FALSE)+HLOOKUP($Y70,$J$5:$M$29,25,FALSE),0))+IF(AA70="○",加算と減算!$AH$3,0)</f>
        <v>0</v>
      </c>
      <c r="AD70" s="85">
        <f t="shared" si="53"/>
        <v>0</v>
      </c>
      <c r="AE70" s="262">
        <f t="shared" si="54"/>
        <v>0</v>
      </c>
    </row>
    <row r="71" spans="3:31">
      <c r="O71" s="61" t="str">
        <f>IF(月途中入退所情報!$D21=$B$2,月途中入退所情報!F21,"-")</f>
        <v>-</v>
      </c>
      <c r="P71" s="61" t="str">
        <f>IF(月途中入退所情報!$D21=$B$2,月途中入退所情報!G21,"-")</f>
        <v>-</v>
      </c>
      <c r="Q71" s="61" t="str">
        <f>IF(月途中入退所情報!$D21=$B$2,月途中入退所情報!H21,"-")</f>
        <v>-</v>
      </c>
      <c r="R71" s="61" t="str">
        <f>IF(月途中入退所情報!$D21=$B$2,月途中入退所情報!I21,"-")</f>
        <v>-</v>
      </c>
      <c r="S71" s="61" t="str">
        <f>IF(月途中入退所情報!$D21=$B$2,月途中入退所情報!J21,"-")</f>
        <v>-</v>
      </c>
      <c r="T71" s="84">
        <f>IF($Q71="標準時間",HLOOKUP($P71,$F$5:$I$27,23,FALSE)-SUM($F$10,$F$21:$F$24,$F$26)-HLOOKUP($P71,$F$5:$I$27,16,FALSE)+HLOOKUP($P71,$F$5:$I$29,25,FALSE),IF($Q71="短時間",HLOOKUP($P71,$J$5:$M$27,23,FALSE)-SUM($F$10,$F$21:$F$24,$F$26)-HLOOKUP($P71,$J$5:$M$27,16,FALSE)+HLOOKUP($P71,$J$5:$M$29,25,FALSE),0))+IF(R71="○",加算と減算!$AH$3,0)</f>
        <v>0</v>
      </c>
      <c r="U71" s="85">
        <f t="shared" si="52"/>
        <v>0</v>
      </c>
      <c r="V71" s="262">
        <f t="shared" si="55"/>
        <v>0</v>
      </c>
      <c r="W71" s="262"/>
      <c r="X71" s="61" t="str">
        <f>IF(月途中入退所情報!$N21=$B$2,月途中入退所情報!$P21,"-")</f>
        <v>-</v>
      </c>
      <c r="Y71" s="61" t="str">
        <f>IF(月途中入退所情報!$N21=$B$2,月途中入退所情報!$Q21,"-")</f>
        <v>-</v>
      </c>
      <c r="Z71" s="61" t="str">
        <f>IF(月途中入退所情報!$N21=$B$2,月途中入退所情報!$R21,"-")</f>
        <v>-</v>
      </c>
      <c r="AA71" s="61" t="str">
        <f>IF(月途中入退所情報!$N21=$B$2,月途中入退所情報!$S21,"-")</f>
        <v>-</v>
      </c>
      <c r="AB71" s="61" t="str">
        <f>IF(月途中入退所情報!$N21=$B$2,月途中入退所情報!$T21,"-")</f>
        <v>-</v>
      </c>
      <c r="AC71" s="84">
        <f>IF($Z71="標準時間",HLOOKUP($Y71,$F$5:$I$27,23,FALSE)-SUM($F$10,$F$21:$F$24,$F$26)-HLOOKUP($Y71,$F$5:$I$27,16,FALSE)+HLOOKUP($Y71,$F$5:$I$29,25,FALSE),IF($Z71="短時間",HLOOKUP($Y71,$J$5:$M$27,23,FALSE)-SUM($F$10,$F$21:$F$24,$F$26)-HLOOKUP($Y71,$J$5:$M$27,16,FALSE)+HLOOKUP($Y71,$J$5:$M$29,25,FALSE),0))+IF(AA71="○",加算と減算!$AH$3,0)</f>
        <v>0</v>
      </c>
      <c r="AD71" s="85">
        <f t="shared" si="53"/>
        <v>0</v>
      </c>
      <c r="AE71" s="262">
        <f t="shared" si="54"/>
        <v>0</v>
      </c>
    </row>
    <row r="72" spans="3:31">
      <c r="O72" s="61" t="str">
        <f>IF(月途中入退所情報!$D22=$B$2,月途中入退所情報!F22,"-")</f>
        <v>-</v>
      </c>
      <c r="P72" s="61" t="str">
        <f>IF(月途中入退所情報!$D22=$B$2,月途中入退所情報!G22,"-")</f>
        <v>-</v>
      </c>
      <c r="Q72" s="61" t="str">
        <f>IF(月途中入退所情報!$D22=$B$2,月途中入退所情報!H22,"-")</f>
        <v>-</v>
      </c>
      <c r="R72" s="61" t="str">
        <f>IF(月途中入退所情報!$D22=$B$2,月途中入退所情報!I22,"-")</f>
        <v>-</v>
      </c>
      <c r="S72" s="61" t="str">
        <f>IF(月途中入退所情報!$D22=$B$2,月途中入退所情報!J22,"-")</f>
        <v>-</v>
      </c>
      <c r="T72" s="84">
        <f>IF($Q72="標準時間",HLOOKUP($P72,$F$5:$I$27,23,FALSE)-SUM($F$10,$F$21:$F$24,$F$26)-HLOOKUP($P72,$F$5:$I$27,16,FALSE)+HLOOKUP($P72,$F$5:$I$29,25,FALSE),IF($Q72="短時間",HLOOKUP($P72,$J$5:$M$27,23,FALSE)-SUM($F$10,$F$21:$F$24,$F$26)-HLOOKUP($P72,$J$5:$M$27,16,FALSE)+HLOOKUP($P72,$J$5:$M$29,25,FALSE),0))+IF(R72="○",加算と減算!$AH$3,0)</f>
        <v>0</v>
      </c>
      <c r="U72" s="85">
        <f t="shared" si="52"/>
        <v>0</v>
      </c>
      <c r="V72" s="262">
        <f t="shared" si="55"/>
        <v>0</v>
      </c>
      <c r="W72" s="262"/>
      <c r="X72" s="61" t="str">
        <f>IF(月途中入退所情報!$N22=$B$2,月途中入退所情報!$P22,"-")</f>
        <v>-</v>
      </c>
      <c r="Y72" s="61" t="str">
        <f>IF(月途中入退所情報!$N22=$B$2,月途中入退所情報!$Q22,"-")</f>
        <v>-</v>
      </c>
      <c r="Z72" s="61" t="str">
        <f>IF(月途中入退所情報!$N22=$B$2,月途中入退所情報!$R22,"-")</f>
        <v>-</v>
      </c>
      <c r="AA72" s="61" t="str">
        <f>IF(月途中入退所情報!$N22=$B$2,月途中入退所情報!$S22,"-")</f>
        <v>-</v>
      </c>
      <c r="AB72" s="61" t="str">
        <f>IF(月途中入退所情報!$N22=$B$2,月途中入退所情報!$T22,"-")</f>
        <v>-</v>
      </c>
      <c r="AC72" s="84">
        <f>IF($Z72="標準時間",HLOOKUP($Y72,$F$5:$I$27,23,FALSE)-SUM($F$10,$F$21:$F$24,$F$26)-HLOOKUP($Y72,$F$5:$I$27,16,FALSE)+HLOOKUP($Y72,$F$5:$I$29,25,FALSE),IF($Z72="短時間",HLOOKUP($Y72,$J$5:$M$27,23,FALSE)-SUM($F$10,$F$21:$F$24,$F$26)-HLOOKUP($Y72,$J$5:$M$27,16,FALSE)+HLOOKUP($Y72,$J$5:$M$29,25,FALSE),0))+IF(AA72="○",加算と減算!$AH$3,0)</f>
        <v>0</v>
      </c>
      <c r="AD72" s="85">
        <f t="shared" si="53"/>
        <v>0</v>
      </c>
      <c r="AE72" s="262">
        <f t="shared" si="54"/>
        <v>0</v>
      </c>
    </row>
    <row r="73" spans="3:31">
      <c r="O73" s="61" t="str">
        <f>IF(月途中入退所情報!$D23=$B$2,月途中入退所情報!F23,"-")</f>
        <v>-</v>
      </c>
      <c r="P73" s="61" t="str">
        <f>IF(月途中入退所情報!$D23=$B$2,月途中入退所情報!G23,"-")</f>
        <v>-</v>
      </c>
      <c r="Q73" s="61" t="str">
        <f>IF(月途中入退所情報!$D23=$B$2,月途中入退所情報!H23,"-")</f>
        <v>-</v>
      </c>
      <c r="R73" s="61" t="str">
        <f>IF(月途中入退所情報!$D23=$B$2,月途中入退所情報!I23,"-")</f>
        <v>-</v>
      </c>
      <c r="S73" s="61" t="str">
        <f>IF(月途中入退所情報!$D23=$B$2,月途中入退所情報!J23,"-")</f>
        <v>-</v>
      </c>
      <c r="T73" s="84">
        <f>IF($Q73="標準時間",HLOOKUP($P73,$F$5:$I$27,23,FALSE)-SUM($F$10,$F$21:$F$24,$F$26)-HLOOKUP($P73,$F$5:$I$27,16,FALSE)+HLOOKUP($P73,$F$5:$I$29,25,FALSE),IF($Q73="短時間",HLOOKUP($P73,$J$5:$M$27,23,FALSE)-SUM($F$10,$F$21:$F$24,$F$26)-HLOOKUP($P73,$J$5:$M$27,16,FALSE)+HLOOKUP($P73,$J$5:$M$29,25,FALSE),0))+IF(R73="○",加算と減算!$AH$3,0)</f>
        <v>0</v>
      </c>
      <c r="U73" s="85">
        <f t="shared" si="52"/>
        <v>0</v>
      </c>
      <c r="V73" s="262">
        <f t="shared" si="55"/>
        <v>0</v>
      </c>
      <c r="W73" s="262"/>
      <c r="X73" s="61" t="str">
        <f>IF(月途中入退所情報!$N23=$B$2,月途中入退所情報!$P23,"-")</f>
        <v>-</v>
      </c>
      <c r="Y73" s="61" t="str">
        <f>IF(月途中入退所情報!$N23=$B$2,月途中入退所情報!$Q23,"-")</f>
        <v>-</v>
      </c>
      <c r="Z73" s="61" t="str">
        <f>IF(月途中入退所情報!$N23=$B$2,月途中入退所情報!$R23,"-")</f>
        <v>-</v>
      </c>
      <c r="AA73" s="61" t="str">
        <f>IF(月途中入退所情報!$N23=$B$2,月途中入退所情報!$S23,"-")</f>
        <v>-</v>
      </c>
      <c r="AB73" s="61" t="str">
        <f>IF(月途中入退所情報!$N23=$B$2,月途中入退所情報!$T23,"-")</f>
        <v>-</v>
      </c>
      <c r="AC73" s="84">
        <f>IF($Z73="標準時間",HLOOKUP($Y73,$F$5:$I$27,23,FALSE)-SUM($F$10,$F$21:$F$24,$F$26)-HLOOKUP($Y73,$F$5:$I$27,16,FALSE)+HLOOKUP($Y73,$F$5:$I$29,25,FALSE),IF($Z73="短時間",HLOOKUP($Y73,$J$5:$M$27,23,FALSE)-SUM($F$10,$F$21:$F$24,$F$26)-HLOOKUP($Y73,$J$5:$M$27,16,FALSE)+HLOOKUP($Y73,$J$5:$M$29,25,FALSE),0))+IF(AA73="○",加算と減算!$AH$3,0)</f>
        <v>0</v>
      </c>
      <c r="AD73" s="85">
        <f t="shared" si="53"/>
        <v>0</v>
      </c>
      <c r="AE73" s="262">
        <f t="shared" si="54"/>
        <v>0</v>
      </c>
    </row>
    <row r="74" spans="3:31">
      <c r="O74" s="61" t="str">
        <f>IF(月途中入退所情報!$D24=$B$2,月途中入退所情報!F24,"-")</f>
        <v>-</v>
      </c>
      <c r="P74" s="61" t="str">
        <f>IF(月途中入退所情報!$D24=$B$2,月途中入退所情報!G24,"-")</f>
        <v>-</v>
      </c>
      <c r="Q74" s="61" t="str">
        <f>IF(月途中入退所情報!$D24=$B$2,月途中入退所情報!H24,"-")</f>
        <v>-</v>
      </c>
      <c r="R74" s="61" t="str">
        <f>IF(月途中入退所情報!$D24=$B$2,月途中入退所情報!I24,"-")</f>
        <v>-</v>
      </c>
      <c r="S74" s="61" t="str">
        <f>IF(月途中入退所情報!$D24=$B$2,月途中入退所情報!J24,"-")</f>
        <v>-</v>
      </c>
      <c r="T74" s="84">
        <f>IF($Q74="標準時間",HLOOKUP($P74,$F$5:$I$27,23,FALSE)-SUM($F$10,$F$21:$F$24,$F$26)-HLOOKUP($P74,$F$5:$I$27,16,FALSE)+HLOOKUP($P74,$F$5:$I$29,25,FALSE),IF($Q74="短時間",HLOOKUP($P74,$J$5:$M$27,23,FALSE)-SUM($F$10,$F$21:$F$24,$F$26)-HLOOKUP($P74,$J$5:$M$27,16,FALSE)+HLOOKUP($P74,$J$5:$M$29,25,FALSE),0))+IF(R74="○",加算と減算!$AH$3,0)</f>
        <v>0</v>
      </c>
      <c r="U74" s="85">
        <f t="shared" si="52"/>
        <v>0</v>
      </c>
      <c r="V74" s="262">
        <f t="shared" si="55"/>
        <v>0</v>
      </c>
      <c r="W74" s="262"/>
      <c r="X74" s="61" t="str">
        <f>IF(月途中入退所情報!$N24=$B$2,月途中入退所情報!$P24,"-")</f>
        <v>-</v>
      </c>
      <c r="Y74" s="61" t="str">
        <f>IF(月途中入退所情報!$N24=$B$2,月途中入退所情報!$Q24,"-")</f>
        <v>-</v>
      </c>
      <c r="Z74" s="61" t="str">
        <f>IF(月途中入退所情報!$N24=$B$2,月途中入退所情報!$R24,"-")</f>
        <v>-</v>
      </c>
      <c r="AA74" s="61" t="str">
        <f>IF(月途中入退所情報!$N24=$B$2,月途中入退所情報!$S24,"-")</f>
        <v>-</v>
      </c>
      <c r="AB74" s="61" t="str">
        <f>IF(月途中入退所情報!$N24=$B$2,月途中入退所情報!$T24,"-")</f>
        <v>-</v>
      </c>
      <c r="AC74" s="84">
        <f>IF($Z74="標準時間",HLOOKUP($Y74,$F$5:$I$27,23,FALSE)-SUM($F$10,$F$21:$F$24,$F$26)-HLOOKUP($Y74,$F$5:$I$27,16,FALSE)+HLOOKUP($Y74,$F$5:$I$29,25,FALSE),IF($Z74="短時間",HLOOKUP($Y74,$J$5:$M$27,23,FALSE)-SUM($F$10,$F$21:$F$24,$F$26)-HLOOKUP($Y74,$J$5:$M$27,16,FALSE)+HLOOKUP($Y74,$J$5:$M$29,25,FALSE),0))+IF(AA74="○",加算と減算!$AH$3,0)</f>
        <v>0</v>
      </c>
      <c r="AD74" s="85">
        <f t="shared" si="53"/>
        <v>0</v>
      </c>
      <c r="AE74" s="262">
        <f t="shared" si="54"/>
        <v>0</v>
      </c>
    </row>
    <row r="75" spans="3:31">
      <c r="O75" s="61" t="str">
        <f>IF(月途中入退所情報!$D25=$B$2,月途中入退所情報!F25,"-")</f>
        <v>-</v>
      </c>
      <c r="P75" s="61" t="str">
        <f>IF(月途中入退所情報!$D25=$B$2,月途中入退所情報!G25,"-")</f>
        <v>-</v>
      </c>
      <c r="Q75" s="61" t="str">
        <f>IF(月途中入退所情報!$D25=$B$2,月途中入退所情報!H25,"-")</f>
        <v>-</v>
      </c>
      <c r="R75" s="61" t="str">
        <f>IF(月途中入退所情報!$D25=$B$2,月途中入退所情報!I25,"-")</f>
        <v>-</v>
      </c>
      <c r="S75" s="61" t="str">
        <f>IF(月途中入退所情報!$D25=$B$2,月途中入退所情報!J25,"-")</f>
        <v>-</v>
      </c>
      <c r="T75" s="84">
        <f>IF($Q75="標準時間",HLOOKUP($P75,$F$5:$I$27,23,FALSE)-SUM($F$10,$F$21:$F$24,$F$26)-HLOOKUP($P75,$F$5:$I$27,16,FALSE)+HLOOKUP($P75,$F$5:$I$29,25,FALSE),IF($Q75="短時間",HLOOKUP($P75,$J$5:$M$27,23,FALSE)-SUM($F$10,$F$21:$F$24,$F$26)-HLOOKUP($P75,$J$5:$M$27,16,FALSE)+HLOOKUP($P75,$J$5:$M$29,25,FALSE),0))+IF(R75="○",加算と減算!$AH$3,0)</f>
        <v>0</v>
      </c>
      <c r="U75" s="85">
        <f t="shared" si="52"/>
        <v>0</v>
      </c>
      <c r="V75" s="262">
        <f t="shared" si="55"/>
        <v>0</v>
      </c>
      <c r="W75" s="262"/>
      <c r="X75" s="61" t="str">
        <f>IF(月途中入退所情報!$N25=$B$2,月途中入退所情報!$P25,"-")</f>
        <v>-</v>
      </c>
      <c r="Y75" s="61" t="str">
        <f>IF(月途中入退所情報!$N25=$B$2,月途中入退所情報!$Q25,"-")</f>
        <v>-</v>
      </c>
      <c r="Z75" s="61" t="str">
        <f>IF(月途中入退所情報!$N25=$B$2,月途中入退所情報!$R25,"-")</f>
        <v>-</v>
      </c>
      <c r="AA75" s="61" t="str">
        <f>IF(月途中入退所情報!$N25=$B$2,月途中入退所情報!$S25,"-")</f>
        <v>-</v>
      </c>
      <c r="AB75" s="61" t="str">
        <f>IF(月途中入退所情報!$N25=$B$2,月途中入退所情報!$T25,"-")</f>
        <v>-</v>
      </c>
      <c r="AC75" s="84">
        <f>IF($Z75="標準時間",HLOOKUP($Y75,$F$5:$I$27,23,FALSE)-SUM($F$10,$F$21:$F$24,$F$26)-HLOOKUP($Y75,$F$5:$I$27,16,FALSE)+HLOOKUP($Y75,$F$5:$I$29,25,FALSE),IF($Z75="短時間",HLOOKUP($Y75,$J$5:$M$27,23,FALSE)-SUM($F$10,$F$21:$F$24,$F$26)-HLOOKUP($Y75,$J$5:$M$27,16,FALSE)+HLOOKUP($Y75,$J$5:$M$29,25,FALSE),0))+IF(AA75="○",加算と減算!$AH$3,0)</f>
        <v>0</v>
      </c>
      <c r="AD75" s="85">
        <f t="shared" si="53"/>
        <v>0</v>
      </c>
      <c r="AE75" s="262">
        <f t="shared" si="54"/>
        <v>0</v>
      </c>
    </row>
    <row r="76" spans="3:31">
      <c r="O76" s="61" t="str">
        <f>IF(月途中入退所情報!$D26=$B$2,月途中入退所情報!F26,"-")</f>
        <v>-</v>
      </c>
      <c r="P76" s="61" t="str">
        <f>IF(月途中入退所情報!$D26=$B$2,月途中入退所情報!G26,"-")</f>
        <v>-</v>
      </c>
      <c r="Q76" s="61" t="str">
        <f>IF(月途中入退所情報!$D26=$B$2,月途中入退所情報!H26,"-")</f>
        <v>-</v>
      </c>
      <c r="R76" s="61" t="str">
        <f>IF(月途中入退所情報!$D26=$B$2,月途中入退所情報!I26,"-")</f>
        <v>-</v>
      </c>
      <c r="S76" s="61" t="str">
        <f>IF(月途中入退所情報!$D26=$B$2,月途中入退所情報!J26,"-")</f>
        <v>-</v>
      </c>
      <c r="T76" s="84">
        <f>IF($Q76="標準時間",HLOOKUP($P76,$F$5:$I$27,23,FALSE)-SUM($F$10,$F$21:$F$24,$F$26)-HLOOKUP($P76,$F$5:$I$27,16,FALSE)+HLOOKUP($P76,$F$5:$I$29,25,FALSE),IF($Q76="短時間",HLOOKUP($P76,$J$5:$M$27,23,FALSE)-SUM($F$10,$F$21:$F$24,$F$26)-HLOOKUP($P76,$J$5:$M$27,16,FALSE)+HLOOKUP($P76,$J$5:$M$29,25,FALSE),0))+IF(R76="○",加算と減算!$AH$3,0)</f>
        <v>0</v>
      </c>
      <c r="U76" s="85">
        <f t="shared" si="52"/>
        <v>0</v>
      </c>
      <c r="V76" s="262">
        <f t="shared" si="55"/>
        <v>0</v>
      </c>
      <c r="W76" s="262"/>
      <c r="X76" s="61" t="str">
        <f>IF(月途中入退所情報!$N26=$B$2,月途中入退所情報!$P26,"-")</f>
        <v>-</v>
      </c>
      <c r="Y76" s="61" t="str">
        <f>IF(月途中入退所情報!$N26=$B$2,月途中入退所情報!$Q26,"-")</f>
        <v>-</v>
      </c>
      <c r="Z76" s="61" t="str">
        <f>IF(月途中入退所情報!$N26=$B$2,月途中入退所情報!$R26,"-")</f>
        <v>-</v>
      </c>
      <c r="AA76" s="61" t="str">
        <f>IF(月途中入退所情報!$N26=$B$2,月途中入退所情報!$S26,"-")</f>
        <v>-</v>
      </c>
      <c r="AB76" s="61" t="str">
        <f>IF(月途中入退所情報!$N26=$B$2,月途中入退所情報!$T26,"-")</f>
        <v>-</v>
      </c>
      <c r="AC76" s="84">
        <f>IF($Z76="標準時間",HLOOKUP($Y76,$F$5:$I$27,23,FALSE)-SUM($F$10,$F$21:$F$24,$F$26)-HLOOKUP($Y76,$F$5:$I$27,16,FALSE)+HLOOKUP($Y76,$F$5:$I$29,25,FALSE),IF($Z76="短時間",HLOOKUP($Y76,$J$5:$M$27,23,FALSE)-SUM($F$10,$F$21:$F$24,$F$26)-HLOOKUP($Y76,$J$5:$M$27,16,FALSE)+HLOOKUP($Y76,$J$5:$M$29,25,FALSE),0))+IF(AA76="○",加算と減算!$AH$3,0)</f>
        <v>0</v>
      </c>
      <c r="AD76" s="85">
        <f t="shared" si="53"/>
        <v>0</v>
      </c>
      <c r="AE76" s="262">
        <f t="shared" si="54"/>
        <v>0</v>
      </c>
    </row>
    <row r="77" spans="3:31">
      <c r="O77" s="61" t="str">
        <f>IF(月途中入退所情報!$D27=$B$2,月途中入退所情報!F27,"-")</f>
        <v>-</v>
      </c>
      <c r="P77" s="61" t="str">
        <f>IF(月途中入退所情報!$D27=$B$2,月途中入退所情報!G27,"-")</f>
        <v>-</v>
      </c>
      <c r="Q77" s="61" t="str">
        <f>IF(月途中入退所情報!$D27=$B$2,月途中入退所情報!H27,"-")</f>
        <v>-</v>
      </c>
      <c r="R77" s="61" t="str">
        <f>IF(月途中入退所情報!$D27=$B$2,月途中入退所情報!I27,"-")</f>
        <v>-</v>
      </c>
      <c r="S77" s="61" t="str">
        <f>IF(月途中入退所情報!$D27=$B$2,月途中入退所情報!J27,"-")</f>
        <v>-</v>
      </c>
      <c r="T77" s="84">
        <f>IF($Q77="標準時間",HLOOKUP($P77,$F$5:$I$27,23,FALSE)-SUM($F$10,$F$21:$F$24,$F$26)-HLOOKUP($P77,$F$5:$I$27,16,FALSE)+HLOOKUP($P77,$F$5:$I$29,25,FALSE),IF($Q77="短時間",HLOOKUP($P77,$J$5:$M$27,23,FALSE)-SUM($F$10,$F$21:$F$24,$F$26)-HLOOKUP($P77,$J$5:$M$27,16,FALSE)+HLOOKUP($P77,$J$5:$M$29,25,FALSE),0))+IF(R77="○",加算と減算!$AH$3,0)</f>
        <v>0</v>
      </c>
      <c r="U77" s="85">
        <f t="shared" si="52"/>
        <v>0</v>
      </c>
      <c r="V77" s="262">
        <f t="shared" si="55"/>
        <v>0</v>
      </c>
      <c r="W77" s="262"/>
      <c r="X77" s="61" t="str">
        <f>IF(月途中入退所情報!$N27=$B$2,月途中入退所情報!$P27,"-")</f>
        <v>-</v>
      </c>
      <c r="Y77" s="61" t="str">
        <f>IF(月途中入退所情報!$N27=$B$2,月途中入退所情報!$Q27,"-")</f>
        <v>-</v>
      </c>
      <c r="Z77" s="61" t="str">
        <f>IF(月途中入退所情報!$N27=$B$2,月途中入退所情報!$R27,"-")</f>
        <v>-</v>
      </c>
      <c r="AA77" s="61" t="str">
        <f>IF(月途中入退所情報!$N27=$B$2,月途中入退所情報!$S27,"-")</f>
        <v>-</v>
      </c>
      <c r="AB77" s="61" t="str">
        <f>IF(月途中入退所情報!$N27=$B$2,月途中入退所情報!$T27,"-")</f>
        <v>-</v>
      </c>
      <c r="AC77" s="84">
        <f>IF($Z77="標準時間",HLOOKUP($Y77,$F$5:$I$27,23,FALSE)-SUM($F$10,$F$21:$F$24,$F$26)-HLOOKUP($Y77,$F$5:$I$27,16,FALSE)+HLOOKUP($Y77,$F$5:$I$29,25,FALSE),IF($Z77="短時間",HLOOKUP($Y77,$J$5:$M$27,23,FALSE)-SUM($F$10,$F$21:$F$24,$F$26)-HLOOKUP($Y77,$J$5:$M$27,16,FALSE)+HLOOKUP($Y77,$J$5:$M$29,25,FALSE),0))+IF(AA77="○",加算と減算!$AH$3,0)</f>
        <v>0</v>
      </c>
      <c r="AD77" s="85">
        <f t="shared" si="53"/>
        <v>0</v>
      </c>
      <c r="AE77" s="262">
        <f t="shared" si="54"/>
        <v>0</v>
      </c>
    </row>
    <row r="78" spans="3:31">
      <c r="T78" s="86" t="s">
        <v>36</v>
      </c>
      <c r="U78" s="85">
        <f>SUM(U58:U77)</f>
        <v>0</v>
      </c>
      <c r="V78" s="262">
        <f>SUM(V58:V77)</f>
        <v>0</v>
      </c>
      <c r="W78" s="262"/>
      <c r="AC78" s="86" t="s">
        <v>36</v>
      </c>
      <c r="AD78" s="85">
        <f>SUM(AD58:AD77)</f>
        <v>0</v>
      </c>
      <c r="AE78" s="264">
        <f>SUM(AE58:AE77)</f>
        <v>0</v>
      </c>
    </row>
    <row r="79" spans="3:31">
      <c r="O79" s="1430" t="s">
        <v>430</v>
      </c>
      <c r="P79" s="1430"/>
      <c r="X79" s="385" t="s">
        <v>431</v>
      </c>
      <c r="Y79" s="385"/>
    </row>
    <row r="80" spans="3:31">
      <c r="O80" s="83" t="s">
        <v>429</v>
      </c>
      <c r="P80" s="83" t="s">
        <v>206</v>
      </c>
      <c r="Q80" s="83" t="s">
        <v>207</v>
      </c>
      <c r="R80" s="83" t="s">
        <v>448</v>
      </c>
      <c r="S80" s="83" t="s">
        <v>214</v>
      </c>
      <c r="T80" s="83" t="s">
        <v>215</v>
      </c>
      <c r="U80" s="83" t="s">
        <v>216</v>
      </c>
      <c r="V80" s="282" t="s">
        <v>455</v>
      </c>
      <c r="W80" s="261"/>
      <c r="X80" s="83" t="s">
        <v>429</v>
      </c>
      <c r="Y80" s="83" t="s">
        <v>206</v>
      </c>
      <c r="Z80" s="83" t="s">
        <v>207</v>
      </c>
      <c r="AA80" s="83" t="s">
        <v>448</v>
      </c>
      <c r="AB80" s="83" t="s">
        <v>218</v>
      </c>
      <c r="AC80" s="83" t="s">
        <v>215</v>
      </c>
      <c r="AD80" s="280" t="s">
        <v>453</v>
      </c>
      <c r="AE80" s="282" t="s">
        <v>455</v>
      </c>
    </row>
    <row r="81" spans="15:31">
      <c r="O81" s="61" t="str">
        <f>IF(月途中入退所情報!$D31=$B$2,月途中入退所情報!F31,"-")</f>
        <v>-</v>
      </c>
      <c r="P81" s="61" t="str">
        <f>IF(月途中入退所情報!$D31=$B$2,月途中入退所情報!G31,"-")</f>
        <v>-</v>
      </c>
      <c r="Q81" s="61" t="str">
        <f>IF(月途中入退所情報!$D31=$B$2,月途中入退所情報!H31,"-")</f>
        <v>-</v>
      </c>
      <c r="R81" s="61" t="str">
        <f>IF(月途中入退所情報!$D31=$B$2,月途中入退所情報!I31,"-")</f>
        <v>-</v>
      </c>
      <c r="S81" s="61" t="str">
        <f>IF(月途中入退所情報!$D31=$B$2,月途中入退所情報!J31,"-")</f>
        <v>-</v>
      </c>
      <c r="T81" s="84">
        <f>IF($Q81="標準時間",HLOOKUP($P81,$F$31:$I$54,24,FALSE)-SUM($F$10,$F$21:$F$24,$F$26)-HLOOKUP($P81,$F$31:$I$54,17,FALSE)+HLOOKUP($P81,$F$31:$I$56,26,FALSE),IF($Q81="短時間",HLOOKUP($P81,$J$31:$M$54,24,FALSE)-SUM($F$10,$F$21:$F$24,$F$26)-HLOOKUP($P81,$J$31:$M$54,17,FALSE)+HLOOKUP($P81,$J$31:$M$56,26,FALSE),0))+IF(R81="○",加算と減算!$AH$3,0)</f>
        <v>0</v>
      </c>
      <c r="U81" s="85">
        <f t="shared" ref="U81:U100" si="61">IFERROR(ROUNDDOWN(T81*S81/25,-1),0)</f>
        <v>0</v>
      </c>
      <c r="V81" s="262">
        <f>IFERROR(ROUNDDOWN(IF($Q81="標準時間",HLOOKUP($P81,$F$31:$I$55,25,FALSE),IF($Q81="短時間",HLOOKUP($P81,$J$31:$M$55,25,FALSE),0))*S81/25,-1),0)</f>
        <v>0</v>
      </c>
      <c r="W81" s="262"/>
      <c r="X81" s="61" t="str">
        <f>IF(月途中入退所情報!$N31=$B$2,月途中入退所情報!$P31,"-")</f>
        <v>-</v>
      </c>
      <c r="Y81" s="61" t="str">
        <f>IF(月途中入退所情報!$N31=$B$2,月途中入退所情報!$Q31,"-")</f>
        <v>-</v>
      </c>
      <c r="Z81" s="61" t="str">
        <f>IF(月途中入退所情報!$N31=$B$2,月途中入退所情報!$R31,"-")</f>
        <v>-</v>
      </c>
      <c r="AA81" s="61" t="str">
        <f>IF(月途中入退所情報!$N31=$B$2,月途中入退所情報!$S31,"-")</f>
        <v>-</v>
      </c>
      <c r="AB81" s="61" t="str">
        <f>IF(月途中入退所情報!$N31=$B$2,月途中入退所情報!$T31,"-")</f>
        <v>-</v>
      </c>
      <c r="AC81" s="84">
        <f>IF($Z81="標準時間",HLOOKUP($Y81,$F$31:$I$54,24,FALSE)-SUM($F$10,$F$21:$F$24,$F$26)-HLOOKUP($Y81,$F$31:$I$54,17,FALSE)+HLOOKUP($Y81,$F$31:$I$56,26,FALSE),IF($Z81="短時間",HLOOKUP($Y81,$J$31:$M$54,24,FALSE)-SUM($F$10,$F$21:$F$24,$F$26)-HLOOKUP($Y81,$J$31:$M$54,17,FALSE)+HLOOKUP($Y81,$J$31:$M$56,26,FALSE),0))+IF(AA81="○",加算と減算!$AH$3,0)</f>
        <v>0</v>
      </c>
      <c r="AD81" s="85">
        <f t="shared" ref="AD81:AD100" si="62">IFERROR(-ROUNDUP(AC81*AB81/25,-1),0)</f>
        <v>0</v>
      </c>
      <c r="AE81" s="262">
        <f t="shared" ref="AE81:AE100" si="63">IFERROR(-ROUNDUP(IF($Z81="標準時間",HLOOKUP($Y81,$F$31:$I$55,25,FALSE),IF($Z81="短時間",HLOOKUP($Y81,$J$31:$M$55,25,FALSE),0))*AB81/25,-1),0)</f>
        <v>0</v>
      </c>
    </row>
    <row r="82" spans="15:31">
      <c r="O82" s="61" t="str">
        <f>IF(月途中入退所情報!$D32=$B$2,月途中入退所情報!F32,"-")</f>
        <v>-</v>
      </c>
      <c r="P82" s="61" t="str">
        <f>IF(月途中入退所情報!$D32=$B$2,月途中入退所情報!G32,"-")</f>
        <v>-</v>
      </c>
      <c r="Q82" s="61" t="str">
        <f>IF(月途中入退所情報!$D32=$B$2,月途中入退所情報!H32,"-")</f>
        <v>-</v>
      </c>
      <c r="R82" s="61" t="str">
        <f>IF(月途中入退所情報!$D32=$B$2,月途中入退所情報!I32,"-")</f>
        <v>-</v>
      </c>
      <c r="S82" s="61" t="str">
        <f>IF(月途中入退所情報!$D32=$B$2,月途中入退所情報!J32,"-")</f>
        <v>-</v>
      </c>
      <c r="T82" s="84">
        <f>IF($Q82="標準時間",HLOOKUP($P82,$F$31:$I$54,24,FALSE)-SUM($F$10,$F$21:$F$24,$F$26)-HLOOKUP($P82,$F$31:$I$54,17,FALSE)+HLOOKUP($P82,$F$31:$I$56,26,FALSE),IF($Q82="短時間",HLOOKUP($P82,$J$31:$M$54,24,FALSE)-SUM($F$10,$F$21:$F$24,$F$26)-HLOOKUP($P82,$J$31:$M$54,17,FALSE)+HLOOKUP($P82,$J$31:$M$56,26,FALSE),0))+IF(R82="○",加算と減算!$AH$3,0)</f>
        <v>0</v>
      </c>
      <c r="U82" s="85">
        <f t="shared" si="61"/>
        <v>0</v>
      </c>
      <c r="V82" s="262">
        <f t="shared" ref="V82:V100" si="64">IFERROR(ROUNDDOWN(IF($Q82="標準時間",HLOOKUP($P82,$F$31:$I$55,25,FALSE),IF($Q82="短時間",HLOOKUP($P82,$J$31:$M$55,25,FALSE),0))*S82/25,-1),0)</f>
        <v>0</v>
      </c>
      <c r="W82" s="262"/>
      <c r="X82" s="61" t="str">
        <f>IF(月途中入退所情報!$N32=$B$2,月途中入退所情報!$P32,"-")</f>
        <v>-</v>
      </c>
      <c r="Y82" s="61" t="str">
        <f>IF(月途中入退所情報!$N32=$B$2,月途中入退所情報!$Q32,"-")</f>
        <v>-</v>
      </c>
      <c r="Z82" s="61" t="str">
        <f>IF(月途中入退所情報!$N32=$B$2,月途中入退所情報!$R32,"-")</f>
        <v>-</v>
      </c>
      <c r="AA82" s="61" t="str">
        <f>IF(月途中入退所情報!$N32=$B$2,月途中入退所情報!$S32,"-")</f>
        <v>-</v>
      </c>
      <c r="AB82" s="61" t="str">
        <f>IF(月途中入退所情報!$N32=$B$2,月途中入退所情報!$T32,"-")</f>
        <v>-</v>
      </c>
      <c r="AC82" s="84">
        <f>IF($Z82="標準時間",HLOOKUP($Y82,$F$31:$I$54,24,FALSE)-SUM($F$10,$F$21:$F$24,$F$26)-HLOOKUP($Y82,$F$31:$I$54,17,FALSE)+HLOOKUP($Y82,$F$31:$I$56,26,FALSE),IF($Z82="短時間",HLOOKUP($Y82,$J$31:$M$54,24,FALSE)-SUM($F$10,$F$21:$F$24,$F$26)-HLOOKUP($Y82,$J$31:$M$54,17,FALSE)+HLOOKUP($Y82,$J$31:$M$56,26,FALSE),0))+IF(AA82="○",加算と減算!$AH$3,0)</f>
        <v>0</v>
      </c>
      <c r="AD82" s="85">
        <f t="shared" si="62"/>
        <v>0</v>
      </c>
      <c r="AE82" s="262">
        <f t="shared" si="63"/>
        <v>0</v>
      </c>
    </row>
    <row r="83" spans="15:31">
      <c r="O83" s="61" t="str">
        <f>IF(月途中入退所情報!$D33=$B$2,月途中入退所情報!F33,"-")</f>
        <v>-</v>
      </c>
      <c r="P83" s="61" t="str">
        <f>IF(月途中入退所情報!$D33=$B$2,月途中入退所情報!G33,"-")</f>
        <v>-</v>
      </c>
      <c r="Q83" s="61" t="str">
        <f>IF(月途中入退所情報!$D33=$B$2,月途中入退所情報!H33,"-")</f>
        <v>-</v>
      </c>
      <c r="R83" s="61" t="str">
        <f>IF(月途中入退所情報!$D33=$B$2,月途中入退所情報!I33,"-")</f>
        <v>-</v>
      </c>
      <c r="S83" s="61" t="str">
        <f>IF(月途中入退所情報!$D33=$B$2,月途中入退所情報!J33,"-")</f>
        <v>-</v>
      </c>
      <c r="T83" s="84">
        <f>IF($Q83="標準時間",HLOOKUP($P83,$F$31:$I$54,24,FALSE)-SUM($F$10,$F$21:$F$24,$F$26)-HLOOKUP($P83,$F$31:$I$54,17,FALSE)+HLOOKUP($P83,$F$31:$I$56,26,FALSE),IF($Q83="短時間",HLOOKUP($P83,$J$31:$M$54,24,FALSE)-SUM($F$10,$F$21:$F$24,$F$26)-HLOOKUP($P83,$J$31:$M$54,17,FALSE)+HLOOKUP($P83,$J$31:$M$56,26,FALSE),0))+IF(R83="○",加算と減算!$AH$3,0)</f>
        <v>0</v>
      </c>
      <c r="U83" s="85">
        <f t="shared" si="61"/>
        <v>0</v>
      </c>
      <c r="V83" s="262">
        <f t="shared" si="64"/>
        <v>0</v>
      </c>
      <c r="W83" s="262"/>
      <c r="X83" s="61" t="str">
        <f>IF(月途中入退所情報!$N33=$B$2,月途中入退所情報!$P33,"-")</f>
        <v>-</v>
      </c>
      <c r="Y83" s="61" t="str">
        <f>IF(月途中入退所情報!$N33=$B$2,月途中入退所情報!$Q33,"-")</f>
        <v>-</v>
      </c>
      <c r="Z83" s="61" t="str">
        <f>IF(月途中入退所情報!$N33=$B$2,月途中入退所情報!$R33,"-")</f>
        <v>-</v>
      </c>
      <c r="AA83" s="61" t="str">
        <f>IF(月途中入退所情報!$N33=$B$2,月途中入退所情報!$S33,"-")</f>
        <v>-</v>
      </c>
      <c r="AB83" s="61" t="str">
        <f>IF(月途中入退所情報!$N33=$B$2,月途中入退所情報!$T33,"-")</f>
        <v>-</v>
      </c>
      <c r="AC83" s="84">
        <f>IF($Z83="標準時間",HLOOKUP($Y83,$F$31:$I$54,24,FALSE)-SUM($F$10,$F$21:$F$24,$F$26)-HLOOKUP($Y83,$F$31:$I$54,17,FALSE)+HLOOKUP($Y83,$F$31:$I$56,26,FALSE),IF($Z83="短時間",HLOOKUP($Y83,$J$31:$M$54,24,FALSE)-SUM($F$10,$F$21:$F$24,$F$26)-HLOOKUP($Y83,$J$31:$M$54,17,FALSE)+HLOOKUP($Y83,$J$31:$M$56,26,FALSE),0))+IF(AA83="○",加算と減算!$AH$3,0)</f>
        <v>0</v>
      </c>
      <c r="AD83" s="85">
        <f t="shared" si="62"/>
        <v>0</v>
      </c>
      <c r="AE83" s="262">
        <f t="shared" si="63"/>
        <v>0</v>
      </c>
    </row>
    <row r="84" spans="15:31">
      <c r="O84" s="61" t="str">
        <f>IF(月途中入退所情報!$D34=$B$2,月途中入退所情報!F34,"-")</f>
        <v>-</v>
      </c>
      <c r="P84" s="61" t="str">
        <f>IF(月途中入退所情報!$D34=$B$2,月途中入退所情報!G34,"-")</f>
        <v>-</v>
      </c>
      <c r="Q84" s="61" t="str">
        <f>IF(月途中入退所情報!$D34=$B$2,月途中入退所情報!H34,"-")</f>
        <v>-</v>
      </c>
      <c r="R84" s="61" t="str">
        <f>IF(月途中入退所情報!$D34=$B$2,月途中入退所情報!I34,"-")</f>
        <v>-</v>
      </c>
      <c r="S84" s="61" t="str">
        <f>IF(月途中入退所情報!$D34=$B$2,月途中入退所情報!J34,"-")</f>
        <v>-</v>
      </c>
      <c r="T84" s="84">
        <f>IF($Q84="標準時間",HLOOKUP($P84,$F$31:$I$54,24,FALSE)-SUM($F$10,$F$21:$F$24,$F$26)-HLOOKUP($P84,$F$31:$I$54,17,FALSE)+HLOOKUP($P84,$F$31:$I$56,26,FALSE),IF($Q84="短時間",HLOOKUP($P84,$J$31:$M$54,24,FALSE)-SUM($F$10,$F$21:$F$24,$F$26)-HLOOKUP($P84,$J$31:$M$54,17,FALSE)+HLOOKUP($P84,$J$31:$M$56,26,FALSE),0))+IF(R84="○",加算と減算!$AH$3,0)</f>
        <v>0</v>
      </c>
      <c r="U84" s="85">
        <f t="shared" si="61"/>
        <v>0</v>
      </c>
      <c r="V84" s="262">
        <f t="shared" si="64"/>
        <v>0</v>
      </c>
      <c r="W84" s="262"/>
      <c r="X84" s="61" t="str">
        <f>IF(月途中入退所情報!$N34=$B$2,月途中入退所情報!$P34,"-")</f>
        <v>-</v>
      </c>
      <c r="Y84" s="61" t="str">
        <f>IF(月途中入退所情報!$N34=$B$2,月途中入退所情報!$Q34,"-")</f>
        <v>-</v>
      </c>
      <c r="Z84" s="61" t="str">
        <f>IF(月途中入退所情報!$N34=$B$2,月途中入退所情報!$R34,"-")</f>
        <v>-</v>
      </c>
      <c r="AA84" s="61" t="str">
        <f>IF(月途中入退所情報!$N34=$B$2,月途中入退所情報!$S34,"-")</f>
        <v>-</v>
      </c>
      <c r="AB84" s="61" t="str">
        <f>IF(月途中入退所情報!$N34=$B$2,月途中入退所情報!$T34,"-")</f>
        <v>-</v>
      </c>
      <c r="AC84" s="84">
        <f>IF($Z84="標準時間",HLOOKUP($Y84,$F$31:$I$54,24,FALSE)-SUM($F$10,$F$21:$F$24,$F$26)-HLOOKUP($Y84,$F$31:$I$54,17,FALSE)+HLOOKUP($Y84,$F$31:$I$56,26,FALSE),IF($Z84="短時間",HLOOKUP($Y84,$J$31:$M$54,24,FALSE)-SUM($F$10,$F$21:$F$24,$F$26)-HLOOKUP($Y84,$J$31:$M$54,17,FALSE)+HLOOKUP($Y84,$J$31:$M$56,26,FALSE),0))+IF(AA84="○",加算と減算!$AH$3,0)</f>
        <v>0</v>
      </c>
      <c r="AD84" s="85">
        <f t="shared" si="62"/>
        <v>0</v>
      </c>
      <c r="AE84" s="262">
        <f t="shared" si="63"/>
        <v>0</v>
      </c>
    </row>
    <row r="85" spans="15:31">
      <c r="O85" s="61" t="str">
        <f>IF(月途中入退所情報!$D35=$B$2,月途中入退所情報!F35,"-")</f>
        <v>-</v>
      </c>
      <c r="P85" s="61" t="str">
        <f>IF(月途中入退所情報!$D35=$B$2,月途中入退所情報!G35,"-")</f>
        <v>-</v>
      </c>
      <c r="Q85" s="61" t="str">
        <f>IF(月途中入退所情報!$D35=$B$2,月途中入退所情報!H35,"-")</f>
        <v>-</v>
      </c>
      <c r="R85" s="61" t="str">
        <f>IF(月途中入退所情報!$D35=$B$2,月途中入退所情報!I35,"-")</f>
        <v>-</v>
      </c>
      <c r="S85" s="61" t="str">
        <f>IF(月途中入退所情報!$D35=$B$2,月途中入退所情報!J35,"-")</f>
        <v>-</v>
      </c>
      <c r="T85" s="84">
        <f>IF($Q85="標準時間",HLOOKUP($P85,$F$31:$I$54,24,FALSE)-SUM($F$10,$F$21:$F$24,$F$26)-HLOOKUP($P85,$F$31:$I$54,17,FALSE)+HLOOKUP($P85,$F$31:$I$56,26,FALSE),IF($Q85="短時間",HLOOKUP($P85,$J$31:$M$54,24,FALSE)-SUM($F$10,$F$21:$F$24,$F$26)-HLOOKUP($P85,$J$31:$M$54,17,FALSE)+HLOOKUP($P85,$J$31:$M$56,26,FALSE),0))+IF(R85="○",加算と減算!$AH$3,0)</f>
        <v>0</v>
      </c>
      <c r="U85" s="85">
        <f t="shared" si="61"/>
        <v>0</v>
      </c>
      <c r="V85" s="262">
        <f t="shared" si="64"/>
        <v>0</v>
      </c>
      <c r="W85" s="262"/>
      <c r="X85" s="61" t="str">
        <f>IF(月途中入退所情報!$N35=$B$2,月途中入退所情報!$P35,"-")</f>
        <v>-</v>
      </c>
      <c r="Y85" s="61" t="str">
        <f>IF(月途中入退所情報!$N35=$B$2,月途中入退所情報!$Q35,"-")</f>
        <v>-</v>
      </c>
      <c r="Z85" s="61" t="str">
        <f>IF(月途中入退所情報!$N35=$B$2,月途中入退所情報!$R35,"-")</f>
        <v>-</v>
      </c>
      <c r="AA85" s="61" t="str">
        <f>IF(月途中入退所情報!$N35=$B$2,月途中入退所情報!$S35,"-")</f>
        <v>-</v>
      </c>
      <c r="AB85" s="61" t="str">
        <f>IF(月途中入退所情報!$N35=$B$2,月途中入退所情報!$T35,"-")</f>
        <v>-</v>
      </c>
      <c r="AC85" s="84">
        <f>IF($Z85="標準時間",HLOOKUP($Y85,$F$31:$I$54,24,FALSE)-SUM($F$10,$F$21:$F$24,$F$26)-HLOOKUP($Y85,$F$31:$I$54,17,FALSE)+HLOOKUP($Y85,$F$31:$I$56,26,FALSE),IF($Z85="短時間",HLOOKUP($Y85,$J$31:$M$54,24,FALSE)-SUM($F$10,$F$21:$F$24,$F$26)-HLOOKUP($Y85,$J$31:$M$54,17,FALSE)+HLOOKUP($Y85,$J$31:$M$56,26,FALSE),0))+IF(AA85="○",加算と減算!$AH$3,0)</f>
        <v>0</v>
      </c>
      <c r="AD85" s="85">
        <f t="shared" si="62"/>
        <v>0</v>
      </c>
      <c r="AE85" s="262">
        <f t="shared" si="63"/>
        <v>0</v>
      </c>
    </row>
    <row r="86" spans="15:31">
      <c r="O86" s="61" t="str">
        <f>IF(月途中入退所情報!$D36=$B$2,月途中入退所情報!F36,"-")</f>
        <v>-</v>
      </c>
      <c r="P86" s="61" t="str">
        <f>IF(月途中入退所情報!$D36=$B$2,月途中入退所情報!G36,"-")</f>
        <v>-</v>
      </c>
      <c r="Q86" s="61" t="str">
        <f>IF(月途中入退所情報!$D36=$B$2,月途中入退所情報!H36,"-")</f>
        <v>-</v>
      </c>
      <c r="R86" s="61" t="str">
        <f>IF(月途中入退所情報!$D36=$B$2,月途中入退所情報!I36,"-")</f>
        <v>-</v>
      </c>
      <c r="S86" s="61" t="str">
        <f>IF(月途中入退所情報!$D36=$B$2,月途中入退所情報!J36,"-")</f>
        <v>-</v>
      </c>
      <c r="T86" s="84">
        <f>IF($Q86="標準時間",HLOOKUP($P86,$F$31:$I$54,24,FALSE)-SUM($F$10,$F$21:$F$24,$F$26)-HLOOKUP($P86,$F$31:$I$54,17,FALSE)+HLOOKUP($P86,$F$31:$I$56,26,FALSE),IF($Q86="短時間",HLOOKUP($P86,$J$31:$M$54,24,FALSE)-SUM($F$10,$F$21:$F$24,$F$26)-HLOOKUP($P86,$J$31:$M$54,17,FALSE)+HLOOKUP($P86,$J$31:$M$56,26,FALSE),0))+IF(R86="○",加算と減算!$AH$3,0)</f>
        <v>0</v>
      </c>
      <c r="U86" s="85">
        <f t="shared" si="61"/>
        <v>0</v>
      </c>
      <c r="V86" s="262">
        <f t="shared" si="64"/>
        <v>0</v>
      </c>
      <c r="W86" s="262"/>
      <c r="X86" s="61" t="str">
        <f>IF(月途中入退所情報!$N36=$B$2,月途中入退所情報!$P36,"-")</f>
        <v>-</v>
      </c>
      <c r="Y86" s="61" t="str">
        <f>IF(月途中入退所情報!$N36=$B$2,月途中入退所情報!$Q36,"-")</f>
        <v>-</v>
      </c>
      <c r="Z86" s="61" t="str">
        <f>IF(月途中入退所情報!$N36=$B$2,月途中入退所情報!$R36,"-")</f>
        <v>-</v>
      </c>
      <c r="AA86" s="61" t="str">
        <f>IF(月途中入退所情報!$N36=$B$2,月途中入退所情報!$S36,"-")</f>
        <v>-</v>
      </c>
      <c r="AB86" s="61" t="str">
        <f>IF(月途中入退所情報!$N36=$B$2,月途中入退所情報!$T36,"-")</f>
        <v>-</v>
      </c>
      <c r="AC86" s="84">
        <f>IF($Z86="標準時間",HLOOKUP($Y86,$F$31:$I$54,24,FALSE)-SUM($F$10,$F$21:$F$24,$F$26)-HLOOKUP($Y86,$F$31:$I$54,17,FALSE)+HLOOKUP($Y86,$F$31:$I$56,26,FALSE),IF($Z86="短時間",HLOOKUP($Y86,$J$31:$M$54,24,FALSE)-SUM($F$10,$F$21:$F$24,$F$26)-HLOOKUP($Y86,$J$31:$M$54,17,FALSE)+HLOOKUP($Y86,$J$31:$M$56,26,FALSE),0))+IF(AA86="○",加算と減算!$AH$3,0)</f>
        <v>0</v>
      </c>
      <c r="AD86" s="85">
        <f t="shared" si="62"/>
        <v>0</v>
      </c>
      <c r="AE86" s="262">
        <f t="shared" si="63"/>
        <v>0</v>
      </c>
    </row>
    <row r="87" spans="15:31">
      <c r="O87" s="61" t="str">
        <f>IF(月途中入退所情報!$D37=$B$2,月途中入退所情報!F37,"-")</f>
        <v>-</v>
      </c>
      <c r="P87" s="61" t="str">
        <f>IF(月途中入退所情報!$D37=$B$2,月途中入退所情報!G37,"-")</f>
        <v>-</v>
      </c>
      <c r="Q87" s="61" t="str">
        <f>IF(月途中入退所情報!$D37=$B$2,月途中入退所情報!H37,"-")</f>
        <v>-</v>
      </c>
      <c r="R87" s="61" t="str">
        <f>IF(月途中入退所情報!$D37=$B$2,月途中入退所情報!I37,"-")</f>
        <v>-</v>
      </c>
      <c r="S87" s="61" t="str">
        <f>IF(月途中入退所情報!$D37=$B$2,月途中入退所情報!J37,"-")</f>
        <v>-</v>
      </c>
      <c r="T87" s="84">
        <f>IF($Q87="標準時間",HLOOKUP($P87,$F$31:$I$54,24,FALSE)-SUM($F$10,$F$21:$F$24,$F$26)-HLOOKUP($P87,$F$31:$I$54,17,FALSE)+HLOOKUP($P87,$F$31:$I$56,26,FALSE),IF($Q87="短時間",HLOOKUP($P87,$J$31:$M$54,24,FALSE)-SUM($F$10,$F$21:$F$24,$F$26)-HLOOKUP($P87,$J$31:$M$54,17,FALSE)+HLOOKUP($P87,$J$31:$M$56,26,FALSE),0))+IF(R87="○",加算と減算!$AH$3,0)</f>
        <v>0</v>
      </c>
      <c r="U87" s="85">
        <f t="shared" si="61"/>
        <v>0</v>
      </c>
      <c r="V87" s="262">
        <f t="shared" si="64"/>
        <v>0</v>
      </c>
      <c r="W87" s="262"/>
      <c r="X87" s="61" t="str">
        <f>IF(月途中入退所情報!$N37=$B$2,月途中入退所情報!$P37,"-")</f>
        <v>-</v>
      </c>
      <c r="Y87" s="61" t="str">
        <f>IF(月途中入退所情報!$N37=$B$2,月途中入退所情報!$Q37,"-")</f>
        <v>-</v>
      </c>
      <c r="Z87" s="61" t="str">
        <f>IF(月途中入退所情報!$N37=$B$2,月途中入退所情報!$R37,"-")</f>
        <v>-</v>
      </c>
      <c r="AA87" s="61" t="str">
        <f>IF(月途中入退所情報!$N37=$B$2,月途中入退所情報!$S37,"-")</f>
        <v>-</v>
      </c>
      <c r="AB87" s="61" t="str">
        <f>IF(月途中入退所情報!$N37=$B$2,月途中入退所情報!$T37,"-")</f>
        <v>-</v>
      </c>
      <c r="AC87" s="84">
        <f>IF($Z87="標準時間",HLOOKUP($Y87,$F$31:$I$54,24,FALSE)-SUM($F$10,$F$21:$F$24,$F$26)-HLOOKUP($Y87,$F$31:$I$54,17,FALSE)+HLOOKUP($Y87,$F$31:$I$56,26,FALSE),IF($Z87="短時間",HLOOKUP($Y87,$J$31:$M$54,24,FALSE)-SUM($F$10,$F$21:$F$24,$F$26)-HLOOKUP($Y87,$J$31:$M$54,17,FALSE)+HLOOKUP($Y87,$J$31:$M$56,26,FALSE),0))+IF(AA87="○",加算と減算!$AH$3,0)</f>
        <v>0</v>
      </c>
      <c r="AD87" s="85">
        <f t="shared" si="62"/>
        <v>0</v>
      </c>
      <c r="AE87" s="262">
        <f t="shared" si="63"/>
        <v>0</v>
      </c>
    </row>
    <row r="88" spans="15:31">
      <c r="O88" s="61" t="str">
        <f>IF(月途中入退所情報!$D38=$B$2,月途中入退所情報!F38,"-")</f>
        <v>-</v>
      </c>
      <c r="P88" s="61" t="str">
        <f>IF(月途中入退所情報!$D38=$B$2,月途中入退所情報!G38,"-")</f>
        <v>-</v>
      </c>
      <c r="Q88" s="61" t="str">
        <f>IF(月途中入退所情報!$D38=$B$2,月途中入退所情報!H38,"-")</f>
        <v>-</v>
      </c>
      <c r="R88" s="61" t="str">
        <f>IF(月途中入退所情報!$D38=$B$2,月途中入退所情報!I38,"-")</f>
        <v>-</v>
      </c>
      <c r="S88" s="61" t="str">
        <f>IF(月途中入退所情報!$D38=$B$2,月途中入退所情報!J38,"-")</f>
        <v>-</v>
      </c>
      <c r="T88" s="84">
        <f>IF($Q88="標準時間",HLOOKUP($P88,$F$31:$I$54,24,FALSE)-SUM($F$10,$F$21:$F$24,$F$26)-HLOOKUP($P88,$F$31:$I$54,17,FALSE)+HLOOKUP($P88,$F$31:$I$56,26,FALSE),IF($Q88="短時間",HLOOKUP($P88,$J$31:$M$54,24,FALSE)-SUM($F$10,$F$21:$F$24,$F$26)-HLOOKUP($P88,$J$31:$M$54,17,FALSE)+HLOOKUP($P88,$J$31:$M$56,26,FALSE),0))+IF(R88="○",加算と減算!$AH$3,0)</f>
        <v>0</v>
      </c>
      <c r="U88" s="85">
        <f t="shared" si="61"/>
        <v>0</v>
      </c>
      <c r="V88" s="262">
        <f t="shared" si="64"/>
        <v>0</v>
      </c>
      <c r="W88" s="262"/>
      <c r="X88" s="61" t="str">
        <f>IF(月途中入退所情報!$N38=$B$2,月途中入退所情報!$P38,"-")</f>
        <v>-</v>
      </c>
      <c r="Y88" s="61" t="str">
        <f>IF(月途中入退所情報!$N38=$B$2,月途中入退所情報!$Q38,"-")</f>
        <v>-</v>
      </c>
      <c r="Z88" s="61" t="str">
        <f>IF(月途中入退所情報!$N38=$B$2,月途中入退所情報!$R38,"-")</f>
        <v>-</v>
      </c>
      <c r="AA88" s="61" t="str">
        <f>IF(月途中入退所情報!$N38=$B$2,月途中入退所情報!$S38,"-")</f>
        <v>-</v>
      </c>
      <c r="AB88" s="61" t="str">
        <f>IF(月途中入退所情報!$N38=$B$2,月途中入退所情報!$T38,"-")</f>
        <v>-</v>
      </c>
      <c r="AC88" s="84">
        <f>IF($Z88="標準時間",HLOOKUP($Y88,$F$31:$I$54,24,FALSE)-SUM($F$10,$F$21:$F$24,$F$26)-HLOOKUP($Y88,$F$31:$I$54,17,FALSE)+HLOOKUP($Y88,$F$31:$I$56,26,FALSE),IF($Z88="短時間",HLOOKUP($Y88,$J$31:$M$54,24,FALSE)-SUM($F$10,$F$21:$F$24,$F$26)-HLOOKUP($Y88,$J$31:$M$54,17,FALSE)+HLOOKUP($Y88,$J$31:$M$56,26,FALSE),0))+IF(AA88="○",加算と減算!$AH$3,0)</f>
        <v>0</v>
      </c>
      <c r="AD88" s="85">
        <f t="shared" si="62"/>
        <v>0</v>
      </c>
      <c r="AE88" s="262">
        <f t="shared" si="63"/>
        <v>0</v>
      </c>
    </row>
    <row r="89" spans="15:31">
      <c r="O89" s="61" t="str">
        <f>IF(月途中入退所情報!$D39=$B$2,月途中入退所情報!F39,"-")</f>
        <v>-</v>
      </c>
      <c r="P89" s="61" t="str">
        <f>IF(月途中入退所情報!$D39=$B$2,月途中入退所情報!G39,"-")</f>
        <v>-</v>
      </c>
      <c r="Q89" s="61" t="str">
        <f>IF(月途中入退所情報!$D39=$B$2,月途中入退所情報!H39,"-")</f>
        <v>-</v>
      </c>
      <c r="R89" s="61" t="str">
        <f>IF(月途中入退所情報!$D39=$B$2,月途中入退所情報!I39,"-")</f>
        <v>-</v>
      </c>
      <c r="S89" s="61" t="str">
        <f>IF(月途中入退所情報!$D39=$B$2,月途中入退所情報!J39,"-")</f>
        <v>-</v>
      </c>
      <c r="T89" s="84">
        <f>IF($Q89="標準時間",HLOOKUP($P89,$F$31:$I$54,24,FALSE)-SUM($F$10,$F$21:$F$24,$F$26)-HLOOKUP($P89,$F$31:$I$54,17,FALSE)+HLOOKUP($P89,$F$31:$I$56,26,FALSE),IF($Q89="短時間",HLOOKUP($P89,$J$31:$M$54,24,FALSE)-SUM($F$10,$F$21:$F$24,$F$26)-HLOOKUP($P89,$J$31:$M$54,17,FALSE)+HLOOKUP($P89,$J$31:$M$56,26,FALSE),0))+IF(R89="○",加算と減算!$AH$3,0)</f>
        <v>0</v>
      </c>
      <c r="U89" s="85">
        <f t="shared" si="61"/>
        <v>0</v>
      </c>
      <c r="V89" s="262">
        <f t="shared" si="64"/>
        <v>0</v>
      </c>
      <c r="W89" s="262"/>
      <c r="X89" s="61" t="str">
        <f>IF(月途中入退所情報!$N39=$B$2,月途中入退所情報!$P39,"-")</f>
        <v>-</v>
      </c>
      <c r="Y89" s="61" t="str">
        <f>IF(月途中入退所情報!$N39=$B$2,月途中入退所情報!$Q39,"-")</f>
        <v>-</v>
      </c>
      <c r="Z89" s="61" t="str">
        <f>IF(月途中入退所情報!$N39=$B$2,月途中入退所情報!$R39,"-")</f>
        <v>-</v>
      </c>
      <c r="AA89" s="61" t="str">
        <f>IF(月途中入退所情報!$N39=$B$2,月途中入退所情報!$S39,"-")</f>
        <v>-</v>
      </c>
      <c r="AB89" s="61" t="str">
        <f>IF(月途中入退所情報!$N39=$B$2,月途中入退所情報!$T39,"-")</f>
        <v>-</v>
      </c>
      <c r="AC89" s="84">
        <f>IF($Z89="標準時間",HLOOKUP($Y89,$F$31:$I$54,24,FALSE)-SUM($F$10,$F$21:$F$24,$F$26)-HLOOKUP($Y89,$F$31:$I$54,17,FALSE)+HLOOKUP($Y89,$F$31:$I$56,26,FALSE),IF($Z89="短時間",HLOOKUP($Y89,$J$31:$M$54,24,FALSE)-SUM($F$10,$F$21:$F$24,$F$26)-HLOOKUP($Y89,$J$31:$M$54,17,FALSE)+HLOOKUP($Y89,$J$31:$M$56,26,FALSE),0))+IF(AA89="○",加算と減算!$AH$3,0)</f>
        <v>0</v>
      </c>
      <c r="AD89" s="85">
        <f t="shared" si="62"/>
        <v>0</v>
      </c>
      <c r="AE89" s="262">
        <f t="shared" si="63"/>
        <v>0</v>
      </c>
    </row>
    <row r="90" spans="15:31">
      <c r="O90" s="61" t="str">
        <f>IF(月途中入退所情報!$D40=$B$2,月途中入退所情報!F40,"-")</f>
        <v>-</v>
      </c>
      <c r="P90" s="61" t="str">
        <f>IF(月途中入退所情報!$D40=$B$2,月途中入退所情報!G40,"-")</f>
        <v>-</v>
      </c>
      <c r="Q90" s="61" t="str">
        <f>IF(月途中入退所情報!$D40=$B$2,月途中入退所情報!H40,"-")</f>
        <v>-</v>
      </c>
      <c r="R90" s="61" t="str">
        <f>IF(月途中入退所情報!$D40=$B$2,月途中入退所情報!I40,"-")</f>
        <v>-</v>
      </c>
      <c r="S90" s="61" t="str">
        <f>IF(月途中入退所情報!$D40=$B$2,月途中入退所情報!J40,"-")</f>
        <v>-</v>
      </c>
      <c r="T90" s="84">
        <f>IF($Q90="標準時間",HLOOKUP($P90,$F$31:$I$54,24,FALSE)-SUM($F$10,$F$21:$F$24,$F$26)-HLOOKUP($P90,$F$31:$I$54,17,FALSE)+HLOOKUP($P90,$F$31:$I$56,26,FALSE),IF($Q90="短時間",HLOOKUP($P90,$J$31:$M$54,24,FALSE)-SUM($F$10,$F$21:$F$24,$F$26)-HLOOKUP($P90,$J$31:$M$54,17,FALSE)+HLOOKUP($P90,$J$31:$M$56,26,FALSE),0))+IF(R90="○",加算と減算!$AH$3,0)</f>
        <v>0</v>
      </c>
      <c r="U90" s="85">
        <f t="shared" si="61"/>
        <v>0</v>
      </c>
      <c r="V90" s="262">
        <f t="shared" si="64"/>
        <v>0</v>
      </c>
      <c r="W90" s="262"/>
      <c r="X90" s="61" t="str">
        <f>IF(月途中入退所情報!$N40=$B$2,月途中入退所情報!$P40,"-")</f>
        <v>-</v>
      </c>
      <c r="Y90" s="61" t="str">
        <f>IF(月途中入退所情報!$N40=$B$2,月途中入退所情報!$Q40,"-")</f>
        <v>-</v>
      </c>
      <c r="Z90" s="61" t="str">
        <f>IF(月途中入退所情報!$N40=$B$2,月途中入退所情報!$R40,"-")</f>
        <v>-</v>
      </c>
      <c r="AA90" s="61" t="str">
        <f>IF(月途中入退所情報!$N40=$B$2,月途中入退所情報!$S40,"-")</f>
        <v>-</v>
      </c>
      <c r="AB90" s="61" t="str">
        <f>IF(月途中入退所情報!$N40=$B$2,月途中入退所情報!$T40,"-")</f>
        <v>-</v>
      </c>
      <c r="AC90" s="84">
        <f>IF($Z90="標準時間",HLOOKUP($Y90,$F$31:$I$54,24,FALSE)-SUM($F$10,$F$21:$F$24,$F$26)-HLOOKUP($Y90,$F$31:$I$54,17,FALSE)+HLOOKUP($Y90,$F$31:$I$56,26,FALSE),IF($Z90="短時間",HLOOKUP($Y90,$J$31:$M$54,24,FALSE)-SUM($F$10,$F$21:$F$24,$F$26)-HLOOKUP($Y90,$J$31:$M$54,17,FALSE)+HLOOKUP($Y90,$J$31:$M$56,26,FALSE),0))+IF(AA90="○",加算と減算!$AH$3,0)</f>
        <v>0</v>
      </c>
      <c r="AD90" s="85">
        <f t="shared" si="62"/>
        <v>0</v>
      </c>
      <c r="AE90" s="262">
        <f t="shared" si="63"/>
        <v>0</v>
      </c>
    </row>
    <row r="91" spans="15:31">
      <c r="O91" s="61" t="str">
        <f>IF(月途中入退所情報!$D41=$B$2,月途中入退所情報!F41,"-")</f>
        <v>-</v>
      </c>
      <c r="P91" s="61" t="str">
        <f>IF(月途中入退所情報!$D41=$B$2,月途中入退所情報!G41,"-")</f>
        <v>-</v>
      </c>
      <c r="Q91" s="61" t="str">
        <f>IF(月途中入退所情報!$D41=$B$2,月途中入退所情報!H41,"-")</f>
        <v>-</v>
      </c>
      <c r="R91" s="61" t="str">
        <f>IF(月途中入退所情報!$D41=$B$2,月途中入退所情報!I41,"-")</f>
        <v>-</v>
      </c>
      <c r="S91" s="61" t="str">
        <f>IF(月途中入退所情報!$D41=$B$2,月途中入退所情報!J41,"-")</f>
        <v>-</v>
      </c>
      <c r="T91" s="84">
        <f>IF($Q91="標準時間",HLOOKUP($P91,$F$31:$I$54,24,FALSE)-SUM($F$10,$F$21:$F$24,$F$26)-HLOOKUP($P91,$F$31:$I$54,17,FALSE)+HLOOKUP($P91,$F$31:$I$56,26,FALSE),IF($Q91="短時間",HLOOKUP($P91,$J$31:$M$54,24,FALSE)-SUM($F$10,$F$21:$F$24,$F$26)-HLOOKUP($P91,$J$31:$M$54,17,FALSE)+HLOOKUP($P91,$J$31:$M$56,26,FALSE),0))+IF(R91="○",加算と減算!$AH$3,0)</f>
        <v>0</v>
      </c>
      <c r="U91" s="85">
        <f t="shared" si="61"/>
        <v>0</v>
      </c>
      <c r="V91" s="262">
        <f t="shared" si="64"/>
        <v>0</v>
      </c>
      <c r="W91" s="262"/>
      <c r="X91" s="61" t="str">
        <f>IF(月途中入退所情報!$N41=$B$2,月途中入退所情報!$P41,"-")</f>
        <v>-</v>
      </c>
      <c r="Y91" s="61" t="str">
        <f>IF(月途中入退所情報!$N41=$B$2,月途中入退所情報!$Q41,"-")</f>
        <v>-</v>
      </c>
      <c r="Z91" s="61" t="str">
        <f>IF(月途中入退所情報!$N41=$B$2,月途中入退所情報!$R41,"-")</f>
        <v>-</v>
      </c>
      <c r="AA91" s="61" t="str">
        <f>IF(月途中入退所情報!$N41=$B$2,月途中入退所情報!$S41,"-")</f>
        <v>-</v>
      </c>
      <c r="AB91" s="61" t="str">
        <f>IF(月途中入退所情報!$N41=$B$2,月途中入退所情報!$T41,"-")</f>
        <v>-</v>
      </c>
      <c r="AC91" s="84">
        <f>IF($Z91="標準時間",HLOOKUP($Y91,$F$31:$I$54,24,FALSE)-SUM($F$10,$F$21:$F$24,$F$26)-HLOOKUP($Y91,$F$31:$I$54,17,FALSE)+HLOOKUP($Y91,$F$31:$I$56,26,FALSE),IF($Z91="短時間",HLOOKUP($Y91,$J$31:$M$54,24,FALSE)-SUM($F$10,$F$21:$F$24,$F$26)-HLOOKUP($Y91,$J$31:$M$54,17,FALSE)+HLOOKUP($Y91,$J$31:$M$56,26,FALSE),0))+IF(AA91="○",加算と減算!$AH$3,0)</f>
        <v>0</v>
      </c>
      <c r="AD91" s="85">
        <f t="shared" si="62"/>
        <v>0</v>
      </c>
      <c r="AE91" s="262">
        <f t="shared" si="63"/>
        <v>0</v>
      </c>
    </row>
    <row r="92" spans="15:31">
      <c r="O92" s="61" t="str">
        <f>IF(月途中入退所情報!$D42=$B$2,月途中入退所情報!F42,"-")</f>
        <v>-</v>
      </c>
      <c r="P92" s="61" t="str">
        <f>IF(月途中入退所情報!$D42=$B$2,月途中入退所情報!G42,"-")</f>
        <v>-</v>
      </c>
      <c r="Q92" s="61" t="str">
        <f>IF(月途中入退所情報!$D42=$B$2,月途中入退所情報!H42,"-")</f>
        <v>-</v>
      </c>
      <c r="R92" s="61" t="str">
        <f>IF(月途中入退所情報!$D42=$B$2,月途中入退所情報!I42,"-")</f>
        <v>-</v>
      </c>
      <c r="S92" s="61" t="str">
        <f>IF(月途中入退所情報!$D42=$B$2,月途中入退所情報!J42,"-")</f>
        <v>-</v>
      </c>
      <c r="T92" s="84">
        <f>IF($Q92="標準時間",HLOOKUP($P92,$F$31:$I$54,24,FALSE)-SUM($F$10,$F$21:$F$24,$F$26)-HLOOKUP($P92,$F$31:$I$54,17,FALSE)+HLOOKUP($P92,$F$31:$I$56,26,FALSE),IF($Q92="短時間",HLOOKUP($P92,$J$31:$M$54,24,FALSE)-SUM($F$10,$F$21:$F$24,$F$26)-HLOOKUP($P92,$J$31:$M$54,17,FALSE)+HLOOKUP($P92,$J$31:$M$56,26,FALSE),0))+IF(R92="○",加算と減算!$AH$3,0)</f>
        <v>0</v>
      </c>
      <c r="U92" s="85">
        <f t="shared" si="61"/>
        <v>0</v>
      </c>
      <c r="V92" s="262">
        <f t="shared" si="64"/>
        <v>0</v>
      </c>
      <c r="W92" s="262"/>
      <c r="X92" s="61" t="str">
        <f>IF(月途中入退所情報!$N42=$B$2,月途中入退所情報!$P42,"-")</f>
        <v>-</v>
      </c>
      <c r="Y92" s="61" t="str">
        <f>IF(月途中入退所情報!$N42=$B$2,月途中入退所情報!$Q42,"-")</f>
        <v>-</v>
      </c>
      <c r="Z92" s="61" t="str">
        <f>IF(月途中入退所情報!$N42=$B$2,月途中入退所情報!$R42,"-")</f>
        <v>-</v>
      </c>
      <c r="AA92" s="61" t="str">
        <f>IF(月途中入退所情報!$N42=$B$2,月途中入退所情報!$S42,"-")</f>
        <v>-</v>
      </c>
      <c r="AB92" s="61" t="str">
        <f>IF(月途中入退所情報!$N42=$B$2,月途中入退所情報!$T42,"-")</f>
        <v>-</v>
      </c>
      <c r="AC92" s="84">
        <f>IF($Z92="標準時間",HLOOKUP($Y92,$F$31:$I$54,24,FALSE)-SUM($F$10,$F$21:$F$24,$F$26)-HLOOKUP($Y92,$F$31:$I$54,17,FALSE)+HLOOKUP($Y92,$F$31:$I$56,26,FALSE),IF($Z92="短時間",HLOOKUP($Y92,$J$31:$M$54,24,FALSE)-SUM($F$10,$F$21:$F$24,$F$26)-HLOOKUP($Y92,$J$31:$M$54,17,FALSE)+HLOOKUP($Y92,$J$31:$M$56,26,FALSE),0))+IF(AA92="○",加算と減算!$AH$3,0)</f>
        <v>0</v>
      </c>
      <c r="AD92" s="85">
        <f t="shared" si="62"/>
        <v>0</v>
      </c>
      <c r="AE92" s="262">
        <f t="shared" si="63"/>
        <v>0</v>
      </c>
    </row>
    <row r="93" spans="15:31">
      <c r="O93" s="61" t="str">
        <f>IF(月途中入退所情報!$D43=$B$2,月途中入退所情報!F43,"-")</f>
        <v>-</v>
      </c>
      <c r="P93" s="61" t="str">
        <f>IF(月途中入退所情報!$D43=$B$2,月途中入退所情報!G43,"-")</f>
        <v>-</v>
      </c>
      <c r="Q93" s="61" t="str">
        <f>IF(月途中入退所情報!$D43=$B$2,月途中入退所情報!H43,"-")</f>
        <v>-</v>
      </c>
      <c r="R93" s="61" t="str">
        <f>IF(月途中入退所情報!$D43=$B$2,月途中入退所情報!I43,"-")</f>
        <v>-</v>
      </c>
      <c r="S93" s="61" t="str">
        <f>IF(月途中入退所情報!$D43=$B$2,月途中入退所情報!J43,"-")</f>
        <v>-</v>
      </c>
      <c r="T93" s="84">
        <f>IF($Q93="標準時間",HLOOKUP($P93,$F$31:$I$54,24,FALSE)-SUM($F$10,$F$21:$F$24,$F$26)-HLOOKUP($P93,$F$31:$I$54,17,FALSE)+HLOOKUP($P93,$F$31:$I$56,26,FALSE),IF($Q93="短時間",HLOOKUP($P93,$J$31:$M$54,24,FALSE)-SUM($F$10,$F$21:$F$24,$F$26)-HLOOKUP($P93,$J$31:$M$54,17,FALSE)+HLOOKUP($P93,$J$31:$M$56,26,FALSE),0))+IF(R93="○",加算と減算!$AH$3,0)</f>
        <v>0</v>
      </c>
      <c r="U93" s="85">
        <f t="shared" si="61"/>
        <v>0</v>
      </c>
      <c r="V93" s="262">
        <f t="shared" si="64"/>
        <v>0</v>
      </c>
      <c r="W93" s="262"/>
      <c r="X93" s="61" t="str">
        <f>IF(月途中入退所情報!$N43=$B$2,月途中入退所情報!$P43,"-")</f>
        <v>-</v>
      </c>
      <c r="Y93" s="61" t="str">
        <f>IF(月途中入退所情報!$N43=$B$2,月途中入退所情報!$Q43,"-")</f>
        <v>-</v>
      </c>
      <c r="Z93" s="61" t="str">
        <f>IF(月途中入退所情報!$N43=$B$2,月途中入退所情報!$R43,"-")</f>
        <v>-</v>
      </c>
      <c r="AA93" s="61" t="str">
        <f>IF(月途中入退所情報!$N43=$B$2,月途中入退所情報!$S43,"-")</f>
        <v>-</v>
      </c>
      <c r="AB93" s="61" t="str">
        <f>IF(月途中入退所情報!$N43=$B$2,月途中入退所情報!$T43,"-")</f>
        <v>-</v>
      </c>
      <c r="AC93" s="84">
        <f>IF($Z93="標準時間",HLOOKUP($Y93,$F$31:$I$54,24,FALSE)-SUM($F$10,$F$21:$F$24,$F$26)-HLOOKUP($Y93,$F$31:$I$54,17,FALSE)+HLOOKUP($Y93,$F$31:$I$56,26,FALSE),IF($Z93="短時間",HLOOKUP($Y93,$J$31:$M$54,24,FALSE)-SUM($F$10,$F$21:$F$24,$F$26)-HLOOKUP($Y93,$J$31:$M$54,17,FALSE)+HLOOKUP($Y93,$J$31:$M$56,26,FALSE),0))+IF(AA93="○",加算と減算!$AH$3,0)</f>
        <v>0</v>
      </c>
      <c r="AD93" s="85">
        <f t="shared" si="62"/>
        <v>0</v>
      </c>
      <c r="AE93" s="262">
        <f t="shared" si="63"/>
        <v>0</v>
      </c>
    </row>
    <row r="94" spans="15:31">
      <c r="O94" s="61" t="str">
        <f>IF(月途中入退所情報!$D44=$B$2,月途中入退所情報!F44,"-")</f>
        <v>-</v>
      </c>
      <c r="P94" s="61" t="str">
        <f>IF(月途中入退所情報!$D44=$B$2,月途中入退所情報!G44,"-")</f>
        <v>-</v>
      </c>
      <c r="Q94" s="61" t="str">
        <f>IF(月途中入退所情報!$D44=$B$2,月途中入退所情報!H44,"-")</f>
        <v>-</v>
      </c>
      <c r="R94" s="61" t="str">
        <f>IF(月途中入退所情報!$D44=$B$2,月途中入退所情報!I44,"-")</f>
        <v>-</v>
      </c>
      <c r="S94" s="61" t="str">
        <f>IF(月途中入退所情報!$D44=$B$2,月途中入退所情報!J44,"-")</f>
        <v>-</v>
      </c>
      <c r="T94" s="84">
        <f>IF($Q94="標準時間",HLOOKUP($P94,$F$31:$I$54,24,FALSE)-SUM($F$10,$F$21:$F$24,$F$26)-HLOOKUP($P94,$F$31:$I$54,17,FALSE)+HLOOKUP($P94,$F$31:$I$56,26,FALSE),IF($Q94="短時間",HLOOKUP($P94,$J$31:$M$54,24,FALSE)-SUM($F$10,$F$21:$F$24,$F$26)-HLOOKUP($P94,$J$31:$M$54,17,FALSE)+HLOOKUP($P94,$J$31:$M$56,26,FALSE),0))+IF(R94="○",加算と減算!$AH$3,0)</f>
        <v>0</v>
      </c>
      <c r="U94" s="85">
        <f t="shared" si="61"/>
        <v>0</v>
      </c>
      <c r="V94" s="262">
        <f t="shared" si="64"/>
        <v>0</v>
      </c>
      <c r="W94" s="262"/>
      <c r="X94" s="61" t="str">
        <f>IF(月途中入退所情報!$N44=$B$2,月途中入退所情報!$P44,"-")</f>
        <v>-</v>
      </c>
      <c r="Y94" s="61" t="str">
        <f>IF(月途中入退所情報!$N44=$B$2,月途中入退所情報!$Q44,"-")</f>
        <v>-</v>
      </c>
      <c r="Z94" s="61" t="str">
        <f>IF(月途中入退所情報!$N44=$B$2,月途中入退所情報!$R44,"-")</f>
        <v>-</v>
      </c>
      <c r="AA94" s="61" t="str">
        <f>IF(月途中入退所情報!$N44=$B$2,月途中入退所情報!$S44,"-")</f>
        <v>-</v>
      </c>
      <c r="AB94" s="61" t="str">
        <f>IF(月途中入退所情報!$N44=$B$2,月途中入退所情報!$T44,"-")</f>
        <v>-</v>
      </c>
      <c r="AC94" s="84">
        <f>IF($Z94="標準時間",HLOOKUP($Y94,$F$31:$I$54,24,FALSE)-SUM($F$10,$F$21:$F$24,$F$26)-HLOOKUP($Y94,$F$31:$I$54,17,FALSE)+HLOOKUP($Y94,$F$31:$I$56,26,FALSE),IF($Z94="短時間",HLOOKUP($Y94,$J$31:$M$54,24,FALSE)-SUM($F$10,$F$21:$F$24,$F$26)-HLOOKUP($Y94,$J$31:$M$54,17,FALSE)+HLOOKUP($Y94,$J$31:$M$56,26,FALSE),0))+IF(AA94="○",加算と減算!$AH$3,0)</f>
        <v>0</v>
      </c>
      <c r="AD94" s="85">
        <f t="shared" si="62"/>
        <v>0</v>
      </c>
      <c r="AE94" s="262">
        <f t="shared" si="63"/>
        <v>0</v>
      </c>
    </row>
    <row r="95" spans="15:31">
      <c r="O95" s="61" t="str">
        <f>IF(月途中入退所情報!$D45=$B$2,月途中入退所情報!F45,"-")</f>
        <v>-</v>
      </c>
      <c r="P95" s="61" t="str">
        <f>IF(月途中入退所情報!$D45=$B$2,月途中入退所情報!G45,"-")</f>
        <v>-</v>
      </c>
      <c r="Q95" s="61" t="str">
        <f>IF(月途中入退所情報!$D45=$B$2,月途中入退所情報!H45,"-")</f>
        <v>-</v>
      </c>
      <c r="R95" s="61" t="str">
        <f>IF(月途中入退所情報!$D45=$B$2,月途中入退所情報!I45,"-")</f>
        <v>-</v>
      </c>
      <c r="S95" s="61" t="str">
        <f>IF(月途中入退所情報!$D45=$B$2,月途中入退所情報!J45,"-")</f>
        <v>-</v>
      </c>
      <c r="T95" s="84">
        <f>IF($Q95="標準時間",HLOOKUP($P95,$F$31:$I$54,24,FALSE)-SUM($F$10,$F$21:$F$24,$F$26)-HLOOKUP($P95,$F$31:$I$54,17,FALSE)+HLOOKUP($P95,$F$31:$I$56,26,FALSE),IF($Q95="短時間",HLOOKUP($P95,$J$31:$M$54,24,FALSE)-SUM($F$10,$F$21:$F$24,$F$26)-HLOOKUP($P95,$J$31:$M$54,17,FALSE)+HLOOKUP($P95,$J$31:$M$56,26,FALSE),0))+IF(R95="○",加算と減算!$AH$3,0)</f>
        <v>0</v>
      </c>
      <c r="U95" s="85">
        <f t="shared" si="61"/>
        <v>0</v>
      </c>
      <c r="V95" s="262">
        <f t="shared" si="64"/>
        <v>0</v>
      </c>
      <c r="W95" s="262"/>
      <c r="X95" s="61" t="str">
        <f>IF(月途中入退所情報!$N45=$B$2,月途中入退所情報!$P45,"-")</f>
        <v>-</v>
      </c>
      <c r="Y95" s="61" t="str">
        <f>IF(月途中入退所情報!$N45=$B$2,月途中入退所情報!$Q45,"-")</f>
        <v>-</v>
      </c>
      <c r="Z95" s="61" t="str">
        <f>IF(月途中入退所情報!$N45=$B$2,月途中入退所情報!$R45,"-")</f>
        <v>-</v>
      </c>
      <c r="AA95" s="61" t="str">
        <f>IF(月途中入退所情報!$N45=$B$2,月途中入退所情報!$S45,"-")</f>
        <v>-</v>
      </c>
      <c r="AB95" s="61" t="str">
        <f>IF(月途中入退所情報!$N45=$B$2,月途中入退所情報!$T45,"-")</f>
        <v>-</v>
      </c>
      <c r="AC95" s="84">
        <f>IF($Z95="標準時間",HLOOKUP($Y95,$F$31:$I$54,24,FALSE)-SUM($F$10,$F$21:$F$24,$F$26)-HLOOKUP($Y95,$F$31:$I$54,17,FALSE)+HLOOKUP($Y95,$F$31:$I$56,26,FALSE),IF($Z95="短時間",HLOOKUP($Y95,$J$31:$M$54,24,FALSE)-SUM($F$10,$F$21:$F$24,$F$26)-HLOOKUP($Y95,$J$31:$M$54,17,FALSE)+HLOOKUP($Y95,$J$31:$M$56,26,FALSE),0))+IF(AA95="○",加算と減算!$AH$3,0)</f>
        <v>0</v>
      </c>
      <c r="AD95" s="85">
        <f t="shared" si="62"/>
        <v>0</v>
      </c>
      <c r="AE95" s="262">
        <f t="shared" si="63"/>
        <v>0</v>
      </c>
    </row>
    <row r="96" spans="15:31">
      <c r="O96" s="61" t="str">
        <f>IF(月途中入退所情報!$D46=$B$2,月途中入退所情報!F46,"-")</f>
        <v>-</v>
      </c>
      <c r="P96" s="61" t="str">
        <f>IF(月途中入退所情報!$D46=$B$2,月途中入退所情報!G46,"-")</f>
        <v>-</v>
      </c>
      <c r="Q96" s="61" t="str">
        <f>IF(月途中入退所情報!$D46=$B$2,月途中入退所情報!H46,"-")</f>
        <v>-</v>
      </c>
      <c r="R96" s="61" t="str">
        <f>IF(月途中入退所情報!$D46=$B$2,月途中入退所情報!I46,"-")</f>
        <v>-</v>
      </c>
      <c r="S96" s="61" t="str">
        <f>IF(月途中入退所情報!$D46=$B$2,月途中入退所情報!J46,"-")</f>
        <v>-</v>
      </c>
      <c r="T96" s="84">
        <f>IF($Q96="標準時間",HLOOKUP($P96,$F$31:$I$54,24,FALSE)-SUM($F$10,$F$21:$F$24,$F$26)-HLOOKUP($P96,$F$31:$I$54,17,FALSE)+HLOOKUP($P96,$F$31:$I$56,26,FALSE),IF($Q96="短時間",HLOOKUP($P96,$J$31:$M$54,24,FALSE)-SUM($F$10,$F$21:$F$24,$F$26)-HLOOKUP($P96,$J$31:$M$54,17,FALSE)+HLOOKUP($P96,$J$31:$M$56,26,FALSE),0))+IF(R96="○",加算と減算!$AH$3,0)</f>
        <v>0</v>
      </c>
      <c r="U96" s="85">
        <f t="shared" si="61"/>
        <v>0</v>
      </c>
      <c r="V96" s="262">
        <f t="shared" si="64"/>
        <v>0</v>
      </c>
      <c r="W96" s="262"/>
      <c r="X96" s="61" t="str">
        <f>IF(月途中入退所情報!$N46=$B$2,月途中入退所情報!$P46,"-")</f>
        <v>-</v>
      </c>
      <c r="Y96" s="61" t="str">
        <f>IF(月途中入退所情報!$N46=$B$2,月途中入退所情報!$Q46,"-")</f>
        <v>-</v>
      </c>
      <c r="Z96" s="61" t="str">
        <f>IF(月途中入退所情報!$N46=$B$2,月途中入退所情報!$R46,"-")</f>
        <v>-</v>
      </c>
      <c r="AA96" s="61" t="str">
        <f>IF(月途中入退所情報!$N46=$B$2,月途中入退所情報!$S46,"-")</f>
        <v>-</v>
      </c>
      <c r="AB96" s="61" t="str">
        <f>IF(月途中入退所情報!$N46=$B$2,月途中入退所情報!$T46,"-")</f>
        <v>-</v>
      </c>
      <c r="AC96" s="84">
        <f>IF($Z96="標準時間",HLOOKUP($Y96,$F$31:$I$54,24,FALSE)-SUM($F$10,$F$21:$F$24,$F$26)-HLOOKUP($Y96,$F$31:$I$54,17,FALSE)+HLOOKUP($Y96,$F$31:$I$56,26,FALSE),IF($Z96="短時間",HLOOKUP($Y96,$J$31:$M$54,24,FALSE)-SUM($F$10,$F$21:$F$24,$F$26)-HLOOKUP($Y96,$J$31:$M$54,17,FALSE)+HLOOKUP($Y96,$J$31:$M$56,26,FALSE),0))+IF(AA96="○",加算と減算!$AH$3,0)</f>
        <v>0</v>
      </c>
      <c r="AD96" s="85">
        <f t="shared" si="62"/>
        <v>0</v>
      </c>
      <c r="AE96" s="262">
        <f t="shared" si="63"/>
        <v>0</v>
      </c>
    </row>
    <row r="97" spans="15:31">
      <c r="O97" s="61" t="str">
        <f>IF(月途中入退所情報!$D47=$B$2,月途中入退所情報!F47,"-")</f>
        <v>-</v>
      </c>
      <c r="P97" s="61" t="str">
        <f>IF(月途中入退所情報!$D47=$B$2,月途中入退所情報!G47,"-")</f>
        <v>-</v>
      </c>
      <c r="Q97" s="61" t="str">
        <f>IF(月途中入退所情報!$D47=$B$2,月途中入退所情報!H47,"-")</f>
        <v>-</v>
      </c>
      <c r="R97" s="61" t="str">
        <f>IF(月途中入退所情報!$D47=$B$2,月途中入退所情報!I47,"-")</f>
        <v>-</v>
      </c>
      <c r="S97" s="61" t="str">
        <f>IF(月途中入退所情報!$D47=$B$2,月途中入退所情報!J47,"-")</f>
        <v>-</v>
      </c>
      <c r="T97" s="84">
        <f>IF($Q97="標準時間",HLOOKUP($P97,$F$31:$I$54,24,FALSE)-SUM($F$10,$F$21:$F$24,$F$26)-HLOOKUP($P97,$F$31:$I$54,17,FALSE)+HLOOKUP($P97,$F$31:$I$56,26,FALSE),IF($Q97="短時間",HLOOKUP($P97,$J$31:$M$54,24,FALSE)-SUM($F$10,$F$21:$F$24,$F$26)-HLOOKUP($P97,$J$31:$M$54,17,FALSE)+HLOOKUP($P97,$J$31:$M$56,26,FALSE),0))+IF(R97="○",加算と減算!$AH$3,0)</f>
        <v>0</v>
      </c>
      <c r="U97" s="85">
        <f t="shared" si="61"/>
        <v>0</v>
      </c>
      <c r="V97" s="262">
        <f t="shared" si="64"/>
        <v>0</v>
      </c>
      <c r="W97" s="262"/>
      <c r="X97" s="61" t="str">
        <f>IF(月途中入退所情報!$N47=$B$2,月途中入退所情報!$P47,"-")</f>
        <v>-</v>
      </c>
      <c r="Y97" s="61" t="str">
        <f>IF(月途中入退所情報!$N47=$B$2,月途中入退所情報!$Q47,"-")</f>
        <v>-</v>
      </c>
      <c r="Z97" s="61" t="str">
        <f>IF(月途中入退所情報!$N47=$B$2,月途中入退所情報!$R47,"-")</f>
        <v>-</v>
      </c>
      <c r="AA97" s="61" t="str">
        <f>IF(月途中入退所情報!$N47=$B$2,月途中入退所情報!$S47,"-")</f>
        <v>-</v>
      </c>
      <c r="AB97" s="61" t="str">
        <f>IF(月途中入退所情報!$N47=$B$2,月途中入退所情報!$T47,"-")</f>
        <v>-</v>
      </c>
      <c r="AC97" s="84">
        <f>IF($Z97="標準時間",HLOOKUP($Y97,$F$31:$I$54,24,FALSE)-SUM($F$10,$F$21:$F$24,$F$26)-HLOOKUP($Y97,$F$31:$I$54,17,FALSE)+HLOOKUP($Y97,$F$31:$I$56,26,FALSE),IF($Z97="短時間",HLOOKUP($Y97,$J$31:$M$54,24,FALSE)-SUM($F$10,$F$21:$F$24,$F$26)-HLOOKUP($Y97,$J$31:$M$54,17,FALSE)+HLOOKUP($Y97,$J$31:$M$56,26,FALSE),0))+IF(AA97="○",加算と減算!$AH$3,0)</f>
        <v>0</v>
      </c>
      <c r="AD97" s="85">
        <f t="shared" si="62"/>
        <v>0</v>
      </c>
      <c r="AE97" s="262">
        <f t="shared" si="63"/>
        <v>0</v>
      </c>
    </row>
    <row r="98" spans="15:31">
      <c r="O98" s="61" t="str">
        <f>IF(月途中入退所情報!$D48=$B$2,月途中入退所情報!F48,"-")</f>
        <v>-</v>
      </c>
      <c r="P98" s="61" t="str">
        <f>IF(月途中入退所情報!$D48=$B$2,月途中入退所情報!G48,"-")</f>
        <v>-</v>
      </c>
      <c r="Q98" s="61" t="str">
        <f>IF(月途中入退所情報!$D48=$B$2,月途中入退所情報!H48,"-")</f>
        <v>-</v>
      </c>
      <c r="R98" s="61" t="str">
        <f>IF(月途中入退所情報!$D48=$B$2,月途中入退所情報!I48,"-")</f>
        <v>-</v>
      </c>
      <c r="S98" s="61" t="str">
        <f>IF(月途中入退所情報!$D48=$B$2,月途中入退所情報!J48,"-")</f>
        <v>-</v>
      </c>
      <c r="T98" s="84">
        <f>IF($Q98="標準時間",HLOOKUP($P98,$F$31:$I$54,24,FALSE)-SUM($F$10,$F$21:$F$24,$F$26)-HLOOKUP($P98,$F$31:$I$54,17,FALSE)+HLOOKUP($P98,$F$31:$I$56,26,FALSE),IF($Q98="短時間",HLOOKUP($P98,$J$31:$M$54,24,FALSE)-SUM($F$10,$F$21:$F$24,$F$26)-HLOOKUP($P98,$J$31:$M$54,17,FALSE)+HLOOKUP($P98,$J$31:$M$56,26,FALSE),0))+IF(R98="○",加算と減算!$AH$3,0)</f>
        <v>0</v>
      </c>
      <c r="U98" s="85">
        <f t="shared" si="61"/>
        <v>0</v>
      </c>
      <c r="V98" s="262">
        <f t="shared" si="64"/>
        <v>0</v>
      </c>
      <c r="W98" s="262"/>
      <c r="X98" s="61" t="str">
        <f>IF(月途中入退所情報!$N48=$B$2,月途中入退所情報!$P48,"-")</f>
        <v>-</v>
      </c>
      <c r="Y98" s="61" t="str">
        <f>IF(月途中入退所情報!$N48=$B$2,月途中入退所情報!$Q48,"-")</f>
        <v>-</v>
      </c>
      <c r="Z98" s="61" t="str">
        <f>IF(月途中入退所情報!$N48=$B$2,月途中入退所情報!$R48,"-")</f>
        <v>-</v>
      </c>
      <c r="AA98" s="61" t="str">
        <f>IF(月途中入退所情報!$N48=$B$2,月途中入退所情報!$S48,"-")</f>
        <v>-</v>
      </c>
      <c r="AB98" s="61" t="str">
        <f>IF(月途中入退所情報!$N48=$B$2,月途中入退所情報!$T48,"-")</f>
        <v>-</v>
      </c>
      <c r="AC98" s="84">
        <f>IF($Z98="標準時間",HLOOKUP($Y98,$F$31:$I$54,24,FALSE)-SUM($F$10,$F$21:$F$24,$F$26)-HLOOKUP($Y98,$F$31:$I$54,17,FALSE)+HLOOKUP($Y98,$F$31:$I$56,26,FALSE),IF($Z98="短時間",HLOOKUP($Y98,$J$31:$M$54,24,FALSE)-SUM($F$10,$F$21:$F$24,$F$26)-HLOOKUP($Y98,$J$31:$M$54,17,FALSE)+HLOOKUP($Y98,$J$31:$M$56,26,FALSE),0))+IF(AA98="○",加算と減算!$AH$3,0)</f>
        <v>0</v>
      </c>
      <c r="AD98" s="85">
        <f t="shared" si="62"/>
        <v>0</v>
      </c>
      <c r="AE98" s="262">
        <f t="shared" si="63"/>
        <v>0</v>
      </c>
    </row>
    <row r="99" spans="15:31">
      <c r="O99" s="61" t="str">
        <f>IF(月途中入退所情報!$D49=$B$2,月途中入退所情報!F49,"-")</f>
        <v>-</v>
      </c>
      <c r="P99" s="61" t="str">
        <f>IF(月途中入退所情報!$D49=$B$2,月途中入退所情報!G49,"-")</f>
        <v>-</v>
      </c>
      <c r="Q99" s="61" t="str">
        <f>IF(月途中入退所情報!$D49=$B$2,月途中入退所情報!H49,"-")</f>
        <v>-</v>
      </c>
      <c r="R99" s="61" t="str">
        <f>IF(月途中入退所情報!$D49=$B$2,月途中入退所情報!I49,"-")</f>
        <v>-</v>
      </c>
      <c r="S99" s="61" t="str">
        <f>IF(月途中入退所情報!$D49=$B$2,月途中入退所情報!J49,"-")</f>
        <v>-</v>
      </c>
      <c r="T99" s="84">
        <f>IF($Q99="標準時間",HLOOKUP($P99,$F$31:$I$54,24,FALSE)-SUM($F$10,$F$21:$F$24,$F$26)-HLOOKUP($P99,$F$31:$I$54,17,FALSE)+HLOOKUP($P99,$F$31:$I$56,26,FALSE),IF($Q99="短時間",HLOOKUP($P99,$J$31:$M$54,24,FALSE)-SUM($F$10,$F$21:$F$24,$F$26)-HLOOKUP($P99,$J$31:$M$54,17,FALSE)+HLOOKUP($P99,$J$31:$M$56,26,FALSE),0))+IF(R99="○",加算と減算!$AH$3,0)</f>
        <v>0</v>
      </c>
      <c r="U99" s="85">
        <f t="shared" si="61"/>
        <v>0</v>
      </c>
      <c r="V99" s="262">
        <f t="shared" si="64"/>
        <v>0</v>
      </c>
      <c r="W99" s="262"/>
      <c r="X99" s="61" t="str">
        <f>IF(月途中入退所情報!$N49=$B$2,月途中入退所情報!$P49,"-")</f>
        <v>-</v>
      </c>
      <c r="Y99" s="61" t="str">
        <f>IF(月途中入退所情報!$N49=$B$2,月途中入退所情報!$Q49,"-")</f>
        <v>-</v>
      </c>
      <c r="Z99" s="61" t="str">
        <f>IF(月途中入退所情報!$N49=$B$2,月途中入退所情報!$R49,"-")</f>
        <v>-</v>
      </c>
      <c r="AA99" s="61" t="str">
        <f>IF(月途中入退所情報!$N49=$B$2,月途中入退所情報!$S49,"-")</f>
        <v>-</v>
      </c>
      <c r="AB99" s="61" t="str">
        <f>IF(月途中入退所情報!$N49=$B$2,月途中入退所情報!$T49,"-")</f>
        <v>-</v>
      </c>
      <c r="AC99" s="84">
        <f>IF($Z99="標準時間",HLOOKUP($Y99,$F$31:$I$54,24,FALSE)-SUM($F$10,$F$21:$F$24,$F$26)-HLOOKUP($Y99,$F$31:$I$54,17,FALSE)+HLOOKUP($Y99,$F$31:$I$56,26,FALSE),IF($Z99="短時間",HLOOKUP($Y99,$J$31:$M$54,24,FALSE)-SUM($F$10,$F$21:$F$24,$F$26)-HLOOKUP($Y99,$J$31:$M$54,17,FALSE)+HLOOKUP($Y99,$J$31:$M$56,26,FALSE),0))+IF(AA99="○",加算と減算!$AH$3,0)</f>
        <v>0</v>
      </c>
      <c r="AD99" s="85">
        <f t="shared" si="62"/>
        <v>0</v>
      </c>
      <c r="AE99" s="262">
        <f t="shared" si="63"/>
        <v>0</v>
      </c>
    </row>
    <row r="100" spans="15:31">
      <c r="O100" s="61" t="str">
        <f>IF(月途中入退所情報!$D50=$B$2,月途中入退所情報!F50,"-")</f>
        <v>-</v>
      </c>
      <c r="P100" s="61" t="str">
        <f>IF(月途中入退所情報!$D50=$B$2,月途中入退所情報!G50,"-")</f>
        <v>-</v>
      </c>
      <c r="Q100" s="61" t="str">
        <f>IF(月途中入退所情報!$D50=$B$2,月途中入退所情報!H50,"-")</f>
        <v>-</v>
      </c>
      <c r="R100" s="61" t="str">
        <f>IF(月途中入退所情報!$D50=$B$2,月途中入退所情報!I50,"-")</f>
        <v>-</v>
      </c>
      <c r="S100" s="61" t="str">
        <f>IF(月途中入退所情報!$D50=$B$2,月途中入退所情報!J50,"-")</f>
        <v>-</v>
      </c>
      <c r="T100" s="84">
        <f>IF($Q100="標準時間",HLOOKUP($P100,$F$31:$I$54,24,FALSE)-SUM($F$10,$F$21:$F$24,$F$26)-HLOOKUP($P100,$F$31:$I$54,17,FALSE)+HLOOKUP($P100,$F$31:$I$56,26,FALSE),IF($Q100="短時間",HLOOKUP($P100,$J$31:$M$54,24,FALSE)-SUM($F$10,$F$21:$F$24,$F$26)-HLOOKUP($P100,$J$31:$M$54,17,FALSE)+HLOOKUP($P100,$J$31:$M$56,26,FALSE),0))+IF(R100="○",加算と減算!$AH$3,0)</f>
        <v>0</v>
      </c>
      <c r="U100" s="85">
        <f t="shared" si="61"/>
        <v>0</v>
      </c>
      <c r="V100" s="262">
        <f t="shared" si="64"/>
        <v>0</v>
      </c>
      <c r="W100" s="262"/>
      <c r="X100" s="61" t="str">
        <f>IF(月途中入退所情報!$N50=$B$2,月途中入退所情報!$P50,"-")</f>
        <v>-</v>
      </c>
      <c r="Y100" s="61" t="str">
        <f>IF(月途中入退所情報!$N50=$B$2,月途中入退所情報!$Q50,"-")</f>
        <v>-</v>
      </c>
      <c r="Z100" s="61" t="str">
        <f>IF(月途中入退所情報!$N50=$B$2,月途中入退所情報!$R50,"-")</f>
        <v>-</v>
      </c>
      <c r="AA100" s="61" t="str">
        <f>IF(月途中入退所情報!$N50=$B$2,月途中入退所情報!$S50,"-")</f>
        <v>-</v>
      </c>
      <c r="AB100" s="61" t="str">
        <f>IF(月途中入退所情報!$N50=$B$2,月途中入退所情報!$T50,"-")</f>
        <v>-</v>
      </c>
      <c r="AC100" s="84">
        <f>IF($Z100="標準時間",HLOOKUP($Y100,$F$31:$I$54,24,FALSE)-SUM($F$10,$F$21:$F$24,$F$26)-HLOOKUP($Y100,$F$31:$I$54,17,FALSE)+HLOOKUP($Y100,$F$31:$I$56,26,FALSE),IF($Z100="短時間",HLOOKUP($Y100,$J$31:$M$54,24,FALSE)-SUM($F$10,$F$21:$F$24,$F$26)-HLOOKUP($Y100,$J$31:$M$54,17,FALSE)+HLOOKUP($Y100,$J$31:$M$56,26,FALSE),0))+IF(AA100="○",加算と減算!$AH$3,0)</f>
        <v>0</v>
      </c>
      <c r="AD100" s="85">
        <f t="shared" si="62"/>
        <v>0</v>
      </c>
      <c r="AE100" s="262">
        <f t="shared" si="63"/>
        <v>0</v>
      </c>
    </row>
    <row r="101" spans="15:31">
      <c r="T101" s="86" t="s">
        <v>36</v>
      </c>
      <c r="U101" s="85">
        <f>SUM(U81:U100)</f>
        <v>0</v>
      </c>
      <c r="V101" s="262">
        <f>SUM(V81:V100)</f>
        <v>0</v>
      </c>
      <c r="W101" s="262"/>
      <c r="AC101" s="86" t="s">
        <v>36</v>
      </c>
      <c r="AD101" s="85">
        <f>SUM(AD81:AD100)</f>
        <v>0</v>
      </c>
      <c r="AE101" s="264">
        <f>SUM(AE81:AE100)</f>
        <v>0</v>
      </c>
    </row>
  </sheetData>
  <sheetProtection algorithmName="SHA-512" hashValue="od5qZ7LOVszovHIQHB0n01T6rlxYuc66Xu3KFuXplFUyUSzDXQVcQmhiNQnUxj9tsJzkvic/CC1saRncENFkaA==" saltValue="IIxxSJy/XCHF7BgyLXsWkQ==" spinCount="100000" sheet="1" objects="1" scenarios="1"/>
  <mergeCells count="89">
    <mergeCell ref="B2:D2"/>
    <mergeCell ref="B4:B27"/>
    <mergeCell ref="C4:D5"/>
    <mergeCell ref="E4:E5"/>
    <mergeCell ref="F4:I4"/>
    <mergeCell ref="C17:C20"/>
    <mergeCell ref="C21:C26"/>
    <mergeCell ref="D15:D16"/>
    <mergeCell ref="D17:D18"/>
    <mergeCell ref="C8:C16"/>
    <mergeCell ref="U4:X4"/>
    <mergeCell ref="Y4:Y5"/>
    <mergeCell ref="C6:D7"/>
    <mergeCell ref="D8:D9"/>
    <mergeCell ref="D11:D12"/>
    <mergeCell ref="J4:M4"/>
    <mergeCell ref="O4:O11"/>
    <mergeCell ref="P4:P5"/>
    <mergeCell ref="Q4:T4"/>
    <mergeCell ref="O13:O20"/>
    <mergeCell ref="P13:P14"/>
    <mergeCell ref="Q13:T13"/>
    <mergeCell ref="U13:X13"/>
    <mergeCell ref="Y13:Y14"/>
    <mergeCell ref="O22:O28"/>
    <mergeCell ref="T22:T28"/>
    <mergeCell ref="C27:D27"/>
    <mergeCell ref="B30:B54"/>
    <mergeCell ref="C30:D31"/>
    <mergeCell ref="E30:E31"/>
    <mergeCell ref="F30:I30"/>
    <mergeCell ref="J30:M30"/>
    <mergeCell ref="O30:O37"/>
    <mergeCell ref="P30:P31"/>
    <mergeCell ref="Q30:T30"/>
    <mergeCell ref="C48:C53"/>
    <mergeCell ref="O48:O54"/>
    <mergeCell ref="T48:T54"/>
    <mergeCell ref="U30:X30"/>
    <mergeCell ref="Y30:Y31"/>
    <mergeCell ref="C32:D33"/>
    <mergeCell ref="C34:C42"/>
    <mergeCell ref="D34:D35"/>
    <mergeCell ref="D37:D38"/>
    <mergeCell ref="O39:O46"/>
    <mergeCell ref="P39:P40"/>
    <mergeCell ref="Q39:T39"/>
    <mergeCell ref="Y39:Y40"/>
    <mergeCell ref="D41:D42"/>
    <mergeCell ref="C43:C47"/>
    <mergeCell ref="D44:D45"/>
    <mergeCell ref="U39:X39"/>
    <mergeCell ref="O79:P79"/>
    <mergeCell ref="X48:Y48"/>
    <mergeCell ref="C54:D54"/>
    <mergeCell ref="O56:P56"/>
    <mergeCell ref="X56:Y56"/>
    <mergeCell ref="F59:I59"/>
    <mergeCell ref="J59:M59"/>
    <mergeCell ref="D61:D62"/>
    <mergeCell ref="D65:D66"/>
    <mergeCell ref="D68:E69"/>
    <mergeCell ref="F69:M69"/>
    <mergeCell ref="AM4:AM27"/>
    <mergeCell ref="AN4:AO5"/>
    <mergeCell ref="AP4:AP5"/>
    <mergeCell ref="AN6:AO7"/>
    <mergeCell ref="AN8:AN16"/>
    <mergeCell ref="AO8:AO9"/>
    <mergeCell ref="AO11:AO12"/>
    <mergeCell ref="AO15:AO16"/>
    <mergeCell ref="AN17:AN20"/>
    <mergeCell ref="AO17:AO18"/>
    <mergeCell ref="AN21:AN26"/>
    <mergeCell ref="AN27:AO27"/>
    <mergeCell ref="AN55:AO55"/>
    <mergeCell ref="AN28:AO28"/>
    <mergeCell ref="AM30:AM54"/>
    <mergeCell ref="AN30:AO31"/>
    <mergeCell ref="AP30:AP31"/>
    <mergeCell ref="AN32:AO33"/>
    <mergeCell ref="AN34:AN42"/>
    <mergeCell ref="AO34:AO35"/>
    <mergeCell ref="AO37:AO38"/>
    <mergeCell ref="AO41:AO42"/>
    <mergeCell ref="AN43:AN47"/>
    <mergeCell ref="AO44:AO45"/>
    <mergeCell ref="AN48:AN53"/>
    <mergeCell ref="AN54:AO54"/>
  </mergeCells>
  <phoneticPr fontId="2"/>
  <printOptions headings="1"/>
  <pageMargins left="0.23622047244094491" right="0.23622047244094491" top="0.74803149606299213" bottom="0.74803149606299213" header="0.31496062992125984" footer="0.31496062992125984"/>
  <pageSetup paperSize="8"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36D9B-6B9F-45DF-B418-A8B1094B029A}">
  <sheetPr>
    <tabColor theme="1"/>
  </sheetPr>
  <dimension ref="B1:AQ101"/>
  <sheetViews>
    <sheetView view="pageBreakPreview" zoomScale="85" zoomScaleNormal="55" zoomScaleSheetLayoutView="85" workbookViewId="0">
      <pane ySplit="5" topLeftCell="A6" activePane="bottomLeft" state="frozen"/>
      <selection activeCell="V65" sqref="V65"/>
      <selection pane="bottomLeft" activeCell="A6" sqref="A6"/>
    </sheetView>
  </sheetViews>
  <sheetFormatPr defaultColWidth="8.75" defaultRowHeight="15"/>
  <cols>
    <col min="1" max="1" width="1" style="2" customWidth="1"/>
    <col min="2" max="3" width="2.75" style="2" customWidth="1"/>
    <col min="4" max="4" width="16.5" style="1" customWidth="1"/>
    <col min="5" max="5" width="8.25" style="57" customWidth="1"/>
    <col min="6" max="13" width="7.25" style="2" customWidth="1"/>
    <col min="14" max="14" width="1" style="2" customWidth="1"/>
    <col min="15" max="16" width="8.625" style="2" customWidth="1"/>
    <col min="17" max="25" width="9.75" style="2" customWidth="1"/>
    <col min="26" max="27" width="8.75" style="2" customWidth="1"/>
    <col min="28" max="31" width="8.875" style="2" customWidth="1"/>
    <col min="32" max="38" width="8.75" style="2"/>
    <col min="39" max="40" width="3.875" style="2" bestFit="1" customWidth="1"/>
    <col min="41" max="41" width="16.5" style="2" bestFit="1" customWidth="1"/>
    <col min="42" max="42" width="8.75" style="2"/>
    <col min="43" max="43" width="9.375" style="264" bestFit="1" customWidth="1"/>
    <col min="44" max="16384" width="8.75" style="2"/>
  </cols>
  <sheetData>
    <row r="1" spans="2:43" ht="4.9000000000000004" customHeight="1" thickBot="1">
      <c r="F1" s="57"/>
      <c r="G1" s="57"/>
      <c r="H1" s="57"/>
      <c r="I1" s="57"/>
      <c r="J1" s="57"/>
      <c r="K1" s="57"/>
      <c r="L1" s="57"/>
      <c r="M1" s="57"/>
    </row>
    <row r="2" spans="2:43" ht="15.75" thickBot="1">
      <c r="B2" s="1450">
        <v>6</v>
      </c>
      <c r="C2" s="1451"/>
      <c r="D2" s="1452"/>
      <c r="E2" s="2"/>
      <c r="F2" s="55" t="s">
        <v>183</v>
      </c>
      <c r="G2" s="72">
        <f>児童数!O10</f>
        <v>0</v>
      </c>
      <c r="H2" s="73" t="s">
        <v>184</v>
      </c>
      <c r="I2" s="72">
        <f>児童数!AB10</f>
        <v>0</v>
      </c>
      <c r="J2" s="73" t="s">
        <v>182</v>
      </c>
      <c r="K2" s="72">
        <f>G2+I2</f>
        <v>0</v>
      </c>
      <c r="L2" s="62"/>
      <c r="N2" s="1"/>
      <c r="O2" s="55" t="s">
        <v>192</v>
      </c>
      <c r="P2" s="78">
        <f>IF(基本情報!E5="",0,基本情報!G10)</f>
        <v>0</v>
      </c>
      <c r="Q2" s="77" t="s">
        <v>11</v>
      </c>
      <c r="R2" s="55" t="s">
        <v>202</v>
      </c>
      <c r="S2" s="257">
        <f>IF(基本情報!E12="１日",単価表!BB11,IF(基本情報!E12="２日",単価表!BC11,IF(基本情報!E12="３日",単価表!BD11,IF(基本情報!E12="全て",単価表!BE11,0))))*100</f>
        <v>0</v>
      </c>
      <c r="T2" s="258">
        <f>IF(基本情報!E12="１日",単価表!BB27,IF(基本情報!E12="２日",単価表!BC27,IF(基本情報!E12="３日",単価表!BD27,IF(基本情報!E12="全て",単価表!BE27,0))))*100</f>
        <v>0</v>
      </c>
      <c r="U2" s="55" t="s">
        <v>198</v>
      </c>
      <c r="V2" s="257">
        <f>IF(基本情報!E14="該当",定員超過減算率!C2,0)</f>
        <v>0</v>
      </c>
      <c r="W2" s="258">
        <f>IF(基本情報!E14="該当",定員超過減算率!C3,0)</f>
        <v>0</v>
      </c>
      <c r="X2" s="55"/>
      <c r="Y2" s="55"/>
      <c r="AC2" s="1" t="s">
        <v>206</v>
      </c>
      <c r="AD2" s="1" t="s">
        <v>207</v>
      </c>
    </row>
    <row r="3" spans="2:43" ht="6" customHeight="1">
      <c r="K3" s="1"/>
    </row>
    <row r="4" spans="2:43" ht="15" customHeight="1">
      <c r="B4" s="1426" t="s">
        <v>181</v>
      </c>
      <c r="C4" s="1429"/>
      <c r="D4" s="1429"/>
      <c r="E4" s="1416" t="s">
        <v>172</v>
      </c>
      <c r="F4" s="1418" t="s">
        <v>15</v>
      </c>
      <c r="G4" s="1418"/>
      <c r="H4" s="1418"/>
      <c r="I4" s="1418"/>
      <c r="J4" s="1418" t="s">
        <v>16</v>
      </c>
      <c r="K4" s="1418"/>
      <c r="L4" s="1418"/>
      <c r="M4" s="1418"/>
      <c r="O4" s="1449" t="s">
        <v>40</v>
      </c>
      <c r="P4" s="1446" t="s">
        <v>171</v>
      </c>
      <c r="Q4" s="1440" t="s">
        <v>15</v>
      </c>
      <c r="R4" s="1440"/>
      <c r="S4" s="1440"/>
      <c r="T4" s="1440"/>
      <c r="U4" s="1440" t="s">
        <v>16</v>
      </c>
      <c r="V4" s="1440"/>
      <c r="W4" s="1440"/>
      <c r="X4" s="1440"/>
      <c r="Y4" s="1441" t="s">
        <v>177</v>
      </c>
      <c r="Z4" s="11"/>
      <c r="AA4" s="1"/>
      <c r="AM4" s="1426" t="s">
        <v>181</v>
      </c>
      <c r="AN4" s="1429"/>
      <c r="AO4" s="1429"/>
      <c r="AP4" s="1416" t="s">
        <v>172</v>
      </c>
      <c r="AQ4" s="85"/>
    </row>
    <row r="5" spans="2:43" s="1" customFormat="1">
      <c r="B5" s="1427"/>
      <c r="C5" s="1429"/>
      <c r="D5" s="1429"/>
      <c r="E5" s="1417"/>
      <c r="F5" s="370" t="s">
        <v>6</v>
      </c>
      <c r="G5" s="370" t="s">
        <v>7</v>
      </c>
      <c r="H5" s="370" t="s">
        <v>8</v>
      </c>
      <c r="I5" s="370" t="s">
        <v>9</v>
      </c>
      <c r="J5" s="370" t="s">
        <v>6</v>
      </c>
      <c r="K5" s="370" t="s">
        <v>7</v>
      </c>
      <c r="L5" s="370" t="s">
        <v>8</v>
      </c>
      <c r="M5" s="370" t="s">
        <v>9</v>
      </c>
      <c r="O5" s="1444"/>
      <c r="P5" s="1446"/>
      <c r="Q5" s="368" t="s">
        <v>6</v>
      </c>
      <c r="R5" s="368" t="s">
        <v>7</v>
      </c>
      <c r="S5" s="368" t="s">
        <v>8</v>
      </c>
      <c r="T5" s="368" t="s">
        <v>9</v>
      </c>
      <c r="U5" s="368" t="s">
        <v>6</v>
      </c>
      <c r="V5" s="368" t="s">
        <v>7</v>
      </c>
      <c r="W5" s="368" t="s">
        <v>8</v>
      </c>
      <c r="X5" s="368" t="s">
        <v>9</v>
      </c>
      <c r="Y5" s="1442"/>
      <c r="Z5" s="11"/>
      <c r="AC5" s="1" t="s">
        <v>6</v>
      </c>
      <c r="AD5" s="1" t="s">
        <v>212</v>
      </c>
      <c r="AM5" s="1427"/>
      <c r="AN5" s="1429"/>
      <c r="AO5" s="1429"/>
      <c r="AP5" s="1417"/>
      <c r="AQ5" s="85"/>
    </row>
    <row r="6" spans="2:43" s="1" customFormat="1">
      <c r="B6" s="1427"/>
      <c r="C6" s="1418" t="s">
        <v>17</v>
      </c>
      <c r="D6" s="1418"/>
      <c r="E6" s="53" t="s">
        <v>169</v>
      </c>
      <c r="F6" s="3" t="e">
        <f>単価表!AV7</f>
        <v>#VALUE!</v>
      </c>
      <c r="G6" s="3" t="e">
        <f>単価表!AV9</f>
        <v>#VALUE!</v>
      </c>
      <c r="H6" s="3" t="e">
        <f>単価表!AV11</f>
        <v>#VALUE!</v>
      </c>
      <c r="I6" s="3" t="e">
        <f>単価表!AV13</f>
        <v>#VALUE!</v>
      </c>
      <c r="J6" s="3" t="e">
        <f>単価表!AW7</f>
        <v>#VALUE!</v>
      </c>
      <c r="K6" s="3" t="e">
        <f>単価表!AW9</f>
        <v>#VALUE!</v>
      </c>
      <c r="L6" s="3" t="e">
        <f>単価表!AW11</f>
        <v>#VALUE!</v>
      </c>
      <c r="M6" s="3" t="e">
        <f>単価表!AW13</f>
        <v>#VALUE!</v>
      </c>
      <c r="O6" s="1444"/>
      <c r="P6" s="630">
        <f>基本情報!E17</f>
        <v>0</v>
      </c>
      <c r="Q6" s="3">
        <f>児童数!E24</f>
        <v>0</v>
      </c>
      <c r="R6" s="3">
        <f>児童数!F24</f>
        <v>0</v>
      </c>
      <c r="S6" s="3">
        <f>児童数!G24</f>
        <v>0</v>
      </c>
      <c r="T6" s="3">
        <f>児童数!H24</f>
        <v>0</v>
      </c>
      <c r="U6" s="3">
        <f>児童数!J24</f>
        <v>0</v>
      </c>
      <c r="V6" s="3">
        <f>児童数!K24</f>
        <v>0</v>
      </c>
      <c r="W6" s="3">
        <f>児童数!L24</f>
        <v>0</v>
      </c>
      <c r="X6" s="3">
        <f>児童数!M24</f>
        <v>0</v>
      </c>
      <c r="Y6" s="64">
        <f>SUM(Q6:X6)</f>
        <v>0</v>
      </c>
      <c r="Z6" s="2"/>
      <c r="AC6" s="1" t="s">
        <v>7</v>
      </c>
      <c r="AD6" s="1" t="s">
        <v>16</v>
      </c>
      <c r="AM6" s="1427"/>
      <c r="AN6" s="1418" t="s">
        <v>17</v>
      </c>
      <c r="AO6" s="1418"/>
      <c r="AP6" s="53" t="s">
        <v>169</v>
      </c>
      <c r="AQ6" s="85" t="e">
        <f>SUMPRODUCT(F6:M6,$Q$11:$X$11)</f>
        <v>#VALUE!</v>
      </c>
    </row>
    <row r="7" spans="2:43" s="1" customFormat="1">
      <c r="B7" s="1427"/>
      <c r="C7" s="1418"/>
      <c r="D7" s="1418"/>
      <c r="E7" s="53" t="s">
        <v>167</v>
      </c>
      <c r="F7" s="3" t="e">
        <f>単価表!AX7*基本情報!G7</f>
        <v>#VALUE!</v>
      </c>
      <c r="G7" s="3" t="e">
        <f>単価表!AX9*基本情報!G7</f>
        <v>#VALUE!</v>
      </c>
      <c r="H7" s="3" t="e">
        <f>単価表!AX11*基本情報!G7</f>
        <v>#VALUE!</v>
      </c>
      <c r="I7" s="3" t="e">
        <f>単価表!AX13*基本情報!G7</f>
        <v>#VALUE!</v>
      </c>
      <c r="J7" s="3" t="e">
        <f>単価表!AY7*基本情報!G7</f>
        <v>#VALUE!</v>
      </c>
      <c r="K7" s="3" t="e">
        <f>単価表!AY9*基本情報!G7</f>
        <v>#VALUE!</v>
      </c>
      <c r="L7" s="3" t="e">
        <f>単価表!AY11*基本情報!G7</f>
        <v>#VALUE!</v>
      </c>
      <c r="M7" s="3" t="e">
        <f>単価表!AY13*基本情報!G7</f>
        <v>#VALUE!</v>
      </c>
      <c r="O7" s="1444"/>
      <c r="P7" s="631">
        <f>基本情報!E18</f>
        <v>0</v>
      </c>
      <c r="Q7" s="3">
        <f>児童数!E38</f>
        <v>0</v>
      </c>
      <c r="R7" s="3">
        <f>児童数!F38</f>
        <v>0</v>
      </c>
      <c r="S7" s="3">
        <f>児童数!G38</f>
        <v>0</v>
      </c>
      <c r="T7" s="3">
        <f>児童数!H38</f>
        <v>0</v>
      </c>
      <c r="U7" s="3">
        <f>児童数!J38</f>
        <v>0</v>
      </c>
      <c r="V7" s="3">
        <f>児童数!K38</f>
        <v>0</v>
      </c>
      <c r="W7" s="3">
        <f>児童数!L38</f>
        <v>0</v>
      </c>
      <c r="X7" s="3">
        <f>児童数!M38</f>
        <v>0</v>
      </c>
      <c r="Y7" s="64">
        <f t="shared" ref="Y7:Y10" si="0">SUM(Q7:X7)</f>
        <v>0</v>
      </c>
      <c r="Z7" s="2"/>
      <c r="AA7" s="2"/>
      <c r="AC7" s="1" t="s">
        <v>8</v>
      </c>
      <c r="AM7" s="1427"/>
      <c r="AN7" s="1418"/>
      <c r="AO7" s="1418"/>
      <c r="AP7" s="53" t="s">
        <v>167</v>
      </c>
      <c r="AQ7" s="85" t="e">
        <f t="shared" ref="AQ7:AQ26" si="1">SUMPRODUCT(F7:M7,$Q$11:$X$11)</f>
        <v>#VALUE!</v>
      </c>
    </row>
    <row r="8" spans="2:43" ht="15" customHeight="1">
      <c r="B8" s="1427"/>
      <c r="C8" s="1419" t="s">
        <v>203</v>
      </c>
      <c r="D8" s="1422" t="s">
        <v>37</v>
      </c>
      <c r="E8" s="53" t="s">
        <v>169</v>
      </c>
      <c r="F8" s="6"/>
      <c r="G8" s="3">
        <f>IF(加算と減算!G5="○",単価表!AV41,0)</f>
        <v>0</v>
      </c>
      <c r="H8" s="6"/>
      <c r="I8" s="6"/>
      <c r="J8" s="6"/>
      <c r="K8" s="3">
        <f>G8</f>
        <v>0</v>
      </c>
      <c r="L8" s="6"/>
      <c r="M8" s="6"/>
      <c r="O8" s="1444"/>
      <c r="P8" s="632">
        <f>基本情報!E19</f>
        <v>0</v>
      </c>
      <c r="Q8" s="3">
        <f>児童数!E52</f>
        <v>0</v>
      </c>
      <c r="R8" s="3">
        <f>児童数!F52</f>
        <v>0</v>
      </c>
      <c r="S8" s="3">
        <f>児童数!G52</f>
        <v>0</v>
      </c>
      <c r="T8" s="3">
        <f>児童数!H52</f>
        <v>0</v>
      </c>
      <c r="U8" s="3">
        <f>児童数!J52</f>
        <v>0</v>
      </c>
      <c r="V8" s="3">
        <f>児童数!K52</f>
        <v>0</v>
      </c>
      <c r="W8" s="3">
        <f>児童数!L52</f>
        <v>0</v>
      </c>
      <c r="X8" s="3">
        <f>児童数!M52</f>
        <v>0</v>
      </c>
      <c r="Y8" s="64">
        <f t="shared" si="0"/>
        <v>0</v>
      </c>
      <c r="AC8" s="1" t="s">
        <v>9</v>
      </c>
      <c r="AM8" s="1427"/>
      <c r="AN8" s="1419" t="s">
        <v>203</v>
      </c>
      <c r="AO8" s="1422" t="s">
        <v>37</v>
      </c>
      <c r="AP8" s="732" t="s">
        <v>559</v>
      </c>
      <c r="AQ8" s="85">
        <f t="shared" si="1"/>
        <v>0</v>
      </c>
    </row>
    <row r="9" spans="2:43">
      <c r="B9" s="1427"/>
      <c r="C9" s="1420"/>
      <c r="D9" s="1422"/>
      <c r="E9" s="53" t="s">
        <v>167</v>
      </c>
      <c r="F9" s="6"/>
      <c r="G9" s="3">
        <f>IF(加算と減算!G5="○",単価表!AW41*基本情報!G7,0)</f>
        <v>0</v>
      </c>
      <c r="H9" s="6"/>
      <c r="I9" s="6"/>
      <c r="J9" s="6"/>
      <c r="K9" s="3">
        <f>G9</f>
        <v>0</v>
      </c>
      <c r="L9" s="6"/>
      <c r="M9" s="6"/>
      <c r="O9" s="1444"/>
      <c r="P9" s="633">
        <f>基本情報!E20</f>
        <v>0</v>
      </c>
      <c r="Q9" s="3">
        <f>児童数!E66</f>
        <v>0</v>
      </c>
      <c r="R9" s="3">
        <f>児童数!F66</f>
        <v>0</v>
      </c>
      <c r="S9" s="3">
        <f>児童数!G66</f>
        <v>0</v>
      </c>
      <c r="T9" s="3">
        <f>児童数!H66</f>
        <v>0</v>
      </c>
      <c r="U9" s="3">
        <f>児童数!J66</f>
        <v>0</v>
      </c>
      <c r="V9" s="3">
        <f>児童数!K66</f>
        <v>0</v>
      </c>
      <c r="W9" s="3">
        <f>児童数!L66</f>
        <v>0</v>
      </c>
      <c r="X9" s="3">
        <f>児童数!M66</f>
        <v>0</v>
      </c>
      <c r="Y9" s="64">
        <f t="shared" si="0"/>
        <v>0</v>
      </c>
      <c r="AM9" s="1427"/>
      <c r="AN9" s="1420"/>
      <c r="AO9" s="1422"/>
      <c r="AP9" s="53" t="s">
        <v>167</v>
      </c>
      <c r="AQ9" s="85">
        <f t="shared" si="1"/>
        <v>0</v>
      </c>
    </row>
    <row r="10" spans="2:43">
      <c r="B10" s="1427"/>
      <c r="C10" s="1420"/>
      <c r="D10" s="383" t="s">
        <v>69</v>
      </c>
      <c r="E10" s="60"/>
      <c r="F10" s="3">
        <f>IF(K2=0,0,IF(加算と減算!G6="○",ROUNDDOWN((加算と減算!R6+(加算と減算!S6*基本情報!G7))/'6月'!K2,-1),0))</f>
        <v>0</v>
      </c>
      <c r="G10" s="3">
        <f t="shared" ref="G10:G18" si="2">F10</f>
        <v>0</v>
      </c>
      <c r="H10" s="3">
        <f>F10</f>
        <v>0</v>
      </c>
      <c r="I10" s="3">
        <f>F10</f>
        <v>0</v>
      </c>
      <c r="J10" s="3">
        <f t="shared" ref="J10:J18" si="3">F10</f>
        <v>0</v>
      </c>
      <c r="K10" s="3">
        <f t="shared" ref="K10:K18" si="4">F10</f>
        <v>0</v>
      </c>
      <c r="L10" s="3">
        <f>F10</f>
        <v>0</v>
      </c>
      <c r="M10" s="3">
        <f>F10</f>
        <v>0</v>
      </c>
      <c r="O10" s="1444"/>
      <c r="P10" s="634">
        <f>基本情報!E21</f>
        <v>0</v>
      </c>
      <c r="Q10" s="3">
        <f>児童数!E80</f>
        <v>0</v>
      </c>
      <c r="R10" s="3">
        <f>児童数!F80</f>
        <v>0</v>
      </c>
      <c r="S10" s="3">
        <f>児童数!G80</f>
        <v>0</v>
      </c>
      <c r="T10" s="3">
        <f>児童数!H80</f>
        <v>0</v>
      </c>
      <c r="U10" s="3">
        <f>児童数!J80</f>
        <v>0</v>
      </c>
      <c r="V10" s="3">
        <f>児童数!K80</f>
        <v>0</v>
      </c>
      <c r="W10" s="3">
        <f>児童数!L80</f>
        <v>0</v>
      </c>
      <c r="X10" s="3">
        <f>児童数!M80</f>
        <v>0</v>
      </c>
      <c r="Y10" s="64">
        <f t="shared" si="0"/>
        <v>0</v>
      </c>
      <c r="AM10" s="1427"/>
      <c r="AN10" s="1420"/>
      <c r="AO10" s="383" t="s">
        <v>69</v>
      </c>
      <c r="AP10" s="629"/>
      <c r="AQ10" s="85">
        <f t="shared" si="1"/>
        <v>0</v>
      </c>
    </row>
    <row r="11" spans="2:43">
      <c r="B11" s="1427"/>
      <c r="C11" s="1420"/>
      <c r="D11" s="1422" t="s">
        <v>161</v>
      </c>
      <c r="E11" s="53" t="s">
        <v>169</v>
      </c>
      <c r="F11" s="3">
        <f>IF(加算と減算!G7="○",単価表!AZ39,0)</f>
        <v>0</v>
      </c>
      <c r="G11" s="3">
        <f t="shared" si="2"/>
        <v>0</v>
      </c>
      <c r="H11" s="3">
        <f>IF(加算と減算!G7="○",単価表!AZ43,0)</f>
        <v>0</v>
      </c>
      <c r="I11" s="3">
        <f>H11</f>
        <v>0</v>
      </c>
      <c r="J11" s="3">
        <f t="shared" si="3"/>
        <v>0</v>
      </c>
      <c r="K11" s="3">
        <f t="shared" si="4"/>
        <v>0</v>
      </c>
      <c r="L11" s="3">
        <f>H11</f>
        <v>0</v>
      </c>
      <c r="M11" s="3">
        <f>H11</f>
        <v>0</v>
      </c>
      <c r="O11" s="1445"/>
      <c r="P11" s="635" t="s">
        <v>36</v>
      </c>
      <c r="Q11" s="3">
        <f>SUM(Q6:Q10)</f>
        <v>0</v>
      </c>
      <c r="R11" s="3">
        <f t="shared" ref="R11:Y11" si="5">SUM(R6:R10)</f>
        <v>0</v>
      </c>
      <c r="S11" s="3">
        <f t="shared" si="5"/>
        <v>0</v>
      </c>
      <c r="T11" s="3">
        <f t="shared" si="5"/>
        <v>0</v>
      </c>
      <c r="U11" s="3">
        <f t="shared" si="5"/>
        <v>0</v>
      </c>
      <c r="V11" s="3">
        <f t="shared" si="5"/>
        <v>0</v>
      </c>
      <c r="W11" s="3">
        <f t="shared" si="5"/>
        <v>0</v>
      </c>
      <c r="X11" s="3">
        <f t="shared" si="5"/>
        <v>0</v>
      </c>
      <c r="Y11" s="3">
        <f t="shared" si="5"/>
        <v>0</v>
      </c>
      <c r="Z11" s="55" t="s">
        <v>176</v>
      </c>
      <c r="AA11" s="71" t="str">
        <f>IF(SUM(Q11:X11)=G2,"OK",SUM(Q11:X11)-K2)</f>
        <v>OK</v>
      </c>
      <c r="AB11" s="62"/>
      <c r="AM11" s="1427"/>
      <c r="AN11" s="1420"/>
      <c r="AO11" s="1422" t="s">
        <v>161</v>
      </c>
      <c r="AP11" s="53" t="s">
        <v>169</v>
      </c>
      <c r="AQ11" s="85">
        <f t="shared" si="1"/>
        <v>0</v>
      </c>
    </row>
    <row r="12" spans="2:43" ht="15" customHeight="1">
      <c r="B12" s="1427"/>
      <c r="C12" s="1420"/>
      <c r="D12" s="1422"/>
      <c r="E12" s="53" t="s">
        <v>167</v>
      </c>
      <c r="F12" s="3">
        <f>IF(加算と減算!G7="○",単価表!BA39*基本情報!G7,0)</f>
        <v>0</v>
      </c>
      <c r="G12" s="3">
        <f t="shared" si="2"/>
        <v>0</v>
      </c>
      <c r="H12" s="3">
        <f>IF(加算と減算!G7="○",単価表!BA43*基本情報!G7,0)</f>
        <v>0</v>
      </c>
      <c r="I12" s="3">
        <f>H12</f>
        <v>0</v>
      </c>
      <c r="J12" s="3">
        <f t="shared" si="3"/>
        <v>0</v>
      </c>
      <c r="K12" s="3">
        <f t="shared" si="4"/>
        <v>0</v>
      </c>
      <c r="L12" s="3">
        <f>H12</f>
        <v>0</v>
      </c>
      <c r="M12" s="3">
        <f>H12</f>
        <v>0</v>
      </c>
      <c r="O12" s="75"/>
      <c r="P12" s="636"/>
      <c r="Q12" s="54"/>
      <c r="R12" s="54"/>
      <c r="S12" s="54"/>
      <c r="T12" s="54"/>
      <c r="U12" s="54"/>
      <c r="V12" s="54"/>
      <c r="W12" s="54"/>
      <c r="X12" s="54"/>
      <c r="Y12" s="54"/>
      <c r="AA12" s="62"/>
      <c r="AB12" s="62"/>
      <c r="AM12" s="1427"/>
      <c r="AN12" s="1420"/>
      <c r="AO12" s="1422"/>
      <c r="AP12" s="53" t="s">
        <v>167</v>
      </c>
      <c r="AQ12" s="85">
        <f t="shared" si="1"/>
        <v>0</v>
      </c>
    </row>
    <row r="13" spans="2:43" ht="16.5">
      <c r="B13" s="1427"/>
      <c r="C13" s="1420"/>
      <c r="D13" s="366" t="s">
        <v>162</v>
      </c>
      <c r="E13" s="59"/>
      <c r="F13" s="3">
        <f>IF(加算と減算!G8="○",加算と減算!R8,0)</f>
        <v>0</v>
      </c>
      <c r="G13" s="3">
        <f t="shared" si="2"/>
        <v>0</v>
      </c>
      <c r="H13" s="3">
        <f t="shared" ref="H13:H18" si="6">F13</f>
        <v>0</v>
      </c>
      <c r="I13" s="3">
        <f t="shared" ref="I13:I18" si="7">F13</f>
        <v>0</v>
      </c>
      <c r="J13" s="3">
        <f t="shared" si="3"/>
        <v>0</v>
      </c>
      <c r="K13" s="3">
        <f t="shared" si="4"/>
        <v>0</v>
      </c>
      <c r="L13" s="3">
        <f t="shared" ref="L13:L18" si="8">F13</f>
        <v>0</v>
      </c>
      <c r="M13" s="3">
        <f t="shared" ref="M13:M18" si="9">F13</f>
        <v>0</v>
      </c>
      <c r="O13" s="1443" t="s">
        <v>187</v>
      </c>
      <c r="P13" s="1449" t="s">
        <v>171</v>
      </c>
      <c r="Q13" s="1440" t="s">
        <v>15</v>
      </c>
      <c r="R13" s="1440"/>
      <c r="S13" s="1440"/>
      <c r="T13" s="1440"/>
      <c r="U13" s="1440" t="s">
        <v>16</v>
      </c>
      <c r="V13" s="1440"/>
      <c r="W13" s="1440"/>
      <c r="X13" s="1440"/>
      <c r="Y13" s="1449" t="s">
        <v>177</v>
      </c>
      <c r="AA13" s="62"/>
      <c r="AB13" s="62"/>
      <c r="AM13" s="1427"/>
      <c r="AN13" s="1420"/>
      <c r="AO13" s="720" t="s">
        <v>162</v>
      </c>
      <c r="AP13" s="731" t="s">
        <v>353</v>
      </c>
      <c r="AQ13" s="85">
        <f t="shared" si="1"/>
        <v>0</v>
      </c>
    </row>
    <row r="14" spans="2:43" ht="16.5">
      <c r="B14" s="1427"/>
      <c r="C14" s="1420"/>
      <c r="D14" s="366" t="s">
        <v>54</v>
      </c>
      <c r="E14" s="59"/>
      <c r="F14" s="3">
        <f>IF(加算と減算!G9="○",加算と減算!R9,0)</f>
        <v>0</v>
      </c>
      <c r="G14" s="3">
        <f t="shared" si="2"/>
        <v>0</v>
      </c>
      <c r="H14" s="3">
        <f t="shared" si="6"/>
        <v>0</v>
      </c>
      <c r="I14" s="3">
        <f t="shared" si="7"/>
        <v>0</v>
      </c>
      <c r="J14" s="3">
        <f t="shared" si="3"/>
        <v>0</v>
      </c>
      <c r="K14" s="3">
        <f t="shared" si="4"/>
        <v>0</v>
      </c>
      <c r="L14" s="3">
        <f t="shared" si="8"/>
        <v>0</v>
      </c>
      <c r="M14" s="3">
        <f t="shared" si="9"/>
        <v>0</v>
      </c>
      <c r="O14" s="1447"/>
      <c r="P14" s="1445"/>
      <c r="Q14" s="368" t="s">
        <v>6</v>
      </c>
      <c r="R14" s="368" t="s">
        <v>7</v>
      </c>
      <c r="S14" s="368" t="s">
        <v>8</v>
      </c>
      <c r="T14" s="368" t="s">
        <v>9</v>
      </c>
      <c r="U14" s="368" t="s">
        <v>6</v>
      </c>
      <c r="V14" s="368" t="s">
        <v>7</v>
      </c>
      <c r="W14" s="368" t="s">
        <v>8</v>
      </c>
      <c r="X14" s="368" t="s">
        <v>9</v>
      </c>
      <c r="Y14" s="1445"/>
      <c r="AA14" s="62"/>
      <c r="AB14" s="62"/>
      <c r="AM14" s="1427"/>
      <c r="AN14" s="1420"/>
      <c r="AO14" s="720" t="s">
        <v>54</v>
      </c>
      <c r="AP14" s="731" t="s">
        <v>353</v>
      </c>
      <c r="AQ14" s="85">
        <f t="shared" si="1"/>
        <v>0</v>
      </c>
    </row>
    <row r="15" spans="2:43" ht="16.5">
      <c r="B15" s="1427"/>
      <c r="C15" s="1420"/>
      <c r="D15" s="1422" t="s">
        <v>38</v>
      </c>
      <c r="E15" s="53" t="s">
        <v>169</v>
      </c>
      <c r="F15" s="3">
        <f>IF(加算と減算!G10="○",加算と減算!R10,0)</f>
        <v>0</v>
      </c>
      <c r="G15" s="3">
        <f t="shared" si="2"/>
        <v>0</v>
      </c>
      <c r="H15" s="3">
        <f t="shared" si="6"/>
        <v>0</v>
      </c>
      <c r="I15" s="3">
        <f t="shared" si="7"/>
        <v>0</v>
      </c>
      <c r="J15" s="3">
        <f t="shared" si="3"/>
        <v>0</v>
      </c>
      <c r="K15" s="3">
        <f t="shared" si="4"/>
        <v>0</v>
      </c>
      <c r="L15" s="3">
        <f t="shared" si="8"/>
        <v>0</v>
      </c>
      <c r="M15" s="3">
        <f t="shared" si="9"/>
        <v>0</v>
      </c>
      <c r="O15" s="1447"/>
      <c r="P15" s="630">
        <f>P6</f>
        <v>0</v>
      </c>
      <c r="Q15" s="3" t="e">
        <f t="shared" ref="Q15:X15" si="10">F27*Q6</f>
        <v>#VALUE!</v>
      </c>
      <c r="R15" s="3" t="e">
        <f t="shared" si="10"/>
        <v>#VALUE!</v>
      </c>
      <c r="S15" s="3" t="e">
        <f t="shared" si="10"/>
        <v>#VALUE!</v>
      </c>
      <c r="T15" s="3" t="e">
        <f t="shared" si="10"/>
        <v>#VALUE!</v>
      </c>
      <c r="U15" s="3" t="e">
        <f t="shared" si="10"/>
        <v>#VALUE!</v>
      </c>
      <c r="V15" s="3" t="e">
        <f t="shared" si="10"/>
        <v>#VALUE!</v>
      </c>
      <c r="W15" s="3" t="e">
        <f t="shared" si="10"/>
        <v>#VALUE!</v>
      </c>
      <c r="X15" s="3" t="e">
        <f t="shared" si="10"/>
        <v>#VALUE!</v>
      </c>
      <c r="Y15" s="3" t="e">
        <f>SUM(Q15:X15)</f>
        <v>#VALUE!</v>
      </c>
      <c r="AA15" s="62"/>
      <c r="AB15" s="62"/>
      <c r="AM15" s="1427"/>
      <c r="AN15" s="1420"/>
      <c r="AO15" s="1422" t="s">
        <v>38</v>
      </c>
      <c r="AP15" s="732" t="s">
        <v>559</v>
      </c>
      <c r="AQ15" s="85">
        <f t="shared" si="1"/>
        <v>0</v>
      </c>
    </row>
    <row r="16" spans="2:43">
      <c r="B16" s="1427"/>
      <c r="C16" s="1421"/>
      <c r="D16" s="1422"/>
      <c r="E16" s="53" t="s">
        <v>167</v>
      </c>
      <c r="F16" s="3">
        <f>IF(加算と減算!G10="○",加算と減算!S10*基本情報!G7,0)</f>
        <v>0</v>
      </c>
      <c r="G16" s="3">
        <f t="shared" si="2"/>
        <v>0</v>
      </c>
      <c r="H16" s="3">
        <f t="shared" si="6"/>
        <v>0</v>
      </c>
      <c r="I16" s="3">
        <f t="shared" si="7"/>
        <v>0</v>
      </c>
      <c r="J16" s="3">
        <f t="shared" si="3"/>
        <v>0</v>
      </c>
      <c r="K16" s="3">
        <f t="shared" si="4"/>
        <v>0</v>
      </c>
      <c r="L16" s="3">
        <f t="shared" si="8"/>
        <v>0</v>
      </c>
      <c r="M16" s="3">
        <f t="shared" si="9"/>
        <v>0</v>
      </c>
      <c r="O16" s="1447"/>
      <c r="P16" s="631">
        <f>P7</f>
        <v>0</v>
      </c>
      <c r="Q16" s="3" t="e">
        <f t="shared" ref="Q16:X16" si="11">F27*Q7</f>
        <v>#VALUE!</v>
      </c>
      <c r="R16" s="3" t="e">
        <f t="shared" si="11"/>
        <v>#VALUE!</v>
      </c>
      <c r="S16" s="3" t="e">
        <f t="shared" si="11"/>
        <v>#VALUE!</v>
      </c>
      <c r="T16" s="3" t="e">
        <f t="shared" si="11"/>
        <v>#VALUE!</v>
      </c>
      <c r="U16" s="3" t="e">
        <f t="shared" si="11"/>
        <v>#VALUE!</v>
      </c>
      <c r="V16" s="3" t="e">
        <f t="shared" si="11"/>
        <v>#VALUE!</v>
      </c>
      <c r="W16" s="3" t="e">
        <f t="shared" si="11"/>
        <v>#VALUE!</v>
      </c>
      <c r="X16" s="3" t="e">
        <f t="shared" si="11"/>
        <v>#VALUE!</v>
      </c>
      <c r="Y16" s="3" t="e">
        <f t="shared" ref="Y16:Y19" si="12">SUM(Q16:X16)</f>
        <v>#VALUE!</v>
      </c>
      <c r="AA16" s="62"/>
      <c r="AB16" s="62"/>
      <c r="AM16" s="1427"/>
      <c r="AN16" s="1421"/>
      <c r="AO16" s="1422"/>
      <c r="AP16" s="53" t="s">
        <v>167</v>
      </c>
      <c r="AQ16" s="85">
        <f t="shared" si="1"/>
        <v>0</v>
      </c>
    </row>
    <row r="17" spans="2:43">
      <c r="B17" s="1427"/>
      <c r="C17" s="1423" t="s">
        <v>205</v>
      </c>
      <c r="D17" s="1424" t="s">
        <v>43</v>
      </c>
      <c r="E17" s="53" t="s">
        <v>169</v>
      </c>
      <c r="F17" s="74">
        <f>-IF(加算と減算!G32="○",単価表!AZ7,0)</f>
        <v>0</v>
      </c>
      <c r="G17" s="74">
        <f t="shared" si="2"/>
        <v>0</v>
      </c>
      <c r="H17" s="74">
        <f t="shared" si="6"/>
        <v>0</v>
      </c>
      <c r="I17" s="74">
        <f t="shared" si="7"/>
        <v>0</v>
      </c>
      <c r="J17" s="74">
        <f t="shared" si="3"/>
        <v>0</v>
      </c>
      <c r="K17" s="74">
        <f t="shared" si="4"/>
        <v>0</v>
      </c>
      <c r="L17" s="74">
        <f t="shared" si="8"/>
        <v>0</v>
      </c>
      <c r="M17" s="74">
        <f t="shared" si="9"/>
        <v>0</v>
      </c>
      <c r="O17" s="1447"/>
      <c r="P17" s="632">
        <f>P8</f>
        <v>0</v>
      </c>
      <c r="Q17" s="3" t="e">
        <f t="shared" ref="Q17:X17" si="13">F27*Q8</f>
        <v>#VALUE!</v>
      </c>
      <c r="R17" s="3" t="e">
        <f t="shared" si="13"/>
        <v>#VALUE!</v>
      </c>
      <c r="S17" s="3" t="e">
        <f t="shared" si="13"/>
        <v>#VALUE!</v>
      </c>
      <c r="T17" s="3" t="e">
        <f t="shared" si="13"/>
        <v>#VALUE!</v>
      </c>
      <c r="U17" s="3" t="e">
        <f t="shared" si="13"/>
        <v>#VALUE!</v>
      </c>
      <c r="V17" s="3" t="e">
        <f t="shared" si="13"/>
        <v>#VALUE!</v>
      </c>
      <c r="W17" s="3" t="e">
        <f t="shared" si="13"/>
        <v>#VALUE!</v>
      </c>
      <c r="X17" s="3" t="e">
        <f t="shared" si="13"/>
        <v>#VALUE!</v>
      </c>
      <c r="Y17" s="3" t="e">
        <f t="shared" si="12"/>
        <v>#VALUE!</v>
      </c>
      <c r="AA17" s="62"/>
      <c r="AB17" s="62"/>
      <c r="AM17" s="1427"/>
      <c r="AN17" s="1423" t="s">
        <v>205</v>
      </c>
      <c r="AO17" s="1424" t="s">
        <v>43</v>
      </c>
      <c r="AP17" s="53" t="s">
        <v>169</v>
      </c>
      <c r="AQ17" s="85">
        <f t="shared" si="1"/>
        <v>0</v>
      </c>
    </row>
    <row r="18" spans="2:43">
      <c r="B18" s="1427"/>
      <c r="C18" s="1423"/>
      <c r="D18" s="1424"/>
      <c r="E18" s="53" t="s">
        <v>167</v>
      </c>
      <c r="F18" s="74">
        <f>-IF(加算と減算!G32="○",単価表!BA7*基本情報!G7,0)</f>
        <v>0</v>
      </c>
      <c r="G18" s="74">
        <f t="shared" si="2"/>
        <v>0</v>
      </c>
      <c r="H18" s="74">
        <f t="shared" si="6"/>
        <v>0</v>
      </c>
      <c r="I18" s="74">
        <f t="shared" si="7"/>
        <v>0</v>
      </c>
      <c r="J18" s="74">
        <f t="shared" si="3"/>
        <v>0</v>
      </c>
      <c r="K18" s="74">
        <f t="shared" si="4"/>
        <v>0</v>
      </c>
      <c r="L18" s="74">
        <f t="shared" si="8"/>
        <v>0</v>
      </c>
      <c r="M18" s="74">
        <f t="shared" si="9"/>
        <v>0</v>
      </c>
      <c r="O18" s="1447"/>
      <c r="P18" s="633">
        <f>P9</f>
        <v>0</v>
      </c>
      <c r="Q18" s="3" t="e">
        <f t="shared" ref="Q18:X18" si="14">F27*Q9</f>
        <v>#VALUE!</v>
      </c>
      <c r="R18" s="3" t="e">
        <f t="shared" si="14"/>
        <v>#VALUE!</v>
      </c>
      <c r="S18" s="3" t="e">
        <f t="shared" si="14"/>
        <v>#VALUE!</v>
      </c>
      <c r="T18" s="3" t="e">
        <f t="shared" si="14"/>
        <v>#VALUE!</v>
      </c>
      <c r="U18" s="3" t="e">
        <f t="shared" si="14"/>
        <v>#VALUE!</v>
      </c>
      <c r="V18" s="3" t="e">
        <f t="shared" si="14"/>
        <v>#VALUE!</v>
      </c>
      <c r="W18" s="3" t="e">
        <f t="shared" si="14"/>
        <v>#VALUE!</v>
      </c>
      <c r="X18" s="3" t="e">
        <f t="shared" si="14"/>
        <v>#VALUE!</v>
      </c>
      <c r="Y18" s="3" t="e">
        <f t="shared" si="12"/>
        <v>#VALUE!</v>
      </c>
      <c r="AA18" s="62"/>
      <c r="AB18" s="62"/>
      <c r="AM18" s="1427"/>
      <c r="AN18" s="1423"/>
      <c r="AO18" s="1424"/>
      <c r="AP18" s="53" t="s">
        <v>167</v>
      </c>
      <c r="AQ18" s="85">
        <f t="shared" si="1"/>
        <v>0</v>
      </c>
    </row>
    <row r="19" spans="2:43">
      <c r="B19" s="1427"/>
      <c r="C19" s="1423"/>
      <c r="D19" s="371" t="s">
        <v>165</v>
      </c>
      <c r="E19" s="60"/>
      <c r="F19" s="74" t="e">
        <f>-ROUNDDOWN((F6+F7+F8+F9+F11+F12)*$S$2/100,-1)</f>
        <v>#VALUE!</v>
      </c>
      <c r="G19" s="74" t="e">
        <f t="shared" ref="G19:M19" si="15">-ROUNDDOWN((G6+G7+G8+G9+G11+G12)*$S$2/100,-1)</f>
        <v>#VALUE!</v>
      </c>
      <c r="H19" s="74" t="e">
        <f t="shared" si="15"/>
        <v>#VALUE!</v>
      </c>
      <c r="I19" s="74" t="e">
        <f t="shared" si="15"/>
        <v>#VALUE!</v>
      </c>
      <c r="J19" s="74" t="e">
        <f t="shared" si="15"/>
        <v>#VALUE!</v>
      </c>
      <c r="K19" s="74" t="e">
        <f t="shared" si="15"/>
        <v>#VALUE!</v>
      </c>
      <c r="L19" s="74" t="e">
        <f t="shared" si="15"/>
        <v>#VALUE!</v>
      </c>
      <c r="M19" s="74" t="e">
        <f t="shared" si="15"/>
        <v>#VALUE!</v>
      </c>
      <c r="O19" s="1447"/>
      <c r="P19" s="634">
        <f>P10</f>
        <v>0</v>
      </c>
      <c r="Q19" s="3" t="e">
        <f t="shared" ref="Q19:X19" si="16">F27*Q10</f>
        <v>#VALUE!</v>
      </c>
      <c r="R19" s="3" t="e">
        <f t="shared" si="16"/>
        <v>#VALUE!</v>
      </c>
      <c r="S19" s="3" t="e">
        <f t="shared" si="16"/>
        <v>#VALUE!</v>
      </c>
      <c r="T19" s="3" t="e">
        <f t="shared" si="16"/>
        <v>#VALUE!</v>
      </c>
      <c r="U19" s="3" t="e">
        <f t="shared" si="16"/>
        <v>#VALUE!</v>
      </c>
      <c r="V19" s="3" t="e">
        <f t="shared" si="16"/>
        <v>#VALUE!</v>
      </c>
      <c r="W19" s="3" t="e">
        <f t="shared" si="16"/>
        <v>#VALUE!</v>
      </c>
      <c r="X19" s="3" t="e">
        <f t="shared" si="16"/>
        <v>#VALUE!</v>
      </c>
      <c r="Y19" s="3" t="e">
        <f t="shared" si="12"/>
        <v>#VALUE!</v>
      </c>
      <c r="AA19" s="62"/>
      <c r="AB19" s="62"/>
      <c r="AM19" s="1427"/>
      <c r="AN19" s="1423"/>
      <c r="AO19" s="717" t="s">
        <v>165</v>
      </c>
      <c r="AP19" s="60"/>
      <c r="AQ19" s="85" t="e">
        <f t="shared" si="1"/>
        <v>#VALUE!</v>
      </c>
    </row>
    <row r="20" spans="2:43">
      <c r="B20" s="1427"/>
      <c r="C20" s="1423"/>
      <c r="D20" s="371" t="s">
        <v>166</v>
      </c>
      <c r="E20" s="60"/>
      <c r="F20" s="74" t="e">
        <f t="shared" ref="F20:M20" si="17">-ROUNDUP(SUM(F6:F19)*$V$2/100,-1)</f>
        <v>#VALUE!</v>
      </c>
      <c r="G20" s="74" t="e">
        <f t="shared" si="17"/>
        <v>#VALUE!</v>
      </c>
      <c r="H20" s="74" t="e">
        <f t="shared" si="17"/>
        <v>#VALUE!</v>
      </c>
      <c r="I20" s="74" t="e">
        <f t="shared" si="17"/>
        <v>#VALUE!</v>
      </c>
      <c r="J20" s="74" t="e">
        <f t="shared" si="17"/>
        <v>#VALUE!</v>
      </c>
      <c r="K20" s="74" t="e">
        <f t="shared" si="17"/>
        <v>#VALUE!</v>
      </c>
      <c r="L20" s="74" t="e">
        <f t="shared" si="17"/>
        <v>#VALUE!</v>
      </c>
      <c r="M20" s="74" t="e">
        <f t="shared" si="17"/>
        <v>#VALUE!</v>
      </c>
      <c r="O20" s="1448"/>
      <c r="P20" s="635" t="s">
        <v>36</v>
      </c>
      <c r="Q20" s="3" t="e">
        <f>SUM(Q15:Q19)</f>
        <v>#VALUE!</v>
      </c>
      <c r="R20" s="3" t="e">
        <f t="shared" ref="R20:Y20" si="18">SUM(R15:R19)</f>
        <v>#VALUE!</v>
      </c>
      <c r="S20" s="3" t="e">
        <f t="shared" si="18"/>
        <v>#VALUE!</v>
      </c>
      <c r="T20" s="3" t="e">
        <f t="shared" si="18"/>
        <v>#VALUE!</v>
      </c>
      <c r="U20" s="3" t="e">
        <f t="shared" si="18"/>
        <v>#VALUE!</v>
      </c>
      <c r="V20" s="3" t="e">
        <f t="shared" si="18"/>
        <v>#VALUE!</v>
      </c>
      <c r="W20" s="3" t="e">
        <f t="shared" si="18"/>
        <v>#VALUE!</v>
      </c>
      <c r="X20" s="3" t="e">
        <f t="shared" si="18"/>
        <v>#VALUE!</v>
      </c>
      <c r="Y20" s="3" t="e">
        <f t="shared" si="18"/>
        <v>#VALUE!</v>
      </c>
      <c r="AA20" s="62"/>
      <c r="AB20" s="62"/>
      <c r="AM20" s="1427"/>
      <c r="AN20" s="1423"/>
      <c r="AO20" s="717" t="s">
        <v>166</v>
      </c>
      <c r="AP20" s="60"/>
      <c r="AQ20" s="85" t="e">
        <f t="shared" si="1"/>
        <v>#VALUE!</v>
      </c>
    </row>
    <row r="21" spans="2:43" ht="15" customHeight="1">
      <c r="B21" s="1427"/>
      <c r="C21" s="1419" t="s">
        <v>204</v>
      </c>
      <c r="D21" s="366" t="s">
        <v>18</v>
      </c>
      <c r="E21" s="59"/>
      <c r="F21" s="3">
        <f>IF(K2=0,0,IF(加算と減算!G13="",0,ROUNDDOWN(加算と減算!U13/'6月'!$K$2,-1)))</f>
        <v>0</v>
      </c>
      <c r="G21" s="3">
        <f>F21</f>
        <v>0</v>
      </c>
      <c r="H21" s="3">
        <f t="shared" ref="H21:M21" si="19">G21</f>
        <v>0</v>
      </c>
      <c r="I21" s="3">
        <f t="shared" si="19"/>
        <v>0</v>
      </c>
      <c r="J21" s="3">
        <f t="shared" si="19"/>
        <v>0</v>
      </c>
      <c r="K21" s="3">
        <f t="shared" si="19"/>
        <v>0</v>
      </c>
      <c r="L21" s="3">
        <f t="shared" si="19"/>
        <v>0</v>
      </c>
      <c r="M21" s="3">
        <f t="shared" si="19"/>
        <v>0</v>
      </c>
      <c r="O21" s="76"/>
      <c r="P21" s="636"/>
      <c r="Q21" s="54"/>
      <c r="R21" s="54"/>
      <c r="S21" s="9"/>
      <c r="T21" s="9"/>
      <c r="U21" s="54"/>
      <c r="V21" s="54"/>
      <c r="W21" s="10"/>
      <c r="X21" s="10"/>
      <c r="Y21" s="10"/>
      <c r="AA21" s="62"/>
      <c r="AB21" s="62"/>
      <c r="AM21" s="1427"/>
      <c r="AN21" s="1419" t="s">
        <v>204</v>
      </c>
      <c r="AO21" s="720" t="s">
        <v>18</v>
      </c>
      <c r="AP21" s="732" t="s">
        <v>559</v>
      </c>
      <c r="AQ21" s="85">
        <f t="shared" si="1"/>
        <v>0</v>
      </c>
    </row>
    <row r="22" spans="2:43" ht="15" customHeight="1">
      <c r="B22" s="1427"/>
      <c r="C22" s="1420"/>
      <c r="D22" s="366" t="s">
        <v>62</v>
      </c>
      <c r="E22" s="59"/>
      <c r="F22" s="3">
        <f>IF(K2=0,0,ROUNDDOWN(IF(加算と減算!G14="○",加算と減算!U14,IF(加算と減算!G15="○",加算と減算!U15,0))/K2,-1))</f>
        <v>0</v>
      </c>
      <c r="G22" s="3">
        <f t="shared" ref="G22:M26" si="20">F22</f>
        <v>0</v>
      </c>
      <c r="H22" s="3">
        <f t="shared" si="20"/>
        <v>0</v>
      </c>
      <c r="I22" s="3">
        <f t="shared" si="20"/>
        <v>0</v>
      </c>
      <c r="J22" s="3">
        <f t="shared" si="20"/>
        <v>0</v>
      </c>
      <c r="K22" s="3">
        <f t="shared" si="20"/>
        <v>0</v>
      </c>
      <c r="L22" s="3">
        <f t="shared" si="20"/>
        <v>0</v>
      </c>
      <c r="M22" s="3">
        <f>L22</f>
        <v>0</v>
      </c>
      <c r="O22" s="1443" t="s">
        <v>180</v>
      </c>
      <c r="P22" s="367" t="s">
        <v>171</v>
      </c>
      <c r="Q22" s="368" t="s">
        <v>178</v>
      </c>
      <c r="R22" s="367" t="s">
        <v>179</v>
      </c>
      <c r="S22" s="4"/>
      <c r="T22" s="1443" t="s">
        <v>188</v>
      </c>
      <c r="U22" s="367" t="s">
        <v>171</v>
      </c>
      <c r="V22" s="40" t="s">
        <v>179</v>
      </c>
      <c r="AA22" s="62"/>
      <c r="AB22" s="62"/>
      <c r="AM22" s="1427"/>
      <c r="AN22" s="1420"/>
      <c r="AO22" s="720" t="s">
        <v>62</v>
      </c>
      <c r="AP22" s="732" t="s">
        <v>559</v>
      </c>
      <c r="AQ22" s="85">
        <f t="shared" si="1"/>
        <v>0</v>
      </c>
    </row>
    <row r="23" spans="2:43" ht="16.5">
      <c r="B23" s="1427"/>
      <c r="C23" s="1420"/>
      <c r="D23" s="366" t="s">
        <v>19</v>
      </c>
      <c r="E23" s="59"/>
      <c r="F23" s="3">
        <f>IF(K2=0,0,IF(加算と減算!G16="",0,ROUNDDOWN(加算と減算!U16/'6月'!$K$2,-1)))</f>
        <v>0</v>
      </c>
      <c r="G23" s="3">
        <f t="shared" si="20"/>
        <v>0</v>
      </c>
      <c r="H23" s="3">
        <f t="shared" si="20"/>
        <v>0</v>
      </c>
      <c r="I23" s="3">
        <f t="shared" si="20"/>
        <v>0</v>
      </c>
      <c r="J23" s="3">
        <f t="shared" si="20"/>
        <v>0</v>
      </c>
      <c r="K23" s="3">
        <f t="shared" si="20"/>
        <v>0</v>
      </c>
      <c r="L23" s="3">
        <f t="shared" si="20"/>
        <v>0</v>
      </c>
      <c r="M23" s="3">
        <f t="shared" si="20"/>
        <v>0</v>
      </c>
      <c r="O23" s="1447"/>
      <c r="P23" s="630">
        <f>P6</f>
        <v>0</v>
      </c>
      <c r="Q23" s="3">
        <f>児童数!AE24</f>
        <v>0</v>
      </c>
      <c r="R23" s="64">
        <f>4500*Q23</f>
        <v>0</v>
      </c>
      <c r="S23" s="4"/>
      <c r="T23" s="1447"/>
      <c r="U23" s="630">
        <f>P6</f>
        <v>0</v>
      </c>
      <c r="V23" s="65" t="e">
        <f>Y15+R23</f>
        <v>#VALUE!</v>
      </c>
      <c r="AA23" s="62"/>
      <c r="AB23" s="62"/>
      <c r="AM23" s="1427"/>
      <c r="AN23" s="1420"/>
      <c r="AO23" s="720" t="s">
        <v>19</v>
      </c>
      <c r="AP23" s="732" t="s">
        <v>559</v>
      </c>
      <c r="AQ23" s="85">
        <f t="shared" si="1"/>
        <v>0</v>
      </c>
    </row>
    <row r="24" spans="2:43" ht="16.5">
      <c r="B24" s="1427"/>
      <c r="C24" s="1420"/>
      <c r="D24" s="366" t="s">
        <v>41</v>
      </c>
      <c r="E24" s="59"/>
      <c r="F24" s="3">
        <f>IF(K2=0,0,IF(加算と減算!D17="",0,ROUNDDOWN(加算と減算!U17/'6月'!$K$2,-1)))</f>
        <v>0</v>
      </c>
      <c r="G24" s="3">
        <f t="shared" si="20"/>
        <v>0</v>
      </c>
      <c r="H24" s="3">
        <f t="shared" si="20"/>
        <v>0</v>
      </c>
      <c r="I24" s="3">
        <f t="shared" si="20"/>
        <v>0</v>
      </c>
      <c r="J24" s="3">
        <f t="shared" si="20"/>
        <v>0</v>
      </c>
      <c r="K24" s="3">
        <f t="shared" si="20"/>
        <v>0</v>
      </c>
      <c r="L24" s="3">
        <f t="shared" si="20"/>
        <v>0</v>
      </c>
      <c r="M24" s="3">
        <f t="shared" si="20"/>
        <v>0</v>
      </c>
      <c r="O24" s="1447"/>
      <c r="P24" s="631">
        <f>P7</f>
        <v>0</v>
      </c>
      <c r="Q24" s="3">
        <f>児童数!AE38</f>
        <v>0</v>
      </c>
      <c r="R24" s="64">
        <f t="shared" ref="R24:R27" si="21">4500*Q24</f>
        <v>0</v>
      </c>
      <c r="S24" s="4"/>
      <c r="T24" s="1447"/>
      <c r="U24" s="631">
        <f>P7</f>
        <v>0</v>
      </c>
      <c r="V24" s="66" t="e">
        <f>Y16+R24</f>
        <v>#VALUE!</v>
      </c>
      <c r="AA24" s="62"/>
      <c r="AB24" s="62"/>
      <c r="AM24" s="1427"/>
      <c r="AN24" s="1420"/>
      <c r="AO24" s="720" t="s">
        <v>41</v>
      </c>
      <c r="AP24" s="732" t="s">
        <v>559</v>
      </c>
      <c r="AQ24" s="85">
        <f t="shared" si="1"/>
        <v>0</v>
      </c>
    </row>
    <row r="25" spans="2:43" ht="16.5">
      <c r="B25" s="1427"/>
      <c r="C25" s="1420"/>
      <c r="D25" s="366" t="s">
        <v>42</v>
      </c>
      <c r="E25" s="59"/>
      <c r="F25" s="3" t="str">
        <f>加算と減算!U18</f>
        <v/>
      </c>
      <c r="G25" s="3" t="str">
        <f t="shared" si="20"/>
        <v/>
      </c>
      <c r="H25" s="3" t="str">
        <f t="shared" si="20"/>
        <v/>
      </c>
      <c r="I25" s="3" t="str">
        <f t="shared" si="20"/>
        <v/>
      </c>
      <c r="J25" s="3" t="str">
        <f t="shared" si="20"/>
        <v/>
      </c>
      <c r="K25" s="3" t="str">
        <f t="shared" si="20"/>
        <v/>
      </c>
      <c r="L25" s="3" t="str">
        <f t="shared" si="20"/>
        <v/>
      </c>
      <c r="M25" s="3" t="str">
        <f t="shared" si="20"/>
        <v/>
      </c>
      <c r="O25" s="1447"/>
      <c r="P25" s="632">
        <f>P8</f>
        <v>0</v>
      </c>
      <c r="Q25" s="3">
        <f>児童数!AE52</f>
        <v>0</v>
      </c>
      <c r="R25" s="64">
        <f t="shared" si="21"/>
        <v>0</v>
      </c>
      <c r="S25" s="4"/>
      <c r="T25" s="1447"/>
      <c r="U25" s="632">
        <f>P8</f>
        <v>0</v>
      </c>
      <c r="V25" s="67" t="e">
        <f>Y17+R25</f>
        <v>#VALUE!</v>
      </c>
      <c r="AA25" s="62"/>
      <c r="AB25" s="62"/>
      <c r="AM25" s="1427"/>
      <c r="AN25" s="1420"/>
      <c r="AO25" s="718" t="s">
        <v>42</v>
      </c>
      <c r="AP25" s="731" t="s">
        <v>353</v>
      </c>
      <c r="AQ25" s="85">
        <f t="shared" si="1"/>
        <v>0</v>
      </c>
    </row>
    <row r="26" spans="2:43" ht="16.5">
      <c r="B26" s="1427"/>
      <c r="C26" s="1421"/>
      <c r="D26" s="366" t="s">
        <v>80</v>
      </c>
      <c r="E26" s="59"/>
      <c r="F26" s="3">
        <f>IF(K2=0,0,ROUNDDOWN(IF(加算と減算!G26="○",加算と減算!U26,IF(加算と減算!G27="○",加算と減算!U27,IF(加算と減算!G28="○",加算と減算!U28,0)))/K2,-1))</f>
        <v>0</v>
      </c>
      <c r="G26" s="3">
        <f t="shared" si="20"/>
        <v>0</v>
      </c>
      <c r="H26" s="3">
        <f t="shared" si="20"/>
        <v>0</v>
      </c>
      <c r="I26" s="3">
        <f t="shared" si="20"/>
        <v>0</v>
      </c>
      <c r="J26" s="3">
        <f t="shared" si="20"/>
        <v>0</v>
      </c>
      <c r="K26" s="3">
        <f t="shared" si="20"/>
        <v>0</v>
      </c>
      <c r="L26" s="3">
        <f t="shared" si="20"/>
        <v>0</v>
      </c>
      <c r="M26" s="3">
        <f t="shared" si="20"/>
        <v>0</v>
      </c>
      <c r="O26" s="1447"/>
      <c r="P26" s="633">
        <f>P9</f>
        <v>0</v>
      </c>
      <c r="Q26" s="3">
        <f>児童数!AE66</f>
        <v>0</v>
      </c>
      <c r="R26" s="64">
        <f t="shared" si="21"/>
        <v>0</v>
      </c>
      <c r="S26" s="4"/>
      <c r="T26" s="1447"/>
      <c r="U26" s="633">
        <f>P9</f>
        <v>0</v>
      </c>
      <c r="V26" s="68" t="e">
        <f>Y18+R26</f>
        <v>#VALUE!</v>
      </c>
      <c r="AA26" s="62"/>
      <c r="AB26" s="62"/>
      <c r="AM26" s="1427"/>
      <c r="AN26" s="1421"/>
      <c r="AO26" s="720" t="s">
        <v>80</v>
      </c>
      <c r="AP26" s="731" t="s">
        <v>353</v>
      </c>
      <c r="AQ26" s="85">
        <f t="shared" si="1"/>
        <v>0</v>
      </c>
    </row>
    <row r="27" spans="2:43" ht="18.75" customHeight="1" thickBot="1">
      <c r="B27" s="1428"/>
      <c r="C27" s="1410" t="s">
        <v>44</v>
      </c>
      <c r="D27" s="1411"/>
      <c r="E27" s="53"/>
      <c r="F27" s="5" t="e">
        <f t="shared" ref="F27:M27" si="22">SUM(F6:F26)</f>
        <v>#VALUE!</v>
      </c>
      <c r="G27" s="5" t="e">
        <f t="shared" si="22"/>
        <v>#VALUE!</v>
      </c>
      <c r="H27" s="5" t="e">
        <f t="shared" si="22"/>
        <v>#VALUE!</v>
      </c>
      <c r="I27" s="5" t="e">
        <f t="shared" si="22"/>
        <v>#VALUE!</v>
      </c>
      <c r="J27" s="5" t="e">
        <f t="shared" si="22"/>
        <v>#VALUE!</v>
      </c>
      <c r="K27" s="5" t="e">
        <f t="shared" si="22"/>
        <v>#VALUE!</v>
      </c>
      <c r="L27" s="5" t="e">
        <f t="shared" si="22"/>
        <v>#VALUE!</v>
      </c>
      <c r="M27" s="5" t="e">
        <f t="shared" si="22"/>
        <v>#VALUE!</v>
      </c>
      <c r="O27" s="1447"/>
      <c r="P27" s="634">
        <f>P10</f>
        <v>0</v>
      </c>
      <c r="Q27" s="3">
        <f>児童数!AE80</f>
        <v>0</v>
      </c>
      <c r="R27" s="64">
        <f t="shared" si="21"/>
        <v>0</v>
      </c>
      <c r="S27" s="4"/>
      <c r="T27" s="1447"/>
      <c r="U27" s="634">
        <f>P10</f>
        <v>0</v>
      </c>
      <c r="V27" s="69" t="e">
        <f>Y19+R27</f>
        <v>#VALUE!</v>
      </c>
      <c r="AA27" s="62"/>
      <c r="AB27" s="62"/>
      <c r="AM27" s="1428"/>
      <c r="AN27" s="1425" t="s">
        <v>562</v>
      </c>
      <c r="AO27" s="1425"/>
      <c r="AP27" s="733" t="s">
        <v>376</v>
      </c>
      <c r="AQ27" s="85">
        <f>R28</f>
        <v>0</v>
      </c>
    </row>
    <row r="28" spans="2:43" ht="15.75" thickBot="1">
      <c r="B28" s="263"/>
      <c r="C28" s="58"/>
      <c r="D28" s="58"/>
      <c r="E28" s="58" t="s">
        <v>167</v>
      </c>
      <c r="F28" s="7" t="e">
        <f>F7+F9+F12+F16+F18</f>
        <v>#VALUE!</v>
      </c>
      <c r="G28" s="7" t="e">
        <f t="shared" ref="G28:M28" si="23">G7+G9+G12+G16+G18</f>
        <v>#VALUE!</v>
      </c>
      <c r="H28" s="7" t="e">
        <f t="shared" si="23"/>
        <v>#VALUE!</v>
      </c>
      <c r="I28" s="7" t="e">
        <f t="shared" si="23"/>
        <v>#VALUE!</v>
      </c>
      <c r="J28" s="7" t="e">
        <f t="shared" si="23"/>
        <v>#VALUE!</v>
      </c>
      <c r="K28" s="7" t="e">
        <f>K7+K9+K12+K16+K18</f>
        <v>#VALUE!</v>
      </c>
      <c r="L28" s="7" t="e">
        <f>L7+L9+L12+L16+L18</f>
        <v>#VALUE!</v>
      </c>
      <c r="M28" s="7" t="e">
        <f t="shared" si="23"/>
        <v>#VALUE!</v>
      </c>
      <c r="O28" s="1448"/>
      <c r="P28" s="635" t="s">
        <v>36</v>
      </c>
      <c r="Q28" s="3">
        <f>SUM(Q23:Q27)</f>
        <v>0</v>
      </c>
      <c r="R28" s="3">
        <f>SUM(R23:R27)</f>
        <v>0</v>
      </c>
      <c r="S28" s="4"/>
      <c r="T28" s="1448"/>
      <c r="U28" s="635" t="s">
        <v>36</v>
      </c>
      <c r="V28" s="70" t="e">
        <f>SUM(V23:V27)</f>
        <v>#VALUE!</v>
      </c>
      <c r="AA28" s="62"/>
      <c r="AB28" s="62"/>
      <c r="AG28" s="288" t="e">
        <f>SUMPRODUCT(F28:M28,Q11:X11)</f>
        <v>#VALUE!</v>
      </c>
      <c r="AM28" s="263"/>
      <c r="AN28" s="1410" t="s">
        <v>44</v>
      </c>
      <c r="AO28" s="1411"/>
      <c r="AP28" s="53"/>
      <c r="AQ28" s="85" t="e">
        <f>SUM(AQ6:AQ27)</f>
        <v>#VALUE!</v>
      </c>
    </row>
    <row r="29" spans="2:43" ht="15" customHeight="1">
      <c r="E29" s="1020" t="s">
        <v>703</v>
      </c>
      <c r="F29" s="264" t="e">
        <f>-ROUNDUP(SUM(F6:F9,F11:F19)*$V$2/100,-1)</f>
        <v>#VALUE!</v>
      </c>
      <c r="G29" s="264" t="e">
        <f t="shared" ref="G29:M29" si="24">-ROUNDUP(SUM(G6:G9,G11:G19)*$V$2/100,-1)</f>
        <v>#VALUE!</v>
      </c>
      <c r="H29" s="264" t="e">
        <f t="shared" si="24"/>
        <v>#VALUE!</v>
      </c>
      <c r="I29" s="264" t="e">
        <f t="shared" si="24"/>
        <v>#VALUE!</v>
      </c>
      <c r="J29" s="264" t="e">
        <f t="shared" si="24"/>
        <v>#VALUE!</v>
      </c>
      <c r="K29" s="264" t="e">
        <f t="shared" si="24"/>
        <v>#VALUE!</v>
      </c>
      <c r="L29" s="264" t="e">
        <f t="shared" si="24"/>
        <v>#VALUE!</v>
      </c>
      <c r="M29" s="264" t="e">
        <f t="shared" si="24"/>
        <v>#VALUE!</v>
      </c>
      <c r="O29" s="637"/>
      <c r="P29" s="637"/>
      <c r="Q29" s="637"/>
      <c r="R29" s="637"/>
      <c r="S29" s="637"/>
      <c r="T29" s="637"/>
      <c r="U29" s="637"/>
      <c r="V29" s="63"/>
      <c r="AA29" s="62"/>
      <c r="AB29" s="62"/>
      <c r="AO29" s="1"/>
      <c r="AP29" s="57"/>
    </row>
    <row r="30" spans="2:43" ht="15" customHeight="1">
      <c r="B30" s="1412" t="s">
        <v>3</v>
      </c>
      <c r="C30" s="1415"/>
      <c r="D30" s="1415"/>
      <c r="E30" s="1416" t="s">
        <v>172</v>
      </c>
      <c r="F30" s="1418" t="s">
        <v>15</v>
      </c>
      <c r="G30" s="1418"/>
      <c r="H30" s="1418"/>
      <c r="I30" s="1418"/>
      <c r="J30" s="1418" t="s">
        <v>16</v>
      </c>
      <c r="K30" s="1418"/>
      <c r="L30" s="1418"/>
      <c r="M30" s="1418"/>
      <c r="O30" s="1449" t="s">
        <v>40</v>
      </c>
      <c r="P30" s="1446" t="s">
        <v>171</v>
      </c>
      <c r="Q30" s="1440" t="s">
        <v>15</v>
      </c>
      <c r="R30" s="1440"/>
      <c r="S30" s="1440"/>
      <c r="T30" s="1440"/>
      <c r="U30" s="1440" t="s">
        <v>16</v>
      </c>
      <c r="V30" s="1440"/>
      <c r="W30" s="1440"/>
      <c r="X30" s="1440"/>
      <c r="Y30" s="1441" t="s">
        <v>177</v>
      </c>
      <c r="Z30" s="11"/>
      <c r="AA30" s="57"/>
      <c r="AB30" s="62"/>
      <c r="AM30" s="1412" t="s">
        <v>3</v>
      </c>
      <c r="AN30" s="1415"/>
      <c r="AO30" s="1415"/>
      <c r="AP30" s="1416" t="s">
        <v>172</v>
      </c>
      <c r="AQ30" s="85"/>
    </row>
    <row r="31" spans="2:43" s="1" customFormat="1">
      <c r="B31" s="1413"/>
      <c r="C31" s="1415"/>
      <c r="D31" s="1415"/>
      <c r="E31" s="1417"/>
      <c r="F31" s="370" t="s">
        <v>6</v>
      </c>
      <c r="G31" s="370" t="s">
        <v>7</v>
      </c>
      <c r="H31" s="370" t="s">
        <v>8</v>
      </c>
      <c r="I31" s="370" t="s">
        <v>9</v>
      </c>
      <c r="J31" s="370" t="s">
        <v>6</v>
      </c>
      <c r="K31" s="370" t="s">
        <v>7</v>
      </c>
      <c r="L31" s="370" t="s">
        <v>8</v>
      </c>
      <c r="M31" s="370" t="s">
        <v>9</v>
      </c>
      <c r="N31" s="2"/>
      <c r="O31" s="1444"/>
      <c r="P31" s="1446"/>
      <c r="Q31" s="368" t="s">
        <v>6</v>
      </c>
      <c r="R31" s="368" t="s">
        <v>7</v>
      </c>
      <c r="S31" s="368" t="s">
        <v>8</v>
      </c>
      <c r="T31" s="368" t="s">
        <v>9</v>
      </c>
      <c r="U31" s="368" t="s">
        <v>6</v>
      </c>
      <c r="V31" s="368" t="s">
        <v>7</v>
      </c>
      <c r="W31" s="368" t="s">
        <v>8</v>
      </c>
      <c r="X31" s="368" t="s">
        <v>9</v>
      </c>
      <c r="Y31" s="1442"/>
      <c r="Z31" s="11"/>
      <c r="AA31" s="57"/>
      <c r="AB31" s="57"/>
      <c r="AE31" s="2"/>
      <c r="AM31" s="1413"/>
      <c r="AN31" s="1415"/>
      <c r="AO31" s="1415"/>
      <c r="AP31" s="1417"/>
      <c r="AQ31" s="85"/>
    </row>
    <row r="32" spans="2:43" s="1" customFormat="1">
      <c r="B32" s="1413"/>
      <c r="C32" s="1418" t="s">
        <v>17</v>
      </c>
      <c r="D32" s="1418"/>
      <c r="E32" s="53" t="s">
        <v>169</v>
      </c>
      <c r="F32" s="3">
        <f>単価表!AV23</f>
        <v>0</v>
      </c>
      <c r="G32" s="3">
        <f>単価表!AV25</f>
        <v>0</v>
      </c>
      <c r="H32" s="3">
        <f>単価表!AV27</f>
        <v>0</v>
      </c>
      <c r="I32" s="3">
        <f>単価表!AV29</f>
        <v>0</v>
      </c>
      <c r="J32" s="3">
        <f>単価表!AW23</f>
        <v>0</v>
      </c>
      <c r="K32" s="3">
        <f>単価表!AW25</f>
        <v>0</v>
      </c>
      <c r="L32" s="3">
        <f>単価表!AW27</f>
        <v>0</v>
      </c>
      <c r="M32" s="3">
        <f>単価表!AW29</f>
        <v>0</v>
      </c>
      <c r="O32" s="1444"/>
      <c r="P32" s="630">
        <f>P6</f>
        <v>0</v>
      </c>
      <c r="Q32" s="3">
        <f>児童数!R24</f>
        <v>0</v>
      </c>
      <c r="R32" s="3">
        <f>児童数!S24</f>
        <v>0</v>
      </c>
      <c r="S32" s="3">
        <f>児童数!T24</f>
        <v>0</v>
      </c>
      <c r="T32" s="3">
        <f>児童数!U24</f>
        <v>0</v>
      </c>
      <c r="U32" s="3">
        <f>児童数!W24</f>
        <v>0</v>
      </c>
      <c r="V32" s="3">
        <f>児童数!X24</f>
        <v>0</v>
      </c>
      <c r="W32" s="3">
        <f>児童数!Y24</f>
        <v>0</v>
      </c>
      <c r="X32" s="3">
        <f>児童数!Z24</f>
        <v>0</v>
      </c>
      <c r="Y32" s="64">
        <f>SUM(Q32:X32)</f>
        <v>0</v>
      </c>
      <c r="Z32" s="2"/>
      <c r="AA32" s="57"/>
      <c r="AB32" s="57"/>
      <c r="AM32" s="1413"/>
      <c r="AN32" s="1418" t="s">
        <v>17</v>
      </c>
      <c r="AO32" s="1418"/>
      <c r="AP32" s="53" t="s">
        <v>169</v>
      </c>
      <c r="AQ32" s="85">
        <f>SUMPRODUCT(F32:M32,$Q$37:$X$37)</f>
        <v>0</v>
      </c>
    </row>
    <row r="33" spans="2:43" s="1" customFormat="1" ht="15" customHeight="1">
      <c r="B33" s="1413"/>
      <c r="C33" s="1418"/>
      <c r="D33" s="1418"/>
      <c r="E33" s="53" t="s">
        <v>167</v>
      </c>
      <c r="F33" s="3">
        <f>単価表!AX23*基本情報!G7</f>
        <v>0</v>
      </c>
      <c r="G33" s="3">
        <f>単価表!AX25*基本情報!G7</f>
        <v>0</v>
      </c>
      <c r="H33" s="3">
        <f>単価表!AX27*基本情報!G7</f>
        <v>0</v>
      </c>
      <c r="I33" s="3">
        <f>単価表!AX29*基本情報!G7</f>
        <v>0</v>
      </c>
      <c r="J33" s="3">
        <f>単価表!AY23*基本情報!G7</f>
        <v>0</v>
      </c>
      <c r="K33" s="3">
        <f>単価表!AY25*基本情報!G7</f>
        <v>0</v>
      </c>
      <c r="L33" s="3">
        <f>単価表!AY27*基本情報!G7</f>
        <v>0</v>
      </c>
      <c r="M33" s="3">
        <f>単価表!AY29*基本情報!G7</f>
        <v>0</v>
      </c>
      <c r="O33" s="1444"/>
      <c r="P33" s="631">
        <f>P7</f>
        <v>0</v>
      </c>
      <c r="Q33" s="3">
        <f>児童数!R38</f>
        <v>0</v>
      </c>
      <c r="R33" s="3">
        <f>児童数!S38</f>
        <v>0</v>
      </c>
      <c r="S33" s="3">
        <f>児童数!T38</f>
        <v>0</v>
      </c>
      <c r="T33" s="3">
        <f>児童数!U38</f>
        <v>0</v>
      </c>
      <c r="U33" s="3">
        <f>児童数!W38</f>
        <v>0</v>
      </c>
      <c r="V33" s="3">
        <f>児童数!X38</f>
        <v>0</v>
      </c>
      <c r="W33" s="3">
        <f>児童数!Y38</f>
        <v>0</v>
      </c>
      <c r="X33" s="3">
        <f>児童数!Z38</f>
        <v>0</v>
      </c>
      <c r="Y33" s="64">
        <f t="shared" ref="Y33:Y36" si="25">SUM(Q33:X33)</f>
        <v>0</v>
      </c>
      <c r="Z33" s="2"/>
      <c r="AA33" s="62"/>
      <c r="AB33" s="57"/>
      <c r="AM33" s="1413"/>
      <c r="AN33" s="1418"/>
      <c r="AO33" s="1418"/>
      <c r="AP33" s="53" t="s">
        <v>167</v>
      </c>
      <c r="AQ33" s="85">
        <f t="shared" ref="AQ33:AQ53" si="26">SUMPRODUCT(F33:M33,$Q$37:$X$37)</f>
        <v>0</v>
      </c>
    </row>
    <row r="34" spans="2:43" ht="16.5">
      <c r="B34" s="1413"/>
      <c r="C34" s="1419" t="s">
        <v>203</v>
      </c>
      <c r="D34" s="1422" t="s">
        <v>37</v>
      </c>
      <c r="E34" s="53" t="s">
        <v>169</v>
      </c>
      <c r="F34" s="6"/>
      <c r="G34" s="3">
        <f>IF(基本情報!E5="",0,G8)</f>
        <v>0</v>
      </c>
      <c r="H34" s="6"/>
      <c r="I34" s="6"/>
      <c r="J34" s="6"/>
      <c r="K34" s="3">
        <f>IF(基本情報!E5="",0,K8)</f>
        <v>0</v>
      </c>
      <c r="L34" s="6"/>
      <c r="M34" s="6"/>
      <c r="N34" s="1"/>
      <c r="O34" s="1444"/>
      <c r="P34" s="632">
        <f>P8</f>
        <v>0</v>
      </c>
      <c r="Q34" s="3">
        <f>児童数!R52</f>
        <v>0</v>
      </c>
      <c r="R34" s="3">
        <f>児童数!S52</f>
        <v>0</v>
      </c>
      <c r="S34" s="3">
        <f>児童数!T52</f>
        <v>0</v>
      </c>
      <c r="T34" s="3">
        <f>児童数!U52</f>
        <v>0</v>
      </c>
      <c r="U34" s="3">
        <f>児童数!W52</f>
        <v>0</v>
      </c>
      <c r="V34" s="3">
        <f>児童数!X52</f>
        <v>0</v>
      </c>
      <c r="W34" s="3">
        <f>児童数!Y52</f>
        <v>0</v>
      </c>
      <c r="X34" s="3">
        <f>児童数!Z52</f>
        <v>0</v>
      </c>
      <c r="Y34" s="64">
        <f t="shared" si="25"/>
        <v>0</v>
      </c>
      <c r="AA34" s="62"/>
      <c r="AB34" s="62"/>
      <c r="AE34" s="1"/>
      <c r="AM34" s="1413"/>
      <c r="AN34" s="1419" t="s">
        <v>203</v>
      </c>
      <c r="AO34" s="1422" t="s">
        <v>37</v>
      </c>
      <c r="AP34" s="732" t="s">
        <v>559</v>
      </c>
      <c r="AQ34" s="85">
        <f t="shared" si="26"/>
        <v>0</v>
      </c>
    </row>
    <row r="35" spans="2:43">
      <c r="B35" s="1413"/>
      <c r="C35" s="1420"/>
      <c r="D35" s="1422"/>
      <c r="E35" s="53" t="s">
        <v>167</v>
      </c>
      <c r="F35" s="6"/>
      <c r="G35" s="3">
        <f>IF(基本情報!E5="",0,G9)</f>
        <v>0</v>
      </c>
      <c r="H35" s="6"/>
      <c r="I35" s="6"/>
      <c r="J35" s="6"/>
      <c r="K35" s="3">
        <f>IF(基本情報!E5="",0,K9)</f>
        <v>0</v>
      </c>
      <c r="L35" s="6"/>
      <c r="M35" s="6"/>
      <c r="O35" s="1444"/>
      <c r="P35" s="633">
        <f>P9</f>
        <v>0</v>
      </c>
      <c r="Q35" s="3">
        <f>児童数!R66</f>
        <v>0</v>
      </c>
      <c r="R35" s="3">
        <f>児童数!S66</f>
        <v>0</v>
      </c>
      <c r="S35" s="3">
        <f>児童数!T66</f>
        <v>0</v>
      </c>
      <c r="T35" s="3">
        <f>児童数!U66</f>
        <v>0</v>
      </c>
      <c r="U35" s="3">
        <f>児童数!W66</f>
        <v>0</v>
      </c>
      <c r="V35" s="3">
        <f>児童数!X66</f>
        <v>0</v>
      </c>
      <c r="W35" s="3">
        <f>児童数!Y66</f>
        <v>0</v>
      </c>
      <c r="X35" s="3">
        <f>児童数!Z66</f>
        <v>0</v>
      </c>
      <c r="Y35" s="64">
        <f t="shared" si="25"/>
        <v>0</v>
      </c>
      <c r="AA35" s="62"/>
      <c r="AB35" s="62"/>
      <c r="AM35" s="1413"/>
      <c r="AN35" s="1420"/>
      <c r="AO35" s="1422"/>
      <c r="AP35" s="53" t="s">
        <v>167</v>
      </c>
      <c r="AQ35" s="85">
        <f t="shared" si="26"/>
        <v>0</v>
      </c>
    </row>
    <row r="36" spans="2:43">
      <c r="B36" s="1413"/>
      <c r="C36" s="1420"/>
      <c r="D36" s="383" t="s">
        <v>69</v>
      </c>
      <c r="E36" s="60"/>
      <c r="F36" s="3">
        <f>IF(基本情報!E5="",0,F10)</f>
        <v>0</v>
      </c>
      <c r="G36" s="3">
        <f>$F36</f>
        <v>0</v>
      </c>
      <c r="H36" s="3">
        <f t="shared" ref="H36:L36" si="27">$F36</f>
        <v>0</v>
      </c>
      <c r="I36" s="3">
        <f t="shared" si="27"/>
        <v>0</v>
      </c>
      <c r="J36" s="3">
        <f t="shared" si="27"/>
        <v>0</v>
      </c>
      <c r="K36" s="3">
        <f t="shared" si="27"/>
        <v>0</v>
      </c>
      <c r="L36" s="3">
        <f t="shared" si="27"/>
        <v>0</v>
      </c>
      <c r="M36" s="3">
        <f>$F36</f>
        <v>0</v>
      </c>
      <c r="O36" s="1444"/>
      <c r="P36" s="634">
        <f>P10</f>
        <v>0</v>
      </c>
      <c r="Q36" s="3">
        <f>児童数!R80</f>
        <v>0</v>
      </c>
      <c r="R36" s="3">
        <f>児童数!S80</f>
        <v>0</v>
      </c>
      <c r="S36" s="3">
        <f>児童数!T80</f>
        <v>0</v>
      </c>
      <c r="T36" s="3">
        <f>児童数!U80</f>
        <v>0</v>
      </c>
      <c r="U36" s="3">
        <f>児童数!W80</f>
        <v>0</v>
      </c>
      <c r="V36" s="3">
        <f>児童数!X80</f>
        <v>0</v>
      </c>
      <c r="W36" s="3">
        <f>児童数!Y80</f>
        <v>0</v>
      </c>
      <c r="X36" s="3">
        <f>児童数!Z80</f>
        <v>0</v>
      </c>
      <c r="Y36" s="64">
        <f t="shared" si="25"/>
        <v>0</v>
      </c>
      <c r="AA36" s="62"/>
      <c r="AB36" s="62"/>
      <c r="AM36" s="1413"/>
      <c r="AN36" s="1420"/>
      <c r="AO36" s="383" t="s">
        <v>69</v>
      </c>
      <c r="AP36" s="629"/>
      <c r="AQ36" s="85">
        <f t="shared" si="26"/>
        <v>0</v>
      </c>
    </row>
    <row r="37" spans="2:43">
      <c r="B37" s="1413"/>
      <c r="C37" s="1420"/>
      <c r="D37" s="1422" t="s">
        <v>161</v>
      </c>
      <c r="E37" s="53" t="s">
        <v>169</v>
      </c>
      <c r="F37" s="3">
        <f>IF(基本情報!E5="",0,F11)</f>
        <v>0</v>
      </c>
      <c r="G37" s="3">
        <f>F37</f>
        <v>0</v>
      </c>
      <c r="H37" s="3">
        <f>IF(基本情報!E5="",0,H11)</f>
        <v>0</v>
      </c>
      <c r="I37" s="3">
        <f>H37</f>
        <v>0</v>
      </c>
      <c r="J37" s="3">
        <f>F37</f>
        <v>0</v>
      </c>
      <c r="K37" s="3">
        <f>F37</f>
        <v>0</v>
      </c>
      <c r="L37" s="3">
        <f>H37</f>
        <v>0</v>
      </c>
      <c r="M37" s="3">
        <f>H37</f>
        <v>0</v>
      </c>
      <c r="O37" s="1445"/>
      <c r="P37" s="635" t="s">
        <v>36</v>
      </c>
      <c r="Q37" s="3">
        <f>SUM(Q32:Q36)</f>
        <v>0</v>
      </c>
      <c r="R37" s="3">
        <f t="shared" ref="R37:Y37" si="28">SUM(R32:R36)</f>
        <v>0</v>
      </c>
      <c r="S37" s="3">
        <f t="shared" si="28"/>
        <v>0</v>
      </c>
      <c r="T37" s="3">
        <f t="shared" si="28"/>
        <v>0</v>
      </c>
      <c r="U37" s="3">
        <f t="shared" si="28"/>
        <v>0</v>
      </c>
      <c r="V37" s="3">
        <f t="shared" si="28"/>
        <v>0</v>
      </c>
      <c r="W37" s="3">
        <f t="shared" si="28"/>
        <v>0</v>
      </c>
      <c r="X37" s="3">
        <f t="shared" si="28"/>
        <v>0</v>
      </c>
      <c r="Y37" s="3">
        <f t="shared" si="28"/>
        <v>0</v>
      </c>
      <c r="Z37" s="55" t="s">
        <v>176</v>
      </c>
      <c r="AA37" s="71" t="str">
        <f>IF(SUM(Q37:X37)=I2,"OK",SUM(Q37:X37)-G27)</f>
        <v>OK</v>
      </c>
      <c r="AM37" s="1413"/>
      <c r="AN37" s="1420"/>
      <c r="AO37" s="1422" t="s">
        <v>161</v>
      </c>
      <c r="AP37" s="53" t="s">
        <v>169</v>
      </c>
      <c r="AQ37" s="85">
        <f t="shared" si="26"/>
        <v>0</v>
      </c>
    </row>
    <row r="38" spans="2:43">
      <c r="B38" s="1413"/>
      <c r="C38" s="1420"/>
      <c r="D38" s="1422"/>
      <c r="E38" s="53" t="s">
        <v>167</v>
      </c>
      <c r="F38" s="3">
        <f>IF(基本情報!E5="",0,F12)</f>
        <v>0</v>
      </c>
      <c r="G38" s="3">
        <f>F38</f>
        <v>0</v>
      </c>
      <c r="H38" s="3">
        <f>F38</f>
        <v>0</v>
      </c>
      <c r="I38" s="3">
        <f>F38</f>
        <v>0</v>
      </c>
      <c r="J38" s="3">
        <f>F38</f>
        <v>0</v>
      </c>
      <c r="K38" s="3">
        <f>F38</f>
        <v>0</v>
      </c>
      <c r="L38" s="3">
        <f>F38</f>
        <v>0</v>
      </c>
      <c r="M38" s="3">
        <f>F38</f>
        <v>0</v>
      </c>
      <c r="O38" s="58"/>
      <c r="P38" s="58"/>
      <c r="Q38" s="10"/>
      <c r="R38" s="10"/>
      <c r="S38" s="10"/>
      <c r="T38" s="10"/>
      <c r="U38" s="10"/>
      <c r="V38" s="10"/>
      <c r="W38" s="10"/>
      <c r="X38" s="10"/>
      <c r="Y38" s="11"/>
      <c r="Z38" s="11"/>
      <c r="AM38" s="1413"/>
      <c r="AN38" s="1420"/>
      <c r="AO38" s="1422"/>
      <c r="AP38" s="53" t="s">
        <v>167</v>
      </c>
      <c r="AQ38" s="85">
        <f t="shared" si="26"/>
        <v>0</v>
      </c>
    </row>
    <row r="39" spans="2:43" ht="16.5">
      <c r="B39" s="1413"/>
      <c r="C39" s="1420"/>
      <c r="D39" s="366" t="s">
        <v>162</v>
      </c>
      <c r="E39" s="59"/>
      <c r="F39" s="3">
        <f>IF(基本情報!E5="",0,F13)</f>
        <v>0</v>
      </c>
      <c r="G39" s="3">
        <f>$F39</f>
        <v>0</v>
      </c>
      <c r="H39" s="3">
        <f t="shared" ref="H39:M39" si="29">$F39</f>
        <v>0</v>
      </c>
      <c r="I39" s="3">
        <f t="shared" si="29"/>
        <v>0</v>
      </c>
      <c r="J39" s="3">
        <f t="shared" si="29"/>
        <v>0</v>
      </c>
      <c r="K39" s="3">
        <f t="shared" si="29"/>
        <v>0</v>
      </c>
      <c r="L39" s="3">
        <f t="shared" si="29"/>
        <v>0</v>
      </c>
      <c r="M39" s="3">
        <f t="shared" si="29"/>
        <v>0</v>
      </c>
      <c r="O39" s="1443" t="s">
        <v>189</v>
      </c>
      <c r="P39" s="1446" t="s">
        <v>171</v>
      </c>
      <c r="Q39" s="1440" t="s">
        <v>15</v>
      </c>
      <c r="R39" s="1440"/>
      <c r="S39" s="1440"/>
      <c r="T39" s="1440"/>
      <c r="U39" s="1440" t="s">
        <v>16</v>
      </c>
      <c r="V39" s="1440"/>
      <c r="W39" s="1440"/>
      <c r="X39" s="1440"/>
      <c r="Y39" s="1441" t="s">
        <v>177</v>
      </c>
      <c r="AM39" s="1413"/>
      <c r="AN39" s="1420"/>
      <c r="AO39" s="720" t="s">
        <v>162</v>
      </c>
      <c r="AP39" s="731" t="s">
        <v>353</v>
      </c>
      <c r="AQ39" s="85">
        <f t="shared" si="26"/>
        <v>0</v>
      </c>
    </row>
    <row r="40" spans="2:43" ht="16.5">
      <c r="B40" s="1413"/>
      <c r="C40" s="1420"/>
      <c r="D40" s="366" t="s">
        <v>54</v>
      </c>
      <c r="E40" s="59"/>
      <c r="F40" s="3">
        <f>IF(基本情報!E5="",0,F14)</f>
        <v>0</v>
      </c>
      <c r="G40" s="3">
        <f t="shared" ref="G40:M42" si="30">$F40</f>
        <v>0</v>
      </c>
      <c r="H40" s="3">
        <f t="shared" si="30"/>
        <v>0</v>
      </c>
      <c r="I40" s="3">
        <f t="shared" si="30"/>
        <v>0</v>
      </c>
      <c r="J40" s="3">
        <f t="shared" si="30"/>
        <v>0</v>
      </c>
      <c r="K40" s="3">
        <f t="shared" si="30"/>
        <v>0</v>
      </c>
      <c r="L40" s="3">
        <f t="shared" si="30"/>
        <v>0</v>
      </c>
      <c r="M40" s="3">
        <f t="shared" si="30"/>
        <v>0</v>
      </c>
      <c r="O40" s="1444"/>
      <c r="P40" s="1446"/>
      <c r="Q40" s="368" t="s">
        <v>6</v>
      </c>
      <c r="R40" s="368" t="s">
        <v>7</v>
      </c>
      <c r="S40" s="368" t="s">
        <v>8</v>
      </c>
      <c r="T40" s="368" t="s">
        <v>9</v>
      </c>
      <c r="U40" s="368" t="s">
        <v>6</v>
      </c>
      <c r="V40" s="368" t="s">
        <v>7</v>
      </c>
      <c r="W40" s="368" t="s">
        <v>8</v>
      </c>
      <c r="X40" s="368" t="s">
        <v>9</v>
      </c>
      <c r="Y40" s="1442"/>
      <c r="AM40" s="1413"/>
      <c r="AN40" s="1420"/>
      <c r="AO40" s="720" t="s">
        <v>54</v>
      </c>
      <c r="AP40" s="731" t="s">
        <v>353</v>
      </c>
      <c r="AQ40" s="85">
        <f t="shared" si="26"/>
        <v>0</v>
      </c>
    </row>
    <row r="41" spans="2:43" ht="16.5">
      <c r="B41" s="1413"/>
      <c r="C41" s="1420"/>
      <c r="D41" s="1422" t="s">
        <v>38</v>
      </c>
      <c r="E41" s="53" t="s">
        <v>169</v>
      </c>
      <c r="F41" s="3">
        <f>IF(基本情報!E5="",0,F15)</f>
        <v>0</v>
      </c>
      <c r="G41" s="3">
        <f t="shared" si="30"/>
        <v>0</v>
      </c>
      <c r="H41" s="3">
        <f t="shared" si="30"/>
        <v>0</v>
      </c>
      <c r="I41" s="3">
        <f t="shared" si="30"/>
        <v>0</v>
      </c>
      <c r="J41" s="3">
        <f t="shared" si="30"/>
        <v>0</v>
      </c>
      <c r="K41" s="3">
        <f t="shared" si="30"/>
        <v>0</v>
      </c>
      <c r="L41" s="3">
        <f t="shared" si="30"/>
        <v>0</v>
      </c>
      <c r="M41" s="3">
        <f t="shared" si="30"/>
        <v>0</v>
      </c>
      <c r="O41" s="1444"/>
      <c r="P41" s="630">
        <f>P32</f>
        <v>0</v>
      </c>
      <c r="Q41" s="3">
        <f t="shared" ref="Q41:X41" si="31">F54*Q32</f>
        <v>0</v>
      </c>
      <c r="R41" s="3">
        <f t="shared" si="31"/>
        <v>0</v>
      </c>
      <c r="S41" s="3">
        <f t="shared" si="31"/>
        <v>0</v>
      </c>
      <c r="T41" s="3">
        <f t="shared" si="31"/>
        <v>0</v>
      </c>
      <c r="U41" s="3">
        <f t="shared" si="31"/>
        <v>0</v>
      </c>
      <c r="V41" s="3">
        <f t="shared" si="31"/>
        <v>0</v>
      </c>
      <c r="W41" s="3">
        <f t="shared" si="31"/>
        <v>0</v>
      </c>
      <c r="X41" s="3">
        <f t="shared" si="31"/>
        <v>0</v>
      </c>
      <c r="Y41" s="3">
        <f>SUM(Q41:X41)</f>
        <v>0</v>
      </c>
      <c r="AM41" s="1413"/>
      <c r="AN41" s="1420"/>
      <c r="AO41" s="1422" t="s">
        <v>38</v>
      </c>
      <c r="AP41" s="732" t="s">
        <v>559</v>
      </c>
      <c r="AQ41" s="85">
        <f t="shared" si="26"/>
        <v>0</v>
      </c>
    </row>
    <row r="42" spans="2:43">
      <c r="B42" s="1413"/>
      <c r="C42" s="1421"/>
      <c r="D42" s="1422"/>
      <c r="E42" s="53" t="s">
        <v>167</v>
      </c>
      <c r="F42" s="3">
        <f>IF(基本情報!E5="",0,F16)</f>
        <v>0</v>
      </c>
      <c r="G42" s="3">
        <f t="shared" si="30"/>
        <v>0</v>
      </c>
      <c r="H42" s="3">
        <f t="shared" si="30"/>
        <v>0</v>
      </c>
      <c r="I42" s="3">
        <f t="shared" si="30"/>
        <v>0</v>
      </c>
      <c r="J42" s="3">
        <f t="shared" si="30"/>
        <v>0</v>
      </c>
      <c r="K42" s="3">
        <f t="shared" si="30"/>
        <v>0</v>
      </c>
      <c r="L42" s="3">
        <f t="shared" si="30"/>
        <v>0</v>
      </c>
      <c r="M42" s="3">
        <f>$F42</f>
        <v>0</v>
      </c>
      <c r="O42" s="1444"/>
      <c r="P42" s="631">
        <f>P33</f>
        <v>0</v>
      </c>
      <c r="Q42" s="3">
        <f t="shared" ref="Q42:X42" si="32">F54*Q33</f>
        <v>0</v>
      </c>
      <c r="R42" s="3">
        <f t="shared" si="32"/>
        <v>0</v>
      </c>
      <c r="S42" s="3">
        <f t="shared" si="32"/>
        <v>0</v>
      </c>
      <c r="T42" s="3">
        <f t="shared" si="32"/>
        <v>0</v>
      </c>
      <c r="U42" s="3">
        <f t="shared" si="32"/>
        <v>0</v>
      </c>
      <c r="V42" s="3">
        <f t="shared" si="32"/>
        <v>0</v>
      </c>
      <c r="W42" s="3">
        <f t="shared" si="32"/>
        <v>0</v>
      </c>
      <c r="X42" s="3">
        <f t="shared" si="32"/>
        <v>0</v>
      </c>
      <c r="Y42" s="3">
        <f t="shared" ref="Y42:Y45" si="33">SUM(Q42:X42)</f>
        <v>0</v>
      </c>
      <c r="AM42" s="1413"/>
      <c r="AN42" s="1421"/>
      <c r="AO42" s="1422"/>
      <c r="AP42" s="53" t="s">
        <v>167</v>
      </c>
      <c r="AQ42" s="85">
        <f t="shared" si="26"/>
        <v>0</v>
      </c>
    </row>
    <row r="43" spans="2:43">
      <c r="B43" s="1413"/>
      <c r="C43" s="1423" t="s">
        <v>205</v>
      </c>
      <c r="D43" s="371" t="s">
        <v>164</v>
      </c>
      <c r="E43" s="60"/>
      <c r="F43" s="3">
        <f t="shared" ref="F43:M43" si="34">-ROUNDDOWN((F32+F33)*$P$2%,-1)</f>
        <v>0</v>
      </c>
      <c r="G43" s="3">
        <f t="shared" si="34"/>
        <v>0</v>
      </c>
      <c r="H43" s="3">
        <f t="shared" si="34"/>
        <v>0</v>
      </c>
      <c r="I43" s="3">
        <f t="shared" si="34"/>
        <v>0</v>
      </c>
      <c r="J43" s="3">
        <f t="shared" si="34"/>
        <v>0</v>
      </c>
      <c r="K43" s="3">
        <f t="shared" si="34"/>
        <v>0</v>
      </c>
      <c r="L43" s="3">
        <f t="shared" si="34"/>
        <v>0</v>
      </c>
      <c r="M43" s="3">
        <f t="shared" si="34"/>
        <v>0</v>
      </c>
      <c r="O43" s="1444"/>
      <c r="P43" s="632">
        <f>P34</f>
        <v>0</v>
      </c>
      <c r="Q43" s="3">
        <f t="shared" ref="Q43:X43" si="35">F54*Q34</f>
        <v>0</v>
      </c>
      <c r="R43" s="3">
        <f t="shared" si="35"/>
        <v>0</v>
      </c>
      <c r="S43" s="3">
        <f t="shared" si="35"/>
        <v>0</v>
      </c>
      <c r="T43" s="3">
        <f t="shared" si="35"/>
        <v>0</v>
      </c>
      <c r="U43" s="3">
        <f t="shared" si="35"/>
        <v>0</v>
      </c>
      <c r="V43" s="3">
        <f t="shared" si="35"/>
        <v>0</v>
      </c>
      <c r="W43" s="3">
        <f t="shared" si="35"/>
        <v>0</v>
      </c>
      <c r="X43" s="3">
        <f t="shared" si="35"/>
        <v>0</v>
      </c>
      <c r="Y43" s="3">
        <f t="shared" si="33"/>
        <v>0</v>
      </c>
      <c r="AM43" s="1413"/>
      <c r="AN43" s="1423" t="s">
        <v>205</v>
      </c>
      <c r="AO43" s="717" t="s">
        <v>164</v>
      </c>
      <c r="AP43" s="60"/>
      <c r="AQ43" s="85">
        <f t="shared" si="26"/>
        <v>0</v>
      </c>
    </row>
    <row r="44" spans="2:43">
      <c r="B44" s="1413"/>
      <c r="C44" s="1423"/>
      <c r="D44" s="1424" t="s">
        <v>43</v>
      </c>
      <c r="E44" s="53" t="s">
        <v>169</v>
      </c>
      <c r="F44" s="74">
        <f>-IF(加算と減算!G32="○",単価表!AZ23,0)</f>
        <v>0</v>
      </c>
      <c r="G44" s="74">
        <f>F44</f>
        <v>0</v>
      </c>
      <c r="H44" s="74">
        <f>F44</f>
        <v>0</v>
      </c>
      <c r="I44" s="74">
        <f>F44</f>
        <v>0</v>
      </c>
      <c r="J44" s="74">
        <f>F44</f>
        <v>0</v>
      </c>
      <c r="K44" s="74">
        <f>F44</f>
        <v>0</v>
      </c>
      <c r="L44" s="74">
        <f>F44</f>
        <v>0</v>
      </c>
      <c r="M44" s="74">
        <f>F44</f>
        <v>0</v>
      </c>
      <c r="O44" s="1444"/>
      <c r="P44" s="633">
        <f>P35</f>
        <v>0</v>
      </c>
      <c r="Q44" s="3">
        <f t="shared" ref="Q44:X44" si="36">F54*Q35</f>
        <v>0</v>
      </c>
      <c r="R44" s="3">
        <f t="shared" si="36"/>
        <v>0</v>
      </c>
      <c r="S44" s="3">
        <f t="shared" si="36"/>
        <v>0</v>
      </c>
      <c r="T44" s="3">
        <f t="shared" si="36"/>
        <v>0</v>
      </c>
      <c r="U44" s="3">
        <f t="shared" si="36"/>
        <v>0</v>
      </c>
      <c r="V44" s="3">
        <f t="shared" si="36"/>
        <v>0</v>
      </c>
      <c r="W44" s="3">
        <f t="shared" si="36"/>
        <v>0</v>
      </c>
      <c r="X44" s="3">
        <f t="shared" si="36"/>
        <v>0</v>
      </c>
      <c r="Y44" s="3">
        <f t="shared" si="33"/>
        <v>0</v>
      </c>
      <c r="AM44" s="1413"/>
      <c r="AN44" s="1423"/>
      <c r="AO44" s="1424" t="s">
        <v>43</v>
      </c>
      <c r="AP44" s="53" t="s">
        <v>169</v>
      </c>
      <c r="AQ44" s="85">
        <f t="shared" si="26"/>
        <v>0</v>
      </c>
    </row>
    <row r="45" spans="2:43">
      <c r="B45" s="1413"/>
      <c r="C45" s="1423"/>
      <c r="D45" s="1424"/>
      <c r="E45" s="53" t="s">
        <v>167</v>
      </c>
      <c r="F45" s="74">
        <f>-IF(加算と減算!G32="○",単価表!BA23*基本情報!G7,0)</f>
        <v>0</v>
      </c>
      <c r="G45" s="74">
        <f>F45</f>
        <v>0</v>
      </c>
      <c r="H45" s="74">
        <f>F45</f>
        <v>0</v>
      </c>
      <c r="I45" s="74">
        <f>F45</f>
        <v>0</v>
      </c>
      <c r="J45" s="74">
        <f>F45</f>
        <v>0</v>
      </c>
      <c r="K45" s="74">
        <f>F45</f>
        <v>0</v>
      </c>
      <c r="L45" s="74">
        <f>F45</f>
        <v>0</v>
      </c>
      <c r="M45" s="74">
        <f>F45</f>
        <v>0</v>
      </c>
      <c r="O45" s="1444"/>
      <c r="P45" s="634">
        <f>P36</f>
        <v>0</v>
      </c>
      <c r="Q45" s="3">
        <f t="shared" ref="Q45:X45" si="37">F54*Q36</f>
        <v>0</v>
      </c>
      <c r="R45" s="3">
        <f t="shared" si="37"/>
        <v>0</v>
      </c>
      <c r="S45" s="3">
        <f t="shared" si="37"/>
        <v>0</v>
      </c>
      <c r="T45" s="3">
        <f t="shared" si="37"/>
        <v>0</v>
      </c>
      <c r="U45" s="3">
        <f t="shared" si="37"/>
        <v>0</v>
      </c>
      <c r="V45" s="3">
        <f t="shared" si="37"/>
        <v>0</v>
      </c>
      <c r="W45" s="3">
        <f t="shared" si="37"/>
        <v>0</v>
      </c>
      <c r="X45" s="3">
        <f t="shared" si="37"/>
        <v>0</v>
      </c>
      <c r="Y45" s="3">
        <f t="shared" si="33"/>
        <v>0</v>
      </c>
      <c r="AM45" s="1413"/>
      <c r="AN45" s="1423"/>
      <c r="AO45" s="1424"/>
      <c r="AP45" s="53" t="s">
        <v>167</v>
      </c>
      <c r="AQ45" s="85">
        <f t="shared" si="26"/>
        <v>0</v>
      </c>
    </row>
    <row r="46" spans="2:43">
      <c r="B46" s="1413"/>
      <c r="C46" s="1423"/>
      <c r="D46" s="371" t="s">
        <v>165</v>
      </c>
      <c r="E46" s="60"/>
      <c r="F46" s="74">
        <f t="shared" ref="F46:M46" si="38">-ROUNDDOWN((F32+F33+F37+F38+F34+F35)*$T$2/100,-1)</f>
        <v>0</v>
      </c>
      <c r="G46" s="74">
        <f t="shared" si="38"/>
        <v>0</v>
      </c>
      <c r="H46" s="74">
        <f t="shared" si="38"/>
        <v>0</v>
      </c>
      <c r="I46" s="74">
        <f t="shared" si="38"/>
        <v>0</v>
      </c>
      <c r="J46" s="74">
        <f t="shared" si="38"/>
        <v>0</v>
      </c>
      <c r="K46" s="74">
        <f t="shared" si="38"/>
        <v>0</v>
      </c>
      <c r="L46" s="74">
        <f t="shared" si="38"/>
        <v>0</v>
      </c>
      <c r="M46" s="74">
        <f t="shared" si="38"/>
        <v>0</v>
      </c>
      <c r="O46" s="1445"/>
      <c r="P46" s="635" t="s">
        <v>36</v>
      </c>
      <c r="Q46" s="3">
        <f>SUM(Q41:Q45)</f>
        <v>0</v>
      </c>
      <c r="R46" s="3">
        <f t="shared" ref="R46:Y46" si="39">SUM(R41:R45)</f>
        <v>0</v>
      </c>
      <c r="S46" s="3">
        <f t="shared" si="39"/>
        <v>0</v>
      </c>
      <c r="T46" s="3">
        <f t="shared" si="39"/>
        <v>0</v>
      </c>
      <c r="U46" s="3">
        <f t="shared" si="39"/>
        <v>0</v>
      </c>
      <c r="V46" s="3">
        <f t="shared" si="39"/>
        <v>0</v>
      </c>
      <c r="W46" s="3">
        <f t="shared" si="39"/>
        <v>0</v>
      </c>
      <c r="X46" s="3">
        <f t="shared" si="39"/>
        <v>0</v>
      </c>
      <c r="Y46" s="3">
        <f t="shared" si="39"/>
        <v>0</v>
      </c>
      <c r="AM46" s="1413"/>
      <c r="AN46" s="1423"/>
      <c r="AO46" s="717" t="s">
        <v>165</v>
      </c>
      <c r="AP46" s="60"/>
      <c r="AQ46" s="85">
        <f t="shared" si="26"/>
        <v>0</v>
      </c>
    </row>
    <row r="47" spans="2:43" ht="15" customHeight="1">
      <c r="B47" s="1413"/>
      <c r="C47" s="1423"/>
      <c r="D47" s="371" t="s">
        <v>166</v>
      </c>
      <c r="E47" s="60"/>
      <c r="F47" s="74">
        <f t="shared" ref="F47:M47" si="40">-ROUNDUP(SUM(F32:F46)*$W$2/100,-1)</f>
        <v>0</v>
      </c>
      <c r="G47" s="74">
        <f t="shared" si="40"/>
        <v>0</v>
      </c>
      <c r="H47" s="74">
        <f t="shared" si="40"/>
        <v>0</v>
      </c>
      <c r="I47" s="74">
        <f t="shared" si="40"/>
        <v>0</v>
      </c>
      <c r="J47" s="74">
        <f t="shared" si="40"/>
        <v>0</v>
      </c>
      <c r="K47" s="74">
        <f t="shared" si="40"/>
        <v>0</v>
      </c>
      <c r="L47" s="74">
        <f t="shared" si="40"/>
        <v>0</v>
      </c>
      <c r="M47" s="74">
        <f t="shared" si="40"/>
        <v>0</v>
      </c>
      <c r="O47" s="8"/>
      <c r="P47" s="58"/>
      <c r="Q47" s="7"/>
      <c r="R47" s="7"/>
      <c r="S47" s="7"/>
      <c r="T47" s="7"/>
      <c r="U47" s="7"/>
      <c r="V47" s="7"/>
      <c r="W47" s="7"/>
      <c r="X47" s="7"/>
      <c r="Y47" s="4"/>
      <c r="Z47" s="4"/>
      <c r="AM47" s="1413"/>
      <c r="AN47" s="1423"/>
      <c r="AO47" s="717" t="s">
        <v>166</v>
      </c>
      <c r="AP47" s="60"/>
      <c r="AQ47" s="85">
        <f t="shared" si="26"/>
        <v>0</v>
      </c>
    </row>
    <row r="48" spans="2:43" ht="15" customHeight="1">
      <c r="B48" s="1413"/>
      <c r="C48" s="1419" t="s">
        <v>204</v>
      </c>
      <c r="D48" s="366" t="s">
        <v>18</v>
      </c>
      <c r="E48" s="59"/>
      <c r="F48" s="3">
        <f>IF(基本情報!E5="",0,F21)</f>
        <v>0</v>
      </c>
      <c r="G48" s="3">
        <f>$F48</f>
        <v>0</v>
      </c>
      <c r="H48" s="3">
        <f t="shared" ref="H48:M48" si="41">$F48</f>
        <v>0</v>
      </c>
      <c r="I48" s="3">
        <f t="shared" si="41"/>
        <v>0</v>
      </c>
      <c r="J48" s="3">
        <f t="shared" si="41"/>
        <v>0</v>
      </c>
      <c r="K48" s="3">
        <f t="shared" si="41"/>
        <v>0</v>
      </c>
      <c r="L48" s="3">
        <f t="shared" si="41"/>
        <v>0</v>
      </c>
      <c r="M48" s="3">
        <f t="shared" si="41"/>
        <v>0</v>
      </c>
      <c r="O48" s="1443" t="s">
        <v>180</v>
      </c>
      <c r="P48" s="367" t="s">
        <v>171</v>
      </c>
      <c r="Q48" s="61" t="s">
        <v>178</v>
      </c>
      <c r="R48" s="40" t="s">
        <v>179</v>
      </c>
      <c r="S48" s="4"/>
      <c r="T48" s="1443" t="s">
        <v>190</v>
      </c>
      <c r="U48" s="367" t="s">
        <v>171</v>
      </c>
      <c r="V48" s="40" t="s">
        <v>179</v>
      </c>
      <c r="X48" s="1431" t="s">
        <v>186</v>
      </c>
      <c r="Y48" s="1431"/>
      <c r="AM48" s="1413"/>
      <c r="AN48" s="1419" t="s">
        <v>204</v>
      </c>
      <c r="AO48" s="720" t="s">
        <v>18</v>
      </c>
      <c r="AP48" s="732" t="s">
        <v>559</v>
      </c>
      <c r="AQ48" s="85">
        <f t="shared" si="26"/>
        <v>0</v>
      </c>
    </row>
    <row r="49" spans="2:43" ht="16.5">
      <c r="B49" s="1413"/>
      <c r="C49" s="1420"/>
      <c r="D49" s="366" t="s">
        <v>62</v>
      </c>
      <c r="E49" s="59"/>
      <c r="F49" s="3">
        <f>IF(基本情報!E5="",0,F22)</f>
        <v>0</v>
      </c>
      <c r="G49" s="3">
        <f t="shared" ref="G49:M53" si="42">$F49</f>
        <v>0</v>
      </c>
      <c r="H49" s="3">
        <f t="shared" si="42"/>
        <v>0</v>
      </c>
      <c r="I49" s="3">
        <f t="shared" si="42"/>
        <v>0</v>
      </c>
      <c r="J49" s="3">
        <f t="shared" si="42"/>
        <v>0</v>
      </c>
      <c r="K49" s="3">
        <f t="shared" si="42"/>
        <v>0</v>
      </c>
      <c r="L49" s="3">
        <f t="shared" si="42"/>
        <v>0</v>
      </c>
      <c r="M49" s="3">
        <f t="shared" si="42"/>
        <v>0</v>
      </c>
      <c r="O49" s="1444"/>
      <c r="P49" s="630">
        <f>P32</f>
        <v>0</v>
      </c>
      <c r="Q49" s="3">
        <f>児童数!AF24</f>
        <v>0</v>
      </c>
      <c r="R49" s="64">
        <f>4500*Q49</f>
        <v>0</v>
      </c>
      <c r="S49" s="4"/>
      <c r="T49" s="1444"/>
      <c r="U49" s="630">
        <f>P32</f>
        <v>0</v>
      </c>
      <c r="V49" s="65">
        <f>Y41+R49</f>
        <v>0</v>
      </c>
      <c r="X49" s="630">
        <f>P32</f>
        <v>0</v>
      </c>
      <c r="Y49" s="65" t="e">
        <f>V23+V49</f>
        <v>#VALUE!</v>
      </c>
      <c r="AM49" s="1413"/>
      <c r="AN49" s="1420"/>
      <c r="AO49" s="720" t="s">
        <v>62</v>
      </c>
      <c r="AP49" s="732" t="s">
        <v>559</v>
      </c>
      <c r="AQ49" s="85">
        <f t="shared" si="26"/>
        <v>0</v>
      </c>
    </row>
    <row r="50" spans="2:43" ht="16.5">
      <c r="B50" s="1413"/>
      <c r="C50" s="1420"/>
      <c r="D50" s="366" t="s">
        <v>19</v>
      </c>
      <c r="E50" s="59"/>
      <c r="F50" s="3">
        <f>IF(基本情報!E5="",0,F23)</f>
        <v>0</v>
      </c>
      <c r="G50" s="3">
        <f t="shared" si="42"/>
        <v>0</v>
      </c>
      <c r="H50" s="3">
        <f t="shared" si="42"/>
        <v>0</v>
      </c>
      <c r="I50" s="3">
        <f t="shared" si="42"/>
        <v>0</v>
      </c>
      <c r="J50" s="3">
        <f t="shared" si="42"/>
        <v>0</v>
      </c>
      <c r="K50" s="3">
        <f t="shared" si="42"/>
        <v>0</v>
      </c>
      <c r="L50" s="3">
        <f t="shared" si="42"/>
        <v>0</v>
      </c>
      <c r="M50" s="3">
        <f t="shared" si="42"/>
        <v>0</v>
      </c>
      <c r="O50" s="1444"/>
      <c r="P50" s="631">
        <f>P33</f>
        <v>0</v>
      </c>
      <c r="Q50" s="3">
        <f>児童数!AF38</f>
        <v>0</v>
      </c>
      <c r="R50" s="64">
        <f t="shared" ref="R50:R53" si="43">4500*Q50</f>
        <v>0</v>
      </c>
      <c r="S50" s="4"/>
      <c r="T50" s="1444"/>
      <c r="U50" s="631">
        <f>P33</f>
        <v>0</v>
      </c>
      <c r="V50" s="66">
        <f>Y42+R50</f>
        <v>0</v>
      </c>
      <c r="X50" s="631">
        <f>P33</f>
        <v>0</v>
      </c>
      <c r="Y50" s="66" t="e">
        <f>V24+V50</f>
        <v>#VALUE!</v>
      </c>
      <c r="AM50" s="1413"/>
      <c r="AN50" s="1420"/>
      <c r="AO50" s="720" t="s">
        <v>19</v>
      </c>
      <c r="AP50" s="732" t="s">
        <v>559</v>
      </c>
      <c r="AQ50" s="85">
        <f t="shared" si="26"/>
        <v>0</v>
      </c>
    </row>
    <row r="51" spans="2:43" ht="16.5">
      <c r="B51" s="1413"/>
      <c r="C51" s="1420"/>
      <c r="D51" s="366" t="s">
        <v>41</v>
      </c>
      <c r="E51" s="59"/>
      <c r="F51" s="3">
        <f>IF(基本情報!E5="",0,F24)</f>
        <v>0</v>
      </c>
      <c r="G51" s="3">
        <f t="shared" si="42"/>
        <v>0</v>
      </c>
      <c r="H51" s="3">
        <f t="shared" si="42"/>
        <v>0</v>
      </c>
      <c r="I51" s="3">
        <f t="shared" si="42"/>
        <v>0</v>
      </c>
      <c r="J51" s="3">
        <f t="shared" si="42"/>
        <v>0</v>
      </c>
      <c r="K51" s="3">
        <f t="shared" si="42"/>
        <v>0</v>
      </c>
      <c r="L51" s="3">
        <f t="shared" si="42"/>
        <v>0</v>
      </c>
      <c r="M51" s="3">
        <f t="shared" si="42"/>
        <v>0</v>
      </c>
      <c r="O51" s="1444"/>
      <c r="P51" s="632">
        <f>P34</f>
        <v>0</v>
      </c>
      <c r="Q51" s="3">
        <f>児童数!AF52</f>
        <v>0</v>
      </c>
      <c r="R51" s="64">
        <f t="shared" si="43"/>
        <v>0</v>
      </c>
      <c r="S51" s="4"/>
      <c r="T51" s="1444"/>
      <c r="U51" s="632">
        <f>P34</f>
        <v>0</v>
      </c>
      <c r="V51" s="67">
        <f>Y43+R51</f>
        <v>0</v>
      </c>
      <c r="X51" s="632">
        <f>P34</f>
        <v>0</v>
      </c>
      <c r="Y51" s="67" t="e">
        <f>V25+V51</f>
        <v>#VALUE!</v>
      </c>
      <c r="AM51" s="1413"/>
      <c r="AN51" s="1420"/>
      <c r="AO51" s="720" t="s">
        <v>41</v>
      </c>
      <c r="AP51" s="732" t="s">
        <v>559</v>
      </c>
      <c r="AQ51" s="85">
        <f t="shared" si="26"/>
        <v>0</v>
      </c>
    </row>
    <row r="52" spans="2:43" ht="16.5">
      <c r="B52" s="1413"/>
      <c r="C52" s="1420"/>
      <c r="D52" s="366" t="s">
        <v>42</v>
      </c>
      <c r="E52" s="59"/>
      <c r="F52" s="3">
        <f>IF(基本情報!E5="",0,F25)</f>
        <v>0</v>
      </c>
      <c r="G52" s="3">
        <f t="shared" si="42"/>
        <v>0</v>
      </c>
      <c r="H52" s="3">
        <f t="shared" si="42"/>
        <v>0</v>
      </c>
      <c r="I52" s="3">
        <f t="shared" si="42"/>
        <v>0</v>
      </c>
      <c r="J52" s="3">
        <f t="shared" si="42"/>
        <v>0</v>
      </c>
      <c r="K52" s="3">
        <f t="shared" si="42"/>
        <v>0</v>
      </c>
      <c r="L52" s="3">
        <f t="shared" si="42"/>
        <v>0</v>
      </c>
      <c r="M52" s="3">
        <f t="shared" si="42"/>
        <v>0</v>
      </c>
      <c r="O52" s="1444"/>
      <c r="P52" s="633">
        <f>P35</f>
        <v>0</v>
      </c>
      <c r="Q52" s="3">
        <f>児童数!AF66</f>
        <v>0</v>
      </c>
      <c r="R52" s="64">
        <f t="shared" si="43"/>
        <v>0</v>
      </c>
      <c r="S52" s="4"/>
      <c r="T52" s="1444"/>
      <c r="U52" s="633">
        <f>P35</f>
        <v>0</v>
      </c>
      <c r="V52" s="68">
        <f>Y44+R52</f>
        <v>0</v>
      </c>
      <c r="X52" s="633">
        <f>P35</f>
        <v>0</v>
      </c>
      <c r="Y52" s="68" t="e">
        <f>V26+V52</f>
        <v>#VALUE!</v>
      </c>
      <c r="AM52" s="1413"/>
      <c r="AN52" s="1420"/>
      <c r="AO52" s="720" t="s">
        <v>42</v>
      </c>
      <c r="AP52" s="731" t="s">
        <v>353</v>
      </c>
      <c r="AQ52" s="85">
        <f t="shared" si="26"/>
        <v>0</v>
      </c>
    </row>
    <row r="53" spans="2:43" ht="16.5">
      <c r="B53" s="1413"/>
      <c r="C53" s="1421"/>
      <c r="D53" s="366" t="s">
        <v>80</v>
      </c>
      <c r="E53" s="59"/>
      <c r="F53" s="3">
        <f>IF(基本情報!E5="",0,F26)</f>
        <v>0</v>
      </c>
      <c r="G53" s="3">
        <f>$F53</f>
        <v>0</v>
      </c>
      <c r="H53" s="3">
        <f t="shared" si="42"/>
        <v>0</v>
      </c>
      <c r="I53" s="3">
        <f t="shared" si="42"/>
        <v>0</v>
      </c>
      <c r="J53" s="3">
        <f t="shared" si="42"/>
        <v>0</v>
      </c>
      <c r="K53" s="3">
        <f t="shared" si="42"/>
        <v>0</v>
      </c>
      <c r="L53" s="3">
        <f t="shared" si="42"/>
        <v>0</v>
      </c>
      <c r="M53" s="3">
        <f t="shared" si="42"/>
        <v>0</v>
      </c>
      <c r="O53" s="1444"/>
      <c r="P53" s="634">
        <f>P36</f>
        <v>0</v>
      </c>
      <c r="Q53" s="3">
        <f>児童数!AF80</f>
        <v>0</v>
      </c>
      <c r="R53" s="64">
        <f t="shared" si="43"/>
        <v>0</v>
      </c>
      <c r="S53" s="4"/>
      <c r="T53" s="1444"/>
      <c r="U53" s="634">
        <f>P36</f>
        <v>0</v>
      </c>
      <c r="V53" s="69">
        <f>Y45+R53</f>
        <v>0</v>
      </c>
      <c r="X53" s="634">
        <f>P36</f>
        <v>0</v>
      </c>
      <c r="Y53" s="69" t="e">
        <f>V27+V53</f>
        <v>#VALUE!</v>
      </c>
      <c r="AM53" s="1413"/>
      <c r="AN53" s="1421"/>
      <c r="AO53" s="720" t="s">
        <v>80</v>
      </c>
      <c r="AP53" s="731" t="s">
        <v>353</v>
      </c>
      <c r="AQ53" s="85">
        <f t="shared" si="26"/>
        <v>0</v>
      </c>
    </row>
    <row r="54" spans="2:43" ht="17.25" thickBot="1">
      <c r="B54" s="1414"/>
      <c r="C54" s="1410" t="s">
        <v>44</v>
      </c>
      <c r="D54" s="1411"/>
      <c r="E54" s="53"/>
      <c r="F54" s="5">
        <f t="shared" ref="F54:M54" si="44">SUM(F32:F53)</f>
        <v>0</v>
      </c>
      <c r="G54" s="5">
        <f t="shared" si="44"/>
        <v>0</v>
      </c>
      <c r="H54" s="5">
        <f t="shared" si="44"/>
        <v>0</v>
      </c>
      <c r="I54" s="5">
        <f t="shared" si="44"/>
        <v>0</v>
      </c>
      <c r="J54" s="5">
        <f t="shared" si="44"/>
        <v>0</v>
      </c>
      <c r="K54" s="5">
        <f t="shared" si="44"/>
        <v>0</v>
      </c>
      <c r="L54" s="5">
        <f t="shared" si="44"/>
        <v>0</v>
      </c>
      <c r="M54" s="5">
        <f t="shared" si="44"/>
        <v>0</v>
      </c>
      <c r="O54" s="1445"/>
      <c r="P54" s="635" t="s">
        <v>36</v>
      </c>
      <c r="Q54" s="3">
        <f>SUM(Q49:Q53)</f>
        <v>0</v>
      </c>
      <c r="R54" s="3">
        <f>SUM(R49:R53)</f>
        <v>0</v>
      </c>
      <c r="S54" s="4"/>
      <c r="T54" s="1445"/>
      <c r="U54" s="635" t="s">
        <v>36</v>
      </c>
      <c r="V54" s="70">
        <f>SUM(V49:V53)</f>
        <v>0</v>
      </c>
      <c r="X54" s="635" t="s">
        <v>36</v>
      </c>
      <c r="Y54" s="70" t="e">
        <f>SUM(Y49:Y53)</f>
        <v>#VALUE!</v>
      </c>
      <c r="AM54" s="1414"/>
      <c r="AN54" s="1425" t="s">
        <v>562</v>
      </c>
      <c r="AO54" s="1425"/>
      <c r="AP54" s="733" t="s">
        <v>376</v>
      </c>
      <c r="AQ54" s="85">
        <f>R54</f>
        <v>0</v>
      </c>
    </row>
    <row r="55" spans="2:43" ht="15.75" thickBot="1">
      <c r="C55" s="57"/>
      <c r="D55" s="57"/>
      <c r="E55" s="58" t="s">
        <v>167</v>
      </c>
      <c r="F55" s="264">
        <f>F33+F35+F38+F42+F45</f>
        <v>0</v>
      </c>
      <c r="G55" s="264">
        <f t="shared" ref="G55:M55" si="45">G33+G35+G38+G42+G45</f>
        <v>0</v>
      </c>
      <c r="H55" s="264">
        <f t="shared" si="45"/>
        <v>0</v>
      </c>
      <c r="I55" s="264">
        <f t="shared" si="45"/>
        <v>0</v>
      </c>
      <c r="J55" s="264">
        <f t="shared" si="45"/>
        <v>0</v>
      </c>
      <c r="K55" s="264">
        <f t="shared" si="45"/>
        <v>0</v>
      </c>
      <c r="L55" s="264">
        <f t="shared" si="45"/>
        <v>0</v>
      </c>
      <c r="M55" s="264">
        <f t="shared" si="45"/>
        <v>0</v>
      </c>
      <c r="AG55" s="288">
        <f>ROUNDUP(SUMPRODUCT(F55:M55,Q37:X37)*90%,-1)</f>
        <v>0</v>
      </c>
      <c r="AN55" s="1410" t="s">
        <v>44</v>
      </c>
      <c r="AO55" s="1411"/>
      <c r="AP55" s="53"/>
      <c r="AQ55" s="85">
        <f>SUM(AQ32:AQ54)</f>
        <v>0</v>
      </c>
    </row>
    <row r="56" spans="2:43">
      <c r="E56" s="1020" t="s">
        <v>703</v>
      </c>
      <c r="F56" s="264">
        <f>-ROUNDUP(SUM(F32:F35,F37:F46)*$W$2/100,-1)</f>
        <v>0</v>
      </c>
      <c r="G56" s="264">
        <f>-ROUNDUP(SUM(G32:G35,G37:G46)*$W$2/100,-1)</f>
        <v>0</v>
      </c>
      <c r="H56" s="264">
        <f t="shared" ref="H56:K56" si="46">-ROUNDUP(SUM(H32:H35,H37:H46)*$W$2/100,-1)</f>
        <v>0</v>
      </c>
      <c r="I56" s="264">
        <f t="shared" si="46"/>
        <v>0</v>
      </c>
      <c r="J56" s="264">
        <f t="shared" si="46"/>
        <v>0</v>
      </c>
      <c r="K56" s="264">
        <f t="shared" si="46"/>
        <v>0</v>
      </c>
      <c r="L56" s="264">
        <f>-ROUNDUP(SUM(L32:L35,L37:L46)*$W$2/100,-1)</f>
        <v>0</v>
      </c>
      <c r="M56" s="264">
        <f>-ROUNDUP(SUM(M32:M35,M37:M46)*$W$2/100,-1)</f>
        <v>0</v>
      </c>
      <c r="O56" s="1430" t="s">
        <v>428</v>
      </c>
      <c r="P56" s="1430"/>
      <c r="X56" s="1430" t="s">
        <v>427</v>
      </c>
      <c r="Y56" s="1430"/>
      <c r="AO56" s="1"/>
      <c r="AP56" s="57"/>
    </row>
    <row r="57" spans="2:43" ht="15.75" thickBot="1">
      <c r="O57" s="83" t="s">
        <v>429</v>
      </c>
      <c r="P57" s="83" t="s">
        <v>206</v>
      </c>
      <c r="Q57" s="83" t="s">
        <v>207</v>
      </c>
      <c r="R57" s="83" t="s">
        <v>448</v>
      </c>
      <c r="S57" s="83" t="s">
        <v>214</v>
      </c>
      <c r="T57" s="83" t="s">
        <v>215</v>
      </c>
      <c r="U57" s="83" t="s">
        <v>216</v>
      </c>
      <c r="V57" s="282" t="s">
        <v>455</v>
      </c>
      <c r="W57" s="261"/>
      <c r="X57" s="83" t="s">
        <v>429</v>
      </c>
      <c r="Y57" s="83" t="s">
        <v>206</v>
      </c>
      <c r="Z57" s="83" t="s">
        <v>207</v>
      </c>
      <c r="AA57" s="83" t="s">
        <v>448</v>
      </c>
      <c r="AB57" s="83" t="s">
        <v>218</v>
      </c>
      <c r="AC57" s="83" t="s">
        <v>215</v>
      </c>
      <c r="AD57" s="280" t="s">
        <v>453</v>
      </c>
      <c r="AE57" s="282" t="s">
        <v>455</v>
      </c>
    </row>
    <row r="58" spans="2:43" ht="15.75" thickBot="1">
      <c r="C58" s="310" t="s">
        <v>479</v>
      </c>
      <c r="D58" s="311"/>
      <c r="E58" s="312"/>
      <c r="F58" s="313"/>
      <c r="G58" s="313"/>
      <c r="H58" s="313"/>
      <c r="I58" s="313"/>
      <c r="J58" s="313"/>
      <c r="K58" s="313"/>
      <c r="L58" s="313"/>
      <c r="M58" s="314"/>
      <c r="O58" s="61" t="str">
        <f>IF(月途中入退所情報!$D8=$B$2,月途中入退所情報!F8,"-")</f>
        <v>-</v>
      </c>
      <c r="P58" s="61" t="str">
        <f>IF(月途中入退所情報!$D8=$B$2,月途中入退所情報!G8,"-")</f>
        <v>-</v>
      </c>
      <c r="Q58" s="61" t="str">
        <f>IF(月途中入退所情報!$D8=$B$2,月途中入退所情報!H8,"-")</f>
        <v>-</v>
      </c>
      <c r="R58" s="61" t="str">
        <f>IF(月途中入退所情報!$D8=$B$2,月途中入退所情報!I8,"-")</f>
        <v>-</v>
      </c>
      <c r="S58" s="61" t="str">
        <f>IF(月途中入退所情報!$D8=$B$2,月途中入退所情報!J8,"-")</f>
        <v>-</v>
      </c>
      <c r="T58" s="84">
        <f>IF($Q58="標準時間",HLOOKUP($P58,$F$5:$I$27,23,FALSE)-SUM($F$10,$F$21:$F$24,$F$26)-HLOOKUP($P58,$F$5:$I$27,16,FALSE)+HLOOKUP($P58,$F$5:$I$29,25,FALSE),IF($Q58="短時間",HLOOKUP($P58,$J$5:$M$27,23,FALSE)-SUM($F$10,$F$21:$F$24,$F$26)-HLOOKUP($P58,$J$5:$M$27,16,FALSE)+HLOOKUP($P58,$J$5:$M$29,25,FALSE),0))+IF(R58="○",加算と減算!$AH$3,0)</f>
        <v>0</v>
      </c>
      <c r="U58" s="85">
        <f t="shared" ref="U58:U77" si="47">IFERROR(ROUNDDOWN(T58*S58/25,-1),0)</f>
        <v>0</v>
      </c>
      <c r="V58" s="262">
        <f>IFERROR(ROUNDDOWN(IF($Q58="標準時間",HLOOKUP($P58,$F$5:$I$28,24,FALSE),IF($Q58="短時間",HLOOKUP($P58,$J$5:$M$28,24,FALSE),0))*S58/25,-1),0)</f>
        <v>0</v>
      </c>
      <c r="W58" s="262"/>
      <c r="X58" s="61" t="str">
        <f>IF(月途中入退所情報!$N8=$B$2,月途中入退所情報!$P8,"-")</f>
        <v>-</v>
      </c>
      <c r="Y58" s="61" t="str">
        <f>IF(月途中入退所情報!$N8=$B$2,月途中入退所情報!$Q8,"-")</f>
        <v>-</v>
      </c>
      <c r="Z58" s="61" t="str">
        <f>IF(月途中入退所情報!$N8=$B$2,月途中入退所情報!$R8,"-")</f>
        <v>-</v>
      </c>
      <c r="AA58" s="61" t="str">
        <f>IF(月途中入退所情報!$N8=$B$2,月途中入退所情報!$S8,"-")</f>
        <v>-</v>
      </c>
      <c r="AB58" s="61" t="str">
        <f>IF(月途中入退所情報!$N8=$B$2,月途中入退所情報!$T8,"-")</f>
        <v>-</v>
      </c>
      <c r="AC58" s="84">
        <f>IF($Z58="標準時間",HLOOKUP($Y58,$F$5:$I$27,23,FALSE)-SUM($F$10,$F$21:$F$24,$F$26)-HLOOKUP($Y58,$F$5:$I$27,16,FALSE)+HLOOKUP($Y58,$F$5:$I$29,25,FALSE),IF($Z58="短時間",HLOOKUP($Y58,$J$5:$M$27,23,FALSE)-SUM($F$10,$F$21:$F$24,$F$26)-HLOOKUP($Y58,$J$5:$M$27,16,FALSE)+HLOOKUP($Y58,$J$5:$M$29,25,FALSE),0))+IF(AA58="○",加算と減算!$AH$3,0)</f>
        <v>0</v>
      </c>
      <c r="AD58" s="85">
        <f t="shared" ref="AD58:AD77" si="48">IFERROR(-ROUNDUP(AC58*AB58/25,-1),0)</f>
        <v>0</v>
      </c>
      <c r="AE58" s="262">
        <f t="shared" ref="AE58:AE77" si="49">IFERROR(-ROUNDUP(IF($Z58="標準時間",HLOOKUP($Y58,$F$5:$I$28,24,FALSE),IF($Z58="短時間",HLOOKUP($Y58,$J$5:$M$28,24,FALSE),0))*AB58/25,-1),0)</f>
        <v>0</v>
      </c>
    </row>
    <row r="59" spans="2:43">
      <c r="C59" s="307"/>
      <c r="D59" s="308"/>
      <c r="E59" s="309"/>
      <c r="F59" s="1417" t="s">
        <v>15</v>
      </c>
      <c r="G59" s="1417"/>
      <c r="H59" s="1417"/>
      <c r="I59" s="1417"/>
      <c r="J59" s="1417" t="s">
        <v>16</v>
      </c>
      <c r="K59" s="1417"/>
      <c r="L59" s="1417"/>
      <c r="M59" s="1417"/>
      <c r="O59" s="61" t="str">
        <f>IF(月途中入退所情報!$D9=$B$2,月途中入退所情報!F9,"-")</f>
        <v>-</v>
      </c>
      <c r="P59" s="61" t="str">
        <f>IF(月途中入退所情報!$D9=$B$2,月途中入退所情報!G9,"-")</f>
        <v>-</v>
      </c>
      <c r="Q59" s="61" t="str">
        <f>IF(月途中入退所情報!$D9=$B$2,月途中入退所情報!H9,"-")</f>
        <v>-</v>
      </c>
      <c r="R59" s="61" t="str">
        <f>IF(月途中入退所情報!$D9=$B$2,月途中入退所情報!I9,"-")</f>
        <v>-</v>
      </c>
      <c r="S59" s="61" t="str">
        <f>IF(月途中入退所情報!$D9=$B$2,月途中入退所情報!J9,"-")</f>
        <v>-</v>
      </c>
      <c r="T59" s="84">
        <f>IF($Q59="標準時間",HLOOKUP($P59,$F$5:$I$27,23,FALSE)-SUM($F$10,$F$21:$F$24,$F$26)-HLOOKUP($P59,$F$5:$I$27,16,FALSE)+HLOOKUP($P59,$F$5:$I$29,25,FALSE),IF($Q59="短時間",HLOOKUP($P59,$J$5:$M$27,23,FALSE)-SUM($F$10,$F$21:$F$24,$F$26)-HLOOKUP($P59,$J$5:$M$27,16,FALSE)+HLOOKUP($P59,$J$5:$M$29,25,FALSE),0))+IF(R59="○",加算と減算!$AH$3,0)</f>
        <v>0</v>
      </c>
      <c r="U59" s="85">
        <f t="shared" si="47"/>
        <v>0</v>
      </c>
      <c r="V59" s="262">
        <f t="shared" ref="V59:V77" si="50">IFERROR(ROUNDDOWN(IF($Q59="標準時間",HLOOKUP($P59,$F$5:$I$28,24,FALSE),IF($Q59="短時間",HLOOKUP($P59,$J$5:$M$28,24,FALSE),0))*S59/25,-1),0)</f>
        <v>0</v>
      </c>
      <c r="W59" s="262"/>
      <c r="X59" s="61" t="str">
        <f>IF(月途中入退所情報!$N9=$B$2,月途中入退所情報!$P9,"-")</f>
        <v>-</v>
      </c>
      <c r="Y59" s="61" t="str">
        <f>IF(月途中入退所情報!$N9=$B$2,月途中入退所情報!$Q9,"-")</f>
        <v>-</v>
      </c>
      <c r="Z59" s="61" t="str">
        <f>IF(月途中入退所情報!$N9=$B$2,月途中入退所情報!$R9,"-")</f>
        <v>-</v>
      </c>
      <c r="AA59" s="61" t="str">
        <f>IF(月途中入退所情報!$N9=$B$2,月途中入退所情報!$S9,"-")</f>
        <v>-</v>
      </c>
      <c r="AB59" s="61" t="str">
        <f>IF(月途中入退所情報!$N9=$B$2,月途中入退所情報!$T9,"-")</f>
        <v>-</v>
      </c>
      <c r="AC59" s="84">
        <f>IF($Z59="標準時間",HLOOKUP($Y59,$F$5:$I$27,23,FALSE)-SUM($F$10,$F$21:$F$24,$F$26)-HLOOKUP($Y59,$F$5:$I$27,16,FALSE)+HLOOKUP($Y59,$F$5:$I$29,25,FALSE),IF($Z59="短時間",HLOOKUP($Y59,$J$5:$M$27,23,FALSE)-SUM($F$10,$F$21:$F$24,$F$26)-HLOOKUP($Y59,$J$5:$M$27,16,FALSE)+HLOOKUP($Y59,$J$5:$M$29,25,FALSE),0))+IF(AA59="○",加算と減算!$AH$3,0)</f>
        <v>0</v>
      </c>
      <c r="AD59" s="85">
        <f t="shared" si="48"/>
        <v>0</v>
      </c>
      <c r="AE59" s="262">
        <f t="shared" si="49"/>
        <v>0</v>
      </c>
    </row>
    <row r="60" spans="2:43">
      <c r="C60" s="307"/>
      <c r="D60" s="308"/>
      <c r="E60" s="309"/>
      <c r="F60" s="369" t="s">
        <v>6</v>
      </c>
      <c r="G60" s="369" t="s">
        <v>7</v>
      </c>
      <c r="H60" s="369" t="s">
        <v>8</v>
      </c>
      <c r="I60" s="369" t="s">
        <v>9</v>
      </c>
      <c r="J60" s="369" t="s">
        <v>6</v>
      </c>
      <c r="K60" s="369" t="s">
        <v>7</v>
      </c>
      <c r="L60" s="369" t="s">
        <v>8</v>
      </c>
      <c r="M60" s="369" t="s">
        <v>9</v>
      </c>
      <c r="O60" s="61" t="str">
        <f>IF(月途中入退所情報!$D10=$B$2,月途中入退所情報!F10,"-")</f>
        <v>-</v>
      </c>
      <c r="P60" s="61" t="str">
        <f>IF(月途中入退所情報!$D10=$B$2,月途中入退所情報!G10,"-")</f>
        <v>-</v>
      </c>
      <c r="Q60" s="61" t="str">
        <f>IF(月途中入退所情報!$D10=$B$2,月途中入退所情報!H10,"-")</f>
        <v>-</v>
      </c>
      <c r="R60" s="61" t="str">
        <f>IF(月途中入退所情報!$D10=$B$2,月途中入退所情報!I10,"-")</f>
        <v>-</v>
      </c>
      <c r="S60" s="61" t="str">
        <f>IF(月途中入退所情報!$D10=$B$2,月途中入退所情報!J10,"-")</f>
        <v>-</v>
      </c>
      <c r="T60" s="84">
        <f>IF($Q60="標準時間",HLOOKUP($P60,$F$5:$I$27,23,FALSE)-SUM($F$10,$F$21:$F$24,$F$26)-HLOOKUP($P60,$F$5:$I$27,16,FALSE)+HLOOKUP($P60,$F$5:$I$29,25,FALSE),IF($Q60="短時間",HLOOKUP($P60,$J$5:$M$27,23,FALSE)-SUM($F$10,$F$21:$F$24,$F$26)-HLOOKUP($P60,$J$5:$M$27,16,FALSE)+HLOOKUP($P60,$J$5:$M$29,25,FALSE),0))+IF(R60="○",加算と減算!$AH$3,0)</f>
        <v>0</v>
      </c>
      <c r="U60" s="85">
        <f t="shared" si="47"/>
        <v>0</v>
      </c>
      <c r="V60" s="262">
        <f t="shared" si="50"/>
        <v>0</v>
      </c>
      <c r="W60" s="262"/>
      <c r="X60" s="61" t="str">
        <f>IF(月途中入退所情報!$N10=$B$2,月途中入退所情報!$P10,"-")</f>
        <v>-</v>
      </c>
      <c r="Y60" s="61" t="str">
        <f>IF(月途中入退所情報!$N10=$B$2,月途中入退所情報!$Q10,"-")</f>
        <v>-</v>
      </c>
      <c r="Z60" s="61" t="str">
        <f>IF(月途中入退所情報!$N10=$B$2,月途中入退所情報!$R10,"-")</f>
        <v>-</v>
      </c>
      <c r="AA60" s="61" t="str">
        <f>IF(月途中入退所情報!$N10=$B$2,月途中入退所情報!$S10,"-")</f>
        <v>-</v>
      </c>
      <c r="AB60" s="61" t="str">
        <f>IF(月途中入退所情報!$N10=$B$2,月途中入退所情報!$T10,"-")</f>
        <v>-</v>
      </c>
      <c r="AC60" s="84">
        <f>IF($Z60="標準時間",HLOOKUP($Y60,$F$5:$I$27,23,FALSE)-SUM($F$10,$F$21:$F$24,$F$26)-HLOOKUP($Y60,$F$5:$I$27,16,FALSE)+HLOOKUP($Y60,$F$5:$I$29,25,FALSE),IF($Z60="短時間",HLOOKUP($Y60,$J$5:$M$27,23,FALSE)-SUM($F$10,$F$21:$F$24,$F$26)-HLOOKUP($Y60,$J$5:$M$27,16,FALSE)+HLOOKUP($Y60,$J$5:$M$29,25,FALSE),0))+IF(AA60="○",加算と減算!$AH$3,0)</f>
        <v>0</v>
      </c>
      <c r="AD60" s="85">
        <f t="shared" si="48"/>
        <v>0</v>
      </c>
      <c r="AE60" s="262">
        <f t="shared" si="49"/>
        <v>0</v>
      </c>
    </row>
    <row r="61" spans="2:43">
      <c r="C61" s="307"/>
      <c r="D61" s="1432" t="s">
        <v>482</v>
      </c>
      <c r="E61" s="320" t="s">
        <v>480</v>
      </c>
      <c r="F61" s="85" t="e">
        <f t="shared" ref="F61:M61" si="51">-ROUNDDOWN((F7+F9+F1)*$S$2%,-1)</f>
        <v>#VALUE!</v>
      </c>
      <c r="G61" s="85" t="e">
        <f t="shared" si="51"/>
        <v>#VALUE!</v>
      </c>
      <c r="H61" s="85" t="e">
        <f t="shared" si="51"/>
        <v>#VALUE!</v>
      </c>
      <c r="I61" s="85" t="e">
        <f t="shared" si="51"/>
        <v>#VALUE!</v>
      </c>
      <c r="J61" s="85" t="e">
        <f t="shared" si="51"/>
        <v>#VALUE!</v>
      </c>
      <c r="K61" s="85" t="e">
        <f t="shared" si="51"/>
        <v>#VALUE!</v>
      </c>
      <c r="L61" s="85" t="e">
        <f t="shared" si="51"/>
        <v>#VALUE!</v>
      </c>
      <c r="M61" s="85" t="e">
        <f t="shared" si="51"/>
        <v>#VALUE!</v>
      </c>
      <c r="O61" s="61" t="str">
        <f>IF(月途中入退所情報!$D11=$B$2,月途中入退所情報!F11,"-")</f>
        <v>-</v>
      </c>
      <c r="P61" s="61" t="str">
        <f>IF(月途中入退所情報!$D11=$B$2,月途中入退所情報!G11,"-")</f>
        <v>-</v>
      </c>
      <c r="Q61" s="61" t="str">
        <f>IF(月途中入退所情報!$D11=$B$2,月途中入退所情報!H11,"-")</f>
        <v>-</v>
      </c>
      <c r="R61" s="61" t="str">
        <f>IF(月途中入退所情報!$D11=$B$2,月途中入退所情報!I11,"-")</f>
        <v>-</v>
      </c>
      <c r="S61" s="61" t="str">
        <f>IF(月途中入退所情報!$D11=$B$2,月途中入退所情報!J11,"-")</f>
        <v>-</v>
      </c>
      <c r="T61" s="84">
        <f>IF($Q61="標準時間",HLOOKUP($P61,$F$5:$I$27,23,FALSE)-SUM($F$10,$F$21:$F$24,$F$26)-HLOOKUP($P61,$F$5:$I$27,16,FALSE)+HLOOKUP($P61,$F$5:$I$29,25,FALSE),IF($Q61="短時間",HLOOKUP($P61,$J$5:$M$27,23,FALSE)-SUM($F$10,$F$21:$F$24,$F$26)-HLOOKUP($P61,$J$5:$M$27,16,FALSE)+HLOOKUP($P61,$J$5:$M$29,25,FALSE),0))+IF(R61="○",加算と減算!$AH$3,0)</f>
        <v>0</v>
      </c>
      <c r="U61" s="85">
        <f t="shared" si="47"/>
        <v>0</v>
      </c>
      <c r="V61" s="262">
        <f t="shared" si="50"/>
        <v>0</v>
      </c>
      <c r="W61" s="262"/>
      <c r="X61" s="61" t="str">
        <f>IF(月途中入退所情報!$N11=$B$2,月途中入退所情報!$P11,"-")</f>
        <v>-</v>
      </c>
      <c r="Y61" s="61" t="str">
        <f>IF(月途中入退所情報!$N11=$B$2,月途中入退所情報!$Q11,"-")</f>
        <v>-</v>
      </c>
      <c r="Z61" s="61" t="str">
        <f>IF(月途中入退所情報!$N11=$B$2,月途中入退所情報!$R11,"-")</f>
        <v>-</v>
      </c>
      <c r="AA61" s="61" t="str">
        <f>IF(月途中入退所情報!$N11=$B$2,月途中入退所情報!$S11,"-")</f>
        <v>-</v>
      </c>
      <c r="AB61" s="61" t="str">
        <f>IF(月途中入退所情報!$N11=$B$2,月途中入退所情報!$T11,"-")</f>
        <v>-</v>
      </c>
      <c r="AC61" s="84">
        <f>IF($Z61="標準時間",HLOOKUP($Y61,$F$5:$I$27,23,FALSE)-SUM($F$10,$F$21:$F$24,$F$26)-HLOOKUP($Y61,$F$5:$I$27,16,FALSE)+HLOOKUP($Y61,$F$5:$I$29,25,FALSE),IF($Z61="短時間",HLOOKUP($Y61,$J$5:$M$27,23,FALSE)-SUM($F$10,$F$21:$F$24,$F$26)-HLOOKUP($Y61,$J$5:$M$27,16,FALSE)+HLOOKUP($Y61,$J$5:$M$29,25,FALSE),0))+IF(AA61="○",加算と減算!$AH$3,0)</f>
        <v>0</v>
      </c>
      <c r="AD61" s="85">
        <f t="shared" si="48"/>
        <v>0</v>
      </c>
      <c r="AE61" s="262">
        <f t="shared" si="49"/>
        <v>0</v>
      </c>
    </row>
    <row r="62" spans="2:43">
      <c r="C62" s="307"/>
      <c r="D62" s="1432"/>
      <c r="E62" s="320" t="s">
        <v>481</v>
      </c>
      <c r="F62" s="85" t="e">
        <f>F61*Q11</f>
        <v>#VALUE!</v>
      </c>
      <c r="G62" s="85" t="e">
        <f t="shared" ref="G62:M62" si="52">G61*R11</f>
        <v>#VALUE!</v>
      </c>
      <c r="H62" s="85" t="e">
        <f t="shared" si="52"/>
        <v>#VALUE!</v>
      </c>
      <c r="I62" s="85" t="e">
        <f t="shared" si="52"/>
        <v>#VALUE!</v>
      </c>
      <c r="J62" s="85" t="e">
        <f t="shared" si="52"/>
        <v>#VALUE!</v>
      </c>
      <c r="K62" s="85" t="e">
        <f t="shared" si="52"/>
        <v>#VALUE!</v>
      </c>
      <c r="L62" s="85" t="e">
        <f t="shared" si="52"/>
        <v>#VALUE!</v>
      </c>
      <c r="M62" s="85" t="e">
        <f t="shared" si="52"/>
        <v>#VALUE!</v>
      </c>
      <c r="O62" s="61" t="str">
        <f>IF(月途中入退所情報!$D12=$B$2,月途中入退所情報!F12,"-")</f>
        <v>-</v>
      </c>
      <c r="P62" s="61" t="str">
        <f>IF(月途中入退所情報!$D12=$B$2,月途中入退所情報!G12,"-")</f>
        <v>-</v>
      </c>
      <c r="Q62" s="61" t="str">
        <f>IF(月途中入退所情報!$D12=$B$2,月途中入退所情報!H12,"-")</f>
        <v>-</v>
      </c>
      <c r="R62" s="61" t="str">
        <f>IF(月途中入退所情報!$D12=$B$2,月途中入退所情報!I12,"-")</f>
        <v>-</v>
      </c>
      <c r="S62" s="61" t="str">
        <f>IF(月途中入退所情報!$D12=$B$2,月途中入退所情報!J12,"-")</f>
        <v>-</v>
      </c>
      <c r="T62" s="84">
        <f>IF($Q62="標準時間",HLOOKUP($P62,$F$5:$I$27,23,FALSE)-SUM($F$10,$F$21:$F$24,$F$26)-HLOOKUP($P62,$F$5:$I$27,16,FALSE)+HLOOKUP($P62,$F$5:$I$29,25,FALSE),IF($Q62="短時間",HLOOKUP($P62,$J$5:$M$27,23,FALSE)-SUM($F$10,$F$21:$F$24,$F$26)-HLOOKUP($P62,$J$5:$M$27,16,FALSE)+HLOOKUP($P62,$J$5:$M$29,25,FALSE),0))+IF(R62="○",加算と減算!$AH$3,0)</f>
        <v>0</v>
      </c>
      <c r="U62" s="85">
        <f t="shared" si="47"/>
        <v>0</v>
      </c>
      <c r="V62" s="262">
        <f t="shared" si="50"/>
        <v>0</v>
      </c>
      <c r="W62" s="262"/>
      <c r="X62" s="61" t="str">
        <f>IF(月途中入退所情報!$N12=$B$2,月途中入退所情報!$P12,"-")</f>
        <v>-</v>
      </c>
      <c r="Y62" s="61" t="str">
        <f>IF(月途中入退所情報!$N12=$B$2,月途中入退所情報!$Q12,"-")</f>
        <v>-</v>
      </c>
      <c r="Z62" s="61" t="str">
        <f>IF(月途中入退所情報!$N12=$B$2,月途中入退所情報!$R12,"-")</f>
        <v>-</v>
      </c>
      <c r="AA62" s="61" t="str">
        <f>IF(月途中入退所情報!$N12=$B$2,月途中入退所情報!$S12,"-")</f>
        <v>-</v>
      </c>
      <c r="AB62" s="61" t="str">
        <f>IF(月途中入退所情報!$N12=$B$2,月途中入退所情報!$T12,"-")</f>
        <v>-</v>
      </c>
      <c r="AC62" s="84">
        <f>IF($Z62="標準時間",HLOOKUP($Y62,$F$5:$I$27,23,FALSE)-SUM($F$10,$F$21:$F$24,$F$26)-HLOOKUP($Y62,$F$5:$I$27,16,FALSE)+HLOOKUP($Y62,$F$5:$I$29,25,FALSE),IF($Z62="短時間",HLOOKUP($Y62,$J$5:$M$27,23,FALSE)-SUM($F$10,$F$21:$F$24,$F$26)-HLOOKUP($Y62,$J$5:$M$27,16,FALSE)+HLOOKUP($Y62,$J$5:$M$29,25,FALSE),0))+IF(AA62="○",加算と減算!$AH$3,0)</f>
        <v>0</v>
      </c>
      <c r="AD62" s="85">
        <f t="shared" si="48"/>
        <v>0</v>
      </c>
      <c r="AE62" s="262">
        <f t="shared" si="49"/>
        <v>0</v>
      </c>
    </row>
    <row r="63" spans="2:43">
      <c r="C63" s="307"/>
      <c r="D63" s="317"/>
      <c r="E63" s="315"/>
      <c r="F63" s="316"/>
      <c r="G63" s="316"/>
      <c r="H63" s="316"/>
      <c r="I63" s="316"/>
      <c r="J63" s="316"/>
      <c r="K63" s="316"/>
      <c r="L63" s="316"/>
      <c r="M63" s="316"/>
      <c r="O63" s="61" t="str">
        <f>IF(月途中入退所情報!$D13=$B$2,月途中入退所情報!F13,"-")</f>
        <v>-</v>
      </c>
      <c r="P63" s="61" t="str">
        <f>IF(月途中入退所情報!$D13=$B$2,月途中入退所情報!G13,"-")</f>
        <v>-</v>
      </c>
      <c r="Q63" s="61" t="str">
        <f>IF(月途中入退所情報!$D13=$B$2,月途中入退所情報!H13,"-")</f>
        <v>-</v>
      </c>
      <c r="R63" s="61" t="str">
        <f>IF(月途中入退所情報!$D13=$B$2,月途中入退所情報!I13,"-")</f>
        <v>-</v>
      </c>
      <c r="S63" s="61" t="str">
        <f>IF(月途中入退所情報!$D13=$B$2,月途中入退所情報!J13,"-")</f>
        <v>-</v>
      </c>
      <c r="T63" s="84">
        <f>IF($Q63="標準時間",HLOOKUP($P63,$F$5:$I$27,23,FALSE)-SUM($F$10,$F$21:$F$24,$F$26)-HLOOKUP($P63,$F$5:$I$27,16,FALSE)+HLOOKUP($P63,$F$5:$I$29,25,FALSE),IF($Q63="短時間",HLOOKUP($P63,$J$5:$M$27,23,FALSE)-SUM($F$10,$F$21:$F$24,$F$26)-HLOOKUP($P63,$J$5:$M$27,16,FALSE)+HLOOKUP($P63,$J$5:$M$29,25,FALSE),0))+IF(R63="○",加算と減算!$AH$3,0)</f>
        <v>0</v>
      </c>
      <c r="U63" s="85">
        <f t="shared" si="47"/>
        <v>0</v>
      </c>
      <c r="V63" s="262">
        <f t="shared" si="50"/>
        <v>0</v>
      </c>
      <c r="W63" s="262"/>
      <c r="X63" s="61" t="str">
        <f>IF(月途中入退所情報!$N13=$B$2,月途中入退所情報!$P13,"-")</f>
        <v>-</v>
      </c>
      <c r="Y63" s="61" t="str">
        <f>IF(月途中入退所情報!$N13=$B$2,月途中入退所情報!$Q13,"-")</f>
        <v>-</v>
      </c>
      <c r="Z63" s="61" t="str">
        <f>IF(月途中入退所情報!$N13=$B$2,月途中入退所情報!$R13,"-")</f>
        <v>-</v>
      </c>
      <c r="AA63" s="61" t="str">
        <f>IF(月途中入退所情報!$N13=$B$2,月途中入退所情報!$S13,"-")</f>
        <v>-</v>
      </c>
      <c r="AB63" s="61" t="str">
        <f>IF(月途中入退所情報!$N13=$B$2,月途中入退所情報!$T13,"-")</f>
        <v>-</v>
      </c>
      <c r="AC63" s="84">
        <f>IF($Z63="標準時間",HLOOKUP($Y63,$F$5:$I$27,23,FALSE)-SUM($F$10,$F$21:$F$24,$F$26)-HLOOKUP($Y63,$F$5:$I$27,16,FALSE)+HLOOKUP($Y63,$F$5:$I$29,25,FALSE),IF($Z63="短時間",HLOOKUP($Y63,$J$5:$M$27,23,FALSE)-SUM($F$10,$F$21:$F$24,$F$26)-HLOOKUP($Y63,$J$5:$M$27,16,FALSE)+HLOOKUP($Y63,$J$5:$M$29,25,FALSE),0))+IF(AA63="○",加算と減算!$AH$3,0)</f>
        <v>0</v>
      </c>
      <c r="AD63" s="85">
        <f t="shared" si="48"/>
        <v>0</v>
      </c>
      <c r="AE63" s="262">
        <f t="shared" si="49"/>
        <v>0</v>
      </c>
    </row>
    <row r="64" spans="2:43">
      <c r="C64" s="307"/>
      <c r="D64" s="308"/>
      <c r="E64" s="309"/>
      <c r="F64" s="369" t="s">
        <v>6</v>
      </c>
      <c r="G64" s="369" t="s">
        <v>7</v>
      </c>
      <c r="H64" s="369" t="s">
        <v>8</v>
      </c>
      <c r="I64" s="369" t="s">
        <v>9</v>
      </c>
      <c r="J64" s="369" t="s">
        <v>6</v>
      </c>
      <c r="K64" s="369" t="s">
        <v>7</v>
      </c>
      <c r="L64" s="369" t="s">
        <v>8</v>
      </c>
      <c r="M64" s="369" t="s">
        <v>9</v>
      </c>
      <c r="O64" s="61" t="str">
        <f>IF(月途中入退所情報!$D14=$B$2,月途中入退所情報!F14,"-")</f>
        <v>-</v>
      </c>
      <c r="P64" s="61" t="str">
        <f>IF(月途中入退所情報!$D14=$B$2,月途中入退所情報!G14,"-")</f>
        <v>-</v>
      </c>
      <c r="Q64" s="61" t="str">
        <f>IF(月途中入退所情報!$D14=$B$2,月途中入退所情報!H14,"-")</f>
        <v>-</v>
      </c>
      <c r="R64" s="61" t="str">
        <f>IF(月途中入退所情報!$D14=$B$2,月途中入退所情報!I14,"-")</f>
        <v>-</v>
      </c>
      <c r="S64" s="61" t="str">
        <f>IF(月途中入退所情報!$D14=$B$2,月途中入退所情報!J14,"-")</f>
        <v>-</v>
      </c>
      <c r="T64" s="84">
        <f>IF($Q64="標準時間",HLOOKUP($P64,$F$5:$I$27,23,FALSE)-SUM($F$10,$F$21:$F$24,$F$26)-HLOOKUP($P64,$F$5:$I$27,16,FALSE)+HLOOKUP($P64,$F$5:$I$29,25,FALSE),IF($Q64="短時間",HLOOKUP($P64,$J$5:$M$27,23,FALSE)-SUM($F$10,$F$21:$F$24,$F$26)-HLOOKUP($P64,$J$5:$M$27,16,FALSE)+HLOOKUP($P64,$J$5:$M$29,25,FALSE),0))+IF(R64="○",加算と減算!$AH$3,0)</f>
        <v>0</v>
      </c>
      <c r="U64" s="85">
        <f t="shared" si="47"/>
        <v>0</v>
      </c>
      <c r="V64" s="262">
        <f t="shared" si="50"/>
        <v>0</v>
      </c>
      <c r="W64" s="262"/>
      <c r="X64" s="61" t="str">
        <f>IF(月途中入退所情報!$N14=$B$2,月途中入退所情報!$P14,"-")</f>
        <v>-</v>
      </c>
      <c r="Y64" s="61" t="str">
        <f>IF(月途中入退所情報!$N14=$B$2,月途中入退所情報!$Q14,"-")</f>
        <v>-</v>
      </c>
      <c r="Z64" s="61" t="str">
        <f>IF(月途中入退所情報!$N14=$B$2,月途中入退所情報!$R14,"-")</f>
        <v>-</v>
      </c>
      <c r="AA64" s="61" t="str">
        <f>IF(月途中入退所情報!$N14=$B$2,月途中入退所情報!$S14,"-")</f>
        <v>-</v>
      </c>
      <c r="AB64" s="61" t="str">
        <f>IF(月途中入退所情報!$N14=$B$2,月途中入退所情報!$T14,"-")</f>
        <v>-</v>
      </c>
      <c r="AC64" s="84">
        <f>IF($Z64="標準時間",HLOOKUP($Y64,$F$5:$I$27,23,FALSE)-SUM($F$10,$F$21:$F$24,$F$26)-HLOOKUP($Y64,$F$5:$I$27,16,FALSE)+HLOOKUP($Y64,$F$5:$I$29,25,FALSE),IF($Z64="短時間",HLOOKUP($Y64,$J$5:$M$27,23,FALSE)-SUM($F$10,$F$21:$F$24,$F$26)-HLOOKUP($Y64,$J$5:$M$27,16,FALSE)+HLOOKUP($Y64,$J$5:$M$29,25,FALSE),0))+IF(AA64="○",加算と減算!$AH$3,0)</f>
        <v>0</v>
      </c>
      <c r="AD64" s="85">
        <f t="shared" si="48"/>
        <v>0</v>
      </c>
      <c r="AE64" s="262">
        <f t="shared" si="49"/>
        <v>0</v>
      </c>
    </row>
    <row r="65" spans="3:31">
      <c r="C65" s="307"/>
      <c r="D65" s="1432" t="s">
        <v>483</v>
      </c>
      <c r="E65" s="320" t="s">
        <v>480</v>
      </c>
      <c r="F65" s="85">
        <f t="shared" ref="F65:M65" si="53">-ROUNDDOWN((F33+F35+F38)*$T$2%,-1)</f>
        <v>0</v>
      </c>
      <c r="G65" s="85">
        <f t="shared" si="53"/>
        <v>0</v>
      </c>
      <c r="H65" s="85">
        <f t="shared" si="53"/>
        <v>0</v>
      </c>
      <c r="I65" s="85">
        <f t="shared" si="53"/>
        <v>0</v>
      </c>
      <c r="J65" s="85">
        <f t="shared" si="53"/>
        <v>0</v>
      </c>
      <c r="K65" s="85">
        <f t="shared" si="53"/>
        <v>0</v>
      </c>
      <c r="L65" s="85">
        <f t="shared" si="53"/>
        <v>0</v>
      </c>
      <c r="M65" s="85">
        <f t="shared" si="53"/>
        <v>0</v>
      </c>
      <c r="O65" s="61" t="str">
        <f>IF(月途中入退所情報!$D15=$B$2,月途中入退所情報!F15,"-")</f>
        <v>-</v>
      </c>
      <c r="P65" s="61" t="str">
        <f>IF(月途中入退所情報!$D15=$B$2,月途中入退所情報!G15,"-")</f>
        <v>-</v>
      </c>
      <c r="Q65" s="61" t="str">
        <f>IF(月途中入退所情報!$D15=$B$2,月途中入退所情報!H15,"-")</f>
        <v>-</v>
      </c>
      <c r="R65" s="61" t="str">
        <f>IF(月途中入退所情報!$D15=$B$2,月途中入退所情報!I15,"-")</f>
        <v>-</v>
      </c>
      <c r="S65" s="61" t="str">
        <f>IF(月途中入退所情報!$D15=$B$2,月途中入退所情報!J15,"-")</f>
        <v>-</v>
      </c>
      <c r="T65" s="84">
        <f>IF($Q65="標準時間",HLOOKUP($P65,$F$5:$I$27,23,FALSE)-SUM($F$10,$F$21:$F$24,$F$26)-HLOOKUP($P65,$F$5:$I$27,16,FALSE)+HLOOKUP($P65,$F$5:$I$29,25,FALSE),IF($Q65="短時間",HLOOKUP($P65,$J$5:$M$27,23,FALSE)-SUM($F$10,$F$21:$F$24,$F$26)-HLOOKUP($P65,$J$5:$M$27,16,FALSE)+HLOOKUP($P65,$J$5:$M$29,25,FALSE),0))+IF(R65="○",加算と減算!$AH$3,0)</f>
        <v>0</v>
      </c>
      <c r="U65" s="85">
        <f t="shared" si="47"/>
        <v>0</v>
      </c>
      <c r="V65" s="262">
        <f t="shared" si="50"/>
        <v>0</v>
      </c>
      <c r="W65" s="262"/>
      <c r="X65" s="61" t="str">
        <f>IF(月途中入退所情報!$N15=$B$2,月途中入退所情報!$P15,"-")</f>
        <v>-</v>
      </c>
      <c r="Y65" s="61" t="str">
        <f>IF(月途中入退所情報!$N15=$B$2,月途中入退所情報!$Q15,"-")</f>
        <v>-</v>
      </c>
      <c r="Z65" s="61" t="str">
        <f>IF(月途中入退所情報!$N15=$B$2,月途中入退所情報!$R15,"-")</f>
        <v>-</v>
      </c>
      <c r="AA65" s="61" t="str">
        <f>IF(月途中入退所情報!$N15=$B$2,月途中入退所情報!$S15,"-")</f>
        <v>-</v>
      </c>
      <c r="AB65" s="61" t="str">
        <f>IF(月途中入退所情報!$N15=$B$2,月途中入退所情報!$T15,"-")</f>
        <v>-</v>
      </c>
      <c r="AC65" s="84">
        <f>IF($Z65="標準時間",HLOOKUP($Y65,$F$5:$I$27,23,FALSE)-SUM($F$10,$F$21:$F$24,$F$26)-HLOOKUP($Y65,$F$5:$I$27,16,FALSE)+HLOOKUP($Y65,$F$5:$I$29,25,FALSE),IF($Z65="短時間",HLOOKUP($Y65,$J$5:$M$27,23,FALSE)-SUM($F$10,$F$21:$F$24,$F$26)-HLOOKUP($Y65,$J$5:$M$27,16,FALSE)+HLOOKUP($Y65,$J$5:$M$29,25,FALSE),0))+IF(AA65="○",加算と減算!$AH$3,0)</f>
        <v>0</v>
      </c>
      <c r="AD65" s="85">
        <f t="shared" si="48"/>
        <v>0</v>
      </c>
      <c r="AE65" s="262">
        <f t="shared" si="49"/>
        <v>0</v>
      </c>
    </row>
    <row r="66" spans="3:31">
      <c r="C66" s="307"/>
      <c r="D66" s="1432"/>
      <c r="E66" s="320" t="s">
        <v>481</v>
      </c>
      <c r="F66" s="85">
        <f>F65*Q37</f>
        <v>0</v>
      </c>
      <c r="G66" s="85">
        <f t="shared" ref="G66:M66" si="54">G65*R37</f>
        <v>0</v>
      </c>
      <c r="H66" s="85">
        <f t="shared" si="54"/>
        <v>0</v>
      </c>
      <c r="I66" s="85">
        <f t="shared" si="54"/>
        <v>0</v>
      </c>
      <c r="J66" s="85">
        <f t="shared" si="54"/>
        <v>0</v>
      </c>
      <c r="K66" s="85">
        <f t="shared" si="54"/>
        <v>0</v>
      </c>
      <c r="L66" s="85">
        <f t="shared" si="54"/>
        <v>0</v>
      </c>
      <c r="M66" s="85">
        <f t="shared" si="54"/>
        <v>0</v>
      </c>
      <c r="O66" s="61" t="str">
        <f>IF(月途中入退所情報!$D16=$B$2,月途中入退所情報!F16,"-")</f>
        <v>-</v>
      </c>
      <c r="P66" s="61" t="str">
        <f>IF(月途中入退所情報!$D16=$B$2,月途中入退所情報!G16,"-")</f>
        <v>-</v>
      </c>
      <c r="Q66" s="61" t="str">
        <f>IF(月途中入退所情報!$D16=$B$2,月途中入退所情報!H16,"-")</f>
        <v>-</v>
      </c>
      <c r="R66" s="61" t="str">
        <f>IF(月途中入退所情報!$D16=$B$2,月途中入退所情報!I16,"-")</f>
        <v>-</v>
      </c>
      <c r="S66" s="61" t="str">
        <f>IF(月途中入退所情報!$D16=$B$2,月途中入退所情報!J16,"-")</f>
        <v>-</v>
      </c>
      <c r="T66" s="84">
        <f>IF($Q66="標準時間",HLOOKUP($P66,$F$5:$I$27,23,FALSE)-SUM($F$10,$F$21:$F$24,$F$26)-HLOOKUP($P66,$F$5:$I$27,16,FALSE)+HLOOKUP($P66,$F$5:$I$29,25,FALSE),IF($Q66="短時間",HLOOKUP($P66,$J$5:$M$27,23,FALSE)-SUM($F$10,$F$21:$F$24,$F$26)-HLOOKUP($P66,$J$5:$M$27,16,FALSE)+HLOOKUP($P66,$J$5:$M$29,25,FALSE),0))+IF(R66="○",加算と減算!$AH$3,0)</f>
        <v>0</v>
      </c>
      <c r="U66" s="85">
        <f t="shared" si="47"/>
        <v>0</v>
      </c>
      <c r="V66" s="262">
        <f t="shared" si="50"/>
        <v>0</v>
      </c>
      <c r="W66" s="262"/>
      <c r="X66" s="61" t="str">
        <f>IF(月途中入退所情報!$N16=$B$2,月途中入退所情報!$P16,"-")</f>
        <v>-</v>
      </c>
      <c r="Y66" s="61" t="str">
        <f>IF(月途中入退所情報!$N16=$B$2,月途中入退所情報!$Q16,"-")</f>
        <v>-</v>
      </c>
      <c r="Z66" s="61" t="str">
        <f>IF(月途中入退所情報!$N16=$B$2,月途中入退所情報!$R16,"-")</f>
        <v>-</v>
      </c>
      <c r="AA66" s="61" t="str">
        <f>IF(月途中入退所情報!$N16=$B$2,月途中入退所情報!$S16,"-")</f>
        <v>-</v>
      </c>
      <c r="AB66" s="61" t="str">
        <f>IF(月途中入退所情報!$N16=$B$2,月途中入退所情報!$T16,"-")</f>
        <v>-</v>
      </c>
      <c r="AC66" s="84">
        <f>IF($Z66="標準時間",HLOOKUP($Y66,$F$5:$I$27,23,FALSE)-SUM($F$10,$F$21:$F$24,$F$26)-HLOOKUP($Y66,$F$5:$I$27,16,FALSE)+HLOOKUP($Y66,$F$5:$I$29,25,FALSE),IF($Z66="短時間",HLOOKUP($Y66,$J$5:$M$27,23,FALSE)-SUM($F$10,$F$21:$F$24,$F$26)-HLOOKUP($Y66,$J$5:$M$27,16,FALSE)+HLOOKUP($Y66,$J$5:$M$29,25,FALSE),0))+IF(AA66="○",加算と減算!$AH$3,0)</f>
        <v>0</v>
      </c>
      <c r="AD66" s="85">
        <f t="shared" si="48"/>
        <v>0</v>
      </c>
      <c r="AE66" s="262">
        <f t="shared" si="49"/>
        <v>0</v>
      </c>
    </row>
    <row r="67" spans="3:31" ht="15.75" thickBot="1">
      <c r="C67" s="307"/>
      <c r="D67" s="317"/>
      <c r="E67" s="315"/>
      <c r="F67" s="316"/>
      <c r="G67" s="316"/>
      <c r="H67" s="316"/>
      <c r="I67" s="316"/>
      <c r="J67" s="316"/>
      <c r="K67" s="316"/>
      <c r="L67" s="316"/>
      <c r="M67" s="316"/>
      <c r="O67" s="61" t="str">
        <f>IF(月途中入退所情報!$D17=$B$2,月途中入退所情報!F17,"-")</f>
        <v>-</v>
      </c>
      <c r="P67" s="61" t="str">
        <f>IF(月途中入退所情報!$D17=$B$2,月途中入退所情報!G17,"-")</f>
        <v>-</v>
      </c>
      <c r="Q67" s="61" t="str">
        <f>IF(月途中入退所情報!$D17=$B$2,月途中入退所情報!H17,"-")</f>
        <v>-</v>
      </c>
      <c r="R67" s="61" t="str">
        <f>IF(月途中入退所情報!$D17=$B$2,月途中入退所情報!I17,"-")</f>
        <v>-</v>
      </c>
      <c r="S67" s="61" t="str">
        <f>IF(月途中入退所情報!$D17=$B$2,月途中入退所情報!J17,"-")</f>
        <v>-</v>
      </c>
      <c r="T67" s="84">
        <f>IF($Q67="標準時間",HLOOKUP($P67,$F$5:$I$27,23,FALSE)-SUM($F$10,$F$21:$F$24,$F$26)-HLOOKUP($P67,$F$5:$I$27,16,FALSE)+HLOOKUP($P67,$F$5:$I$29,25,FALSE),IF($Q67="短時間",HLOOKUP($P67,$J$5:$M$27,23,FALSE)-SUM($F$10,$F$21:$F$24,$F$26)-HLOOKUP($P67,$J$5:$M$27,16,FALSE)+HLOOKUP($P67,$J$5:$M$29,25,FALSE),0))+IF(R67="○",加算と減算!$AH$3,0)</f>
        <v>0</v>
      </c>
      <c r="U67" s="85">
        <f t="shared" si="47"/>
        <v>0</v>
      </c>
      <c r="V67" s="262">
        <f t="shared" si="50"/>
        <v>0</v>
      </c>
      <c r="W67" s="262"/>
      <c r="X67" s="61" t="str">
        <f>IF(月途中入退所情報!$N17=$B$2,月途中入退所情報!$P17,"-")</f>
        <v>-</v>
      </c>
      <c r="Y67" s="61" t="str">
        <f>IF(月途中入退所情報!$N17=$B$2,月途中入退所情報!$Q17,"-")</f>
        <v>-</v>
      </c>
      <c r="Z67" s="61" t="str">
        <f>IF(月途中入退所情報!$N17=$B$2,月途中入退所情報!$R17,"-")</f>
        <v>-</v>
      </c>
      <c r="AA67" s="61" t="str">
        <f>IF(月途中入退所情報!$N17=$B$2,月途中入退所情報!$S17,"-")</f>
        <v>-</v>
      </c>
      <c r="AB67" s="61" t="str">
        <f>IF(月途中入退所情報!$N17=$B$2,月途中入退所情報!$T17,"-")</f>
        <v>-</v>
      </c>
      <c r="AC67" s="84">
        <f>IF($Z67="標準時間",HLOOKUP($Y67,$F$5:$I$27,23,FALSE)-SUM($F$10,$F$21:$F$24,$F$26)-HLOOKUP($Y67,$F$5:$I$27,16,FALSE)+HLOOKUP($Y67,$F$5:$I$29,25,FALSE),IF($Z67="短時間",HLOOKUP($Y67,$J$5:$M$27,23,FALSE)-SUM($F$10,$F$21:$F$24,$F$26)-HLOOKUP($Y67,$J$5:$M$27,16,FALSE)+HLOOKUP($Y67,$J$5:$M$29,25,FALSE),0))+IF(AA67="○",加算と減算!$AH$3,0)</f>
        <v>0</v>
      </c>
      <c r="AD67" s="85">
        <f t="shared" si="48"/>
        <v>0</v>
      </c>
      <c r="AE67" s="262">
        <f t="shared" si="49"/>
        <v>0</v>
      </c>
    </row>
    <row r="68" spans="3:31" ht="15.75" thickBot="1">
      <c r="D68" s="1433" t="s">
        <v>484</v>
      </c>
      <c r="E68" s="1434"/>
      <c r="F68" s="321" t="e">
        <f>F62+F66</f>
        <v>#VALUE!</v>
      </c>
      <c r="G68" s="321" t="e">
        <f t="shared" ref="G68:M68" si="55">G62+G66</f>
        <v>#VALUE!</v>
      </c>
      <c r="H68" s="321" t="e">
        <f t="shared" si="55"/>
        <v>#VALUE!</v>
      </c>
      <c r="I68" s="321" t="e">
        <f t="shared" si="55"/>
        <v>#VALUE!</v>
      </c>
      <c r="J68" s="321" t="e">
        <f t="shared" si="55"/>
        <v>#VALUE!</v>
      </c>
      <c r="K68" s="321" t="e">
        <f t="shared" si="55"/>
        <v>#VALUE!</v>
      </c>
      <c r="L68" s="321" t="e">
        <f t="shared" si="55"/>
        <v>#VALUE!</v>
      </c>
      <c r="M68" s="322" t="e">
        <f t="shared" si="55"/>
        <v>#VALUE!</v>
      </c>
      <c r="O68" s="61" t="str">
        <f>IF(月途中入退所情報!$D18=$B$2,月途中入退所情報!F18,"-")</f>
        <v>-</v>
      </c>
      <c r="P68" s="61" t="str">
        <f>IF(月途中入退所情報!$D18=$B$2,月途中入退所情報!G18,"-")</f>
        <v>-</v>
      </c>
      <c r="Q68" s="61" t="str">
        <f>IF(月途中入退所情報!$D18=$B$2,月途中入退所情報!H18,"-")</f>
        <v>-</v>
      </c>
      <c r="R68" s="61" t="str">
        <f>IF(月途中入退所情報!$D18=$B$2,月途中入退所情報!I18,"-")</f>
        <v>-</v>
      </c>
      <c r="S68" s="61" t="str">
        <f>IF(月途中入退所情報!$D18=$B$2,月途中入退所情報!J18,"-")</f>
        <v>-</v>
      </c>
      <c r="T68" s="84">
        <f>IF($Q68="標準時間",HLOOKUP($P68,$F$5:$I$27,23,FALSE)-SUM($F$10,$F$21:$F$24,$F$26)-HLOOKUP($P68,$F$5:$I$27,16,FALSE)+HLOOKUP($P68,$F$5:$I$29,25,FALSE),IF($Q68="短時間",HLOOKUP($P68,$J$5:$M$27,23,FALSE)-SUM($F$10,$F$21:$F$24,$F$26)-HLOOKUP($P68,$J$5:$M$27,16,FALSE)+HLOOKUP($P68,$J$5:$M$29,25,FALSE),0))+IF(R68="○",加算と減算!$AH$3,0)</f>
        <v>0</v>
      </c>
      <c r="U68" s="85">
        <f t="shared" si="47"/>
        <v>0</v>
      </c>
      <c r="V68" s="262">
        <f t="shared" si="50"/>
        <v>0</v>
      </c>
      <c r="W68" s="262"/>
      <c r="X68" s="61" t="str">
        <f>IF(月途中入退所情報!$N18=$B$2,月途中入退所情報!$P18,"-")</f>
        <v>-</v>
      </c>
      <c r="Y68" s="61" t="str">
        <f>IF(月途中入退所情報!$N18=$B$2,月途中入退所情報!$Q18,"-")</f>
        <v>-</v>
      </c>
      <c r="Z68" s="61" t="str">
        <f>IF(月途中入退所情報!$N18=$B$2,月途中入退所情報!$R18,"-")</f>
        <v>-</v>
      </c>
      <c r="AA68" s="61" t="str">
        <f>IF(月途中入退所情報!$N18=$B$2,月途中入退所情報!$S18,"-")</f>
        <v>-</v>
      </c>
      <c r="AB68" s="61" t="str">
        <f>IF(月途中入退所情報!$N18=$B$2,月途中入退所情報!$T18,"-")</f>
        <v>-</v>
      </c>
      <c r="AC68" s="84">
        <f>IF($Z68="標準時間",HLOOKUP($Y68,$F$5:$I$27,23,FALSE)-SUM($F$10,$F$21:$F$24,$F$26)-HLOOKUP($Y68,$F$5:$I$27,16,FALSE)+HLOOKUP($Y68,$F$5:$I$29,25,FALSE),IF($Z68="短時間",HLOOKUP($Y68,$J$5:$M$27,23,FALSE)-SUM($F$10,$F$21:$F$24,$F$26)-HLOOKUP($Y68,$J$5:$M$27,16,FALSE)+HLOOKUP($Y68,$J$5:$M$29,25,FALSE),0))+IF(AA68="○",加算と減算!$AH$3,0)</f>
        <v>0</v>
      </c>
      <c r="AD68" s="85">
        <f t="shared" si="48"/>
        <v>0</v>
      </c>
      <c r="AE68" s="262">
        <f t="shared" si="49"/>
        <v>0</v>
      </c>
    </row>
    <row r="69" spans="3:31" ht="15.75" thickBot="1">
      <c r="D69" s="1435"/>
      <c r="E69" s="1436"/>
      <c r="F69" s="1437" t="e">
        <f>SUM(F68:M68)</f>
        <v>#VALUE!</v>
      </c>
      <c r="G69" s="1438"/>
      <c r="H69" s="1438"/>
      <c r="I69" s="1438"/>
      <c r="J69" s="1438"/>
      <c r="K69" s="1438"/>
      <c r="L69" s="1438"/>
      <c r="M69" s="1439"/>
      <c r="O69" s="61" t="str">
        <f>IF(月途中入退所情報!$D19=$B$2,月途中入退所情報!F19,"-")</f>
        <v>-</v>
      </c>
      <c r="P69" s="61" t="str">
        <f>IF(月途中入退所情報!$D19=$B$2,月途中入退所情報!G19,"-")</f>
        <v>-</v>
      </c>
      <c r="Q69" s="61" t="str">
        <f>IF(月途中入退所情報!$D19=$B$2,月途中入退所情報!H19,"-")</f>
        <v>-</v>
      </c>
      <c r="R69" s="61" t="str">
        <f>IF(月途中入退所情報!$D19=$B$2,月途中入退所情報!I19,"-")</f>
        <v>-</v>
      </c>
      <c r="S69" s="61" t="str">
        <f>IF(月途中入退所情報!$D19=$B$2,月途中入退所情報!J19,"-")</f>
        <v>-</v>
      </c>
      <c r="T69" s="84">
        <f>IF($Q69="標準時間",HLOOKUP($P69,$F$5:$I$27,23,FALSE)-SUM($F$10,$F$21:$F$24,$F$26)-HLOOKUP($P69,$F$5:$I$27,16,FALSE)+HLOOKUP($P69,$F$5:$I$29,25,FALSE),IF($Q69="短時間",HLOOKUP($P69,$J$5:$M$27,23,FALSE)-SUM($F$10,$F$21:$F$24,$F$26)-HLOOKUP($P69,$J$5:$M$27,16,FALSE)+HLOOKUP($P69,$J$5:$M$29,25,FALSE),0))+IF(R69="○",加算と減算!$AH$3,0)</f>
        <v>0</v>
      </c>
      <c r="U69" s="85">
        <f t="shared" si="47"/>
        <v>0</v>
      </c>
      <c r="V69" s="262">
        <f t="shared" si="50"/>
        <v>0</v>
      </c>
      <c r="W69" s="262"/>
      <c r="X69" s="61" t="str">
        <f>IF(月途中入退所情報!$N19=$B$2,月途中入退所情報!$P19,"-")</f>
        <v>-</v>
      </c>
      <c r="Y69" s="61" t="str">
        <f>IF(月途中入退所情報!$N19=$B$2,月途中入退所情報!$Q19,"-")</f>
        <v>-</v>
      </c>
      <c r="Z69" s="61" t="str">
        <f>IF(月途中入退所情報!$N19=$B$2,月途中入退所情報!$R19,"-")</f>
        <v>-</v>
      </c>
      <c r="AA69" s="61" t="str">
        <f>IF(月途中入退所情報!$N19=$B$2,月途中入退所情報!$S19,"-")</f>
        <v>-</v>
      </c>
      <c r="AB69" s="61" t="str">
        <f>IF(月途中入退所情報!$N19=$B$2,月途中入退所情報!$T19,"-")</f>
        <v>-</v>
      </c>
      <c r="AC69" s="84">
        <f>IF($Z69="標準時間",HLOOKUP($Y69,$F$5:$I$27,23,FALSE)-SUM($F$10,$F$21:$F$24,$F$26)-HLOOKUP($Y69,$F$5:$I$27,16,FALSE)+HLOOKUP($Y69,$F$5:$I$29,25,FALSE),IF($Z69="短時間",HLOOKUP($Y69,$J$5:$M$27,23,FALSE)-SUM($F$10,$F$21:$F$24,$F$26)-HLOOKUP($Y69,$J$5:$M$27,16,FALSE)+HLOOKUP($Y69,$J$5:$M$29,25,FALSE),0))+IF(AA69="○",加算と減算!$AH$3,0)</f>
        <v>0</v>
      </c>
      <c r="AD69" s="85">
        <f t="shared" si="48"/>
        <v>0</v>
      </c>
      <c r="AE69" s="262">
        <f t="shared" si="49"/>
        <v>0</v>
      </c>
    </row>
    <row r="70" spans="3:31">
      <c r="O70" s="61" t="str">
        <f>IF(月途中入退所情報!$D20=$B$2,月途中入退所情報!F20,"-")</f>
        <v>-</v>
      </c>
      <c r="P70" s="61" t="str">
        <f>IF(月途中入退所情報!$D20=$B$2,月途中入退所情報!G20,"-")</f>
        <v>-</v>
      </c>
      <c r="Q70" s="61" t="str">
        <f>IF(月途中入退所情報!$D20=$B$2,月途中入退所情報!H20,"-")</f>
        <v>-</v>
      </c>
      <c r="R70" s="61" t="str">
        <f>IF(月途中入退所情報!$D20=$B$2,月途中入退所情報!I20,"-")</f>
        <v>-</v>
      </c>
      <c r="S70" s="61" t="str">
        <f>IF(月途中入退所情報!$D20=$B$2,月途中入退所情報!J20,"-")</f>
        <v>-</v>
      </c>
      <c r="T70" s="84">
        <f>IF($Q70="標準時間",HLOOKUP($P70,$F$5:$I$27,23,FALSE)-SUM($F$10,$F$21:$F$24,$F$26)-HLOOKUP($P70,$F$5:$I$27,16,FALSE)+HLOOKUP($P70,$F$5:$I$29,25,FALSE),IF($Q70="短時間",HLOOKUP($P70,$J$5:$M$27,23,FALSE)-SUM($F$10,$F$21:$F$24,$F$26)-HLOOKUP($P70,$J$5:$M$27,16,FALSE)+HLOOKUP($P70,$J$5:$M$29,25,FALSE),0))+IF(R70="○",加算と減算!$AH$3,0)</f>
        <v>0</v>
      </c>
      <c r="U70" s="85">
        <f t="shared" si="47"/>
        <v>0</v>
      </c>
      <c r="V70" s="262">
        <f t="shared" si="50"/>
        <v>0</v>
      </c>
      <c r="W70" s="262"/>
      <c r="X70" s="61" t="str">
        <f>IF(月途中入退所情報!$N20=$B$2,月途中入退所情報!$P20,"-")</f>
        <v>-</v>
      </c>
      <c r="Y70" s="61" t="str">
        <f>IF(月途中入退所情報!$N20=$B$2,月途中入退所情報!$Q20,"-")</f>
        <v>-</v>
      </c>
      <c r="Z70" s="61" t="str">
        <f>IF(月途中入退所情報!$N20=$B$2,月途中入退所情報!$R20,"-")</f>
        <v>-</v>
      </c>
      <c r="AA70" s="61" t="str">
        <f>IF(月途中入退所情報!$N20=$B$2,月途中入退所情報!$S20,"-")</f>
        <v>-</v>
      </c>
      <c r="AB70" s="61" t="str">
        <f>IF(月途中入退所情報!$N20=$B$2,月途中入退所情報!$T20,"-")</f>
        <v>-</v>
      </c>
      <c r="AC70" s="84">
        <f>IF($Z70="標準時間",HLOOKUP($Y70,$F$5:$I$27,23,FALSE)-SUM($F$10,$F$21:$F$24,$F$26)-HLOOKUP($Y70,$F$5:$I$27,16,FALSE)+HLOOKUP($Y70,$F$5:$I$29,25,FALSE),IF($Z70="短時間",HLOOKUP($Y70,$J$5:$M$27,23,FALSE)-SUM($F$10,$F$21:$F$24,$F$26)-HLOOKUP($Y70,$J$5:$M$27,16,FALSE)+HLOOKUP($Y70,$J$5:$M$29,25,FALSE),0))+IF(AA70="○",加算と減算!$AH$3,0)</f>
        <v>0</v>
      </c>
      <c r="AD70" s="85">
        <f t="shared" si="48"/>
        <v>0</v>
      </c>
      <c r="AE70" s="262">
        <f t="shared" si="49"/>
        <v>0</v>
      </c>
    </row>
    <row r="71" spans="3:31">
      <c r="O71" s="61" t="str">
        <f>IF(月途中入退所情報!$D21=$B$2,月途中入退所情報!F21,"-")</f>
        <v>-</v>
      </c>
      <c r="P71" s="61" t="str">
        <f>IF(月途中入退所情報!$D21=$B$2,月途中入退所情報!G21,"-")</f>
        <v>-</v>
      </c>
      <c r="Q71" s="61" t="str">
        <f>IF(月途中入退所情報!$D21=$B$2,月途中入退所情報!H21,"-")</f>
        <v>-</v>
      </c>
      <c r="R71" s="61" t="str">
        <f>IF(月途中入退所情報!$D21=$B$2,月途中入退所情報!I21,"-")</f>
        <v>-</v>
      </c>
      <c r="S71" s="61" t="str">
        <f>IF(月途中入退所情報!$D21=$B$2,月途中入退所情報!J21,"-")</f>
        <v>-</v>
      </c>
      <c r="T71" s="84">
        <f>IF($Q71="標準時間",HLOOKUP($P71,$F$5:$I$27,23,FALSE)-SUM($F$10,$F$21:$F$24,$F$26)-HLOOKUP($P71,$F$5:$I$27,16,FALSE)+HLOOKUP($P71,$F$5:$I$29,25,FALSE),IF($Q71="短時間",HLOOKUP($P71,$J$5:$M$27,23,FALSE)-SUM($F$10,$F$21:$F$24,$F$26)-HLOOKUP($P71,$J$5:$M$27,16,FALSE)+HLOOKUP($P71,$J$5:$M$29,25,FALSE),0))+IF(R71="○",加算と減算!$AH$3,0)</f>
        <v>0</v>
      </c>
      <c r="U71" s="85">
        <f t="shared" si="47"/>
        <v>0</v>
      </c>
      <c r="V71" s="262">
        <f t="shared" si="50"/>
        <v>0</v>
      </c>
      <c r="W71" s="262"/>
      <c r="X71" s="61" t="str">
        <f>IF(月途中入退所情報!$N21=$B$2,月途中入退所情報!$P21,"-")</f>
        <v>-</v>
      </c>
      <c r="Y71" s="61" t="str">
        <f>IF(月途中入退所情報!$N21=$B$2,月途中入退所情報!$Q21,"-")</f>
        <v>-</v>
      </c>
      <c r="Z71" s="61" t="str">
        <f>IF(月途中入退所情報!$N21=$B$2,月途中入退所情報!$R21,"-")</f>
        <v>-</v>
      </c>
      <c r="AA71" s="61" t="str">
        <f>IF(月途中入退所情報!$N21=$B$2,月途中入退所情報!$S21,"-")</f>
        <v>-</v>
      </c>
      <c r="AB71" s="61" t="str">
        <f>IF(月途中入退所情報!$N21=$B$2,月途中入退所情報!$T21,"-")</f>
        <v>-</v>
      </c>
      <c r="AC71" s="84">
        <f>IF($Z71="標準時間",HLOOKUP($Y71,$F$5:$I$27,23,FALSE)-SUM($F$10,$F$21:$F$24,$F$26)-HLOOKUP($Y71,$F$5:$I$27,16,FALSE)+HLOOKUP($Y71,$F$5:$I$29,25,FALSE),IF($Z71="短時間",HLOOKUP($Y71,$J$5:$M$27,23,FALSE)-SUM($F$10,$F$21:$F$24,$F$26)-HLOOKUP($Y71,$J$5:$M$27,16,FALSE)+HLOOKUP($Y71,$J$5:$M$29,25,FALSE),0))+IF(AA71="○",加算と減算!$AH$3,0)</f>
        <v>0</v>
      </c>
      <c r="AD71" s="85">
        <f t="shared" si="48"/>
        <v>0</v>
      </c>
      <c r="AE71" s="262">
        <f t="shared" si="49"/>
        <v>0</v>
      </c>
    </row>
    <row r="72" spans="3:31">
      <c r="O72" s="61" t="str">
        <f>IF(月途中入退所情報!$D22=$B$2,月途中入退所情報!F22,"-")</f>
        <v>-</v>
      </c>
      <c r="P72" s="61" t="str">
        <f>IF(月途中入退所情報!$D22=$B$2,月途中入退所情報!G22,"-")</f>
        <v>-</v>
      </c>
      <c r="Q72" s="61" t="str">
        <f>IF(月途中入退所情報!$D22=$B$2,月途中入退所情報!H22,"-")</f>
        <v>-</v>
      </c>
      <c r="R72" s="61" t="str">
        <f>IF(月途中入退所情報!$D22=$B$2,月途中入退所情報!I22,"-")</f>
        <v>-</v>
      </c>
      <c r="S72" s="61" t="str">
        <f>IF(月途中入退所情報!$D22=$B$2,月途中入退所情報!J22,"-")</f>
        <v>-</v>
      </c>
      <c r="T72" s="84">
        <f>IF($Q72="標準時間",HLOOKUP($P72,$F$5:$I$27,23,FALSE)-SUM($F$10,$F$21:$F$24,$F$26)-HLOOKUP($P72,$F$5:$I$27,16,FALSE)+HLOOKUP($P72,$F$5:$I$29,25,FALSE),IF($Q72="短時間",HLOOKUP($P72,$J$5:$M$27,23,FALSE)-SUM($F$10,$F$21:$F$24,$F$26)-HLOOKUP($P72,$J$5:$M$27,16,FALSE)+HLOOKUP($P72,$J$5:$M$29,25,FALSE),0))+IF(R72="○",加算と減算!$AH$3,0)</f>
        <v>0</v>
      </c>
      <c r="U72" s="85">
        <f t="shared" si="47"/>
        <v>0</v>
      </c>
      <c r="V72" s="262">
        <f t="shared" si="50"/>
        <v>0</v>
      </c>
      <c r="W72" s="262"/>
      <c r="X72" s="61" t="str">
        <f>IF(月途中入退所情報!$N22=$B$2,月途中入退所情報!$P22,"-")</f>
        <v>-</v>
      </c>
      <c r="Y72" s="61" t="str">
        <f>IF(月途中入退所情報!$N22=$B$2,月途中入退所情報!$Q22,"-")</f>
        <v>-</v>
      </c>
      <c r="Z72" s="61" t="str">
        <f>IF(月途中入退所情報!$N22=$B$2,月途中入退所情報!$R22,"-")</f>
        <v>-</v>
      </c>
      <c r="AA72" s="61" t="str">
        <f>IF(月途中入退所情報!$N22=$B$2,月途中入退所情報!$S22,"-")</f>
        <v>-</v>
      </c>
      <c r="AB72" s="61" t="str">
        <f>IF(月途中入退所情報!$N22=$B$2,月途中入退所情報!$T22,"-")</f>
        <v>-</v>
      </c>
      <c r="AC72" s="84">
        <f>IF($Z72="標準時間",HLOOKUP($Y72,$F$5:$I$27,23,FALSE)-SUM($F$10,$F$21:$F$24,$F$26)-HLOOKUP($Y72,$F$5:$I$27,16,FALSE)+HLOOKUP($Y72,$F$5:$I$29,25,FALSE),IF($Z72="短時間",HLOOKUP($Y72,$J$5:$M$27,23,FALSE)-SUM($F$10,$F$21:$F$24,$F$26)-HLOOKUP($Y72,$J$5:$M$27,16,FALSE)+HLOOKUP($Y72,$J$5:$M$29,25,FALSE),0))+IF(AA72="○",加算と減算!$AH$3,0)</f>
        <v>0</v>
      </c>
      <c r="AD72" s="85">
        <f t="shared" si="48"/>
        <v>0</v>
      </c>
      <c r="AE72" s="262">
        <f t="shared" si="49"/>
        <v>0</v>
      </c>
    </row>
    <row r="73" spans="3:31">
      <c r="O73" s="61" t="str">
        <f>IF(月途中入退所情報!$D23=$B$2,月途中入退所情報!F23,"-")</f>
        <v>-</v>
      </c>
      <c r="P73" s="61" t="str">
        <f>IF(月途中入退所情報!$D23=$B$2,月途中入退所情報!G23,"-")</f>
        <v>-</v>
      </c>
      <c r="Q73" s="61" t="str">
        <f>IF(月途中入退所情報!$D23=$B$2,月途中入退所情報!H23,"-")</f>
        <v>-</v>
      </c>
      <c r="R73" s="61" t="str">
        <f>IF(月途中入退所情報!$D23=$B$2,月途中入退所情報!I23,"-")</f>
        <v>-</v>
      </c>
      <c r="S73" s="61" t="str">
        <f>IF(月途中入退所情報!$D23=$B$2,月途中入退所情報!J23,"-")</f>
        <v>-</v>
      </c>
      <c r="T73" s="84">
        <f>IF($Q73="標準時間",HLOOKUP($P73,$F$5:$I$27,23,FALSE)-SUM($F$10,$F$21:$F$24,$F$26)-HLOOKUP($P73,$F$5:$I$27,16,FALSE)+HLOOKUP($P73,$F$5:$I$29,25,FALSE),IF($Q73="短時間",HLOOKUP($P73,$J$5:$M$27,23,FALSE)-SUM($F$10,$F$21:$F$24,$F$26)-HLOOKUP($P73,$J$5:$M$27,16,FALSE)+HLOOKUP($P73,$J$5:$M$29,25,FALSE),0))+IF(R73="○",加算と減算!$AH$3,0)</f>
        <v>0</v>
      </c>
      <c r="U73" s="85">
        <f t="shared" si="47"/>
        <v>0</v>
      </c>
      <c r="V73" s="262">
        <f t="shared" si="50"/>
        <v>0</v>
      </c>
      <c r="W73" s="262"/>
      <c r="X73" s="61" t="str">
        <f>IF(月途中入退所情報!$N23=$B$2,月途中入退所情報!$P23,"-")</f>
        <v>-</v>
      </c>
      <c r="Y73" s="61" t="str">
        <f>IF(月途中入退所情報!$N23=$B$2,月途中入退所情報!$Q23,"-")</f>
        <v>-</v>
      </c>
      <c r="Z73" s="61" t="str">
        <f>IF(月途中入退所情報!$N23=$B$2,月途中入退所情報!$R23,"-")</f>
        <v>-</v>
      </c>
      <c r="AA73" s="61" t="str">
        <f>IF(月途中入退所情報!$N23=$B$2,月途中入退所情報!$S23,"-")</f>
        <v>-</v>
      </c>
      <c r="AB73" s="61" t="str">
        <f>IF(月途中入退所情報!$N23=$B$2,月途中入退所情報!$T23,"-")</f>
        <v>-</v>
      </c>
      <c r="AC73" s="84">
        <f>IF($Z73="標準時間",HLOOKUP($Y73,$F$5:$I$27,23,FALSE)-SUM($F$10,$F$21:$F$24,$F$26)-HLOOKUP($Y73,$F$5:$I$27,16,FALSE)+HLOOKUP($Y73,$F$5:$I$29,25,FALSE),IF($Z73="短時間",HLOOKUP($Y73,$J$5:$M$27,23,FALSE)-SUM($F$10,$F$21:$F$24,$F$26)-HLOOKUP($Y73,$J$5:$M$27,16,FALSE)+HLOOKUP($Y73,$J$5:$M$29,25,FALSE),0))+IF(AA73="○",加算と減算!$AH$3,0)</f>
        <v>0</v>
      </c>
      <c r="AD73" s="85">
        <f t="shared" si="48"/>
        <v>0</v>
      </c>
      <c r="AE73" s="262">
        <f t="shared" si="49"/>
        <v>0</v>
      </c>
    </row>
    <row r="74" spans="3:31">
      <c r="O74" s="61" t="str">
        <f>IF(月途中入退所情報!$D24=$B$2,月途中入退所情報!F24,"-")</f>
        <v>-</v>
      </c>
      <c r="P74" s="61" t="str">
        <f>IF(月途中入退所情報!$D24=$B$2,月途中入退所情報!G24,"-")</f>
        <v>-</v>
      </c>
      <c r="Q74" s="61" t="str">
        <f>IF(月途中入退所情報!$D24=$B$2,月途中入退所情報!H24,"-")</f>
        <v>-</v>
      </c>
      <c r="R74" s="61" t="str">
        <f>IF(月途中入退所情報!$D24=$B$2,月途中入退所情報!I24,"-")</f>
        <v>-</v>
      </c>
      <c r="S74" s="61" t="str">
        <f>IF(月途中入退所情報!$D24=$B$2,月途中入退所情報!J24,"-")</f>
        <v>-</v>
      </c>
      <c r="T74" s="84">
        <f>IF($Q74="標準時間",HLOOKUP($P74,$F$5:$I$27,23,FALSE)-SUM($F$10,$F$21:$F$24,$F$26)-HLOOKUP($P74,$F$5:$I$27,16,FALSE)+HLOOKUP($P74,$F$5:$I$29,25,FALSE),IF($Q74="短時間",HLOOKUP($P74,$J$5:$M$27,23,FALSE)-SUM($F$10,$F$21:$F$24,$F$26)-HLOOKUP($P74,$J$5:$M$27,16,FALSE)+HLOOKUP($P74,$J$5:$M$29,25,FALSE),0))+IF(R74="○",加算と減算!$AH$3,0)</f>
        <v>0</v>
      </c>
      <c r="U74" s="85">
        <f t="shared" si="47"/>
        <v>0</v>
      </c>
      <c r="V74" s="262">
        <f t="shared" si="50"/>
        <v>0</v>
      </c>
      <c r="W74" s="262"/>
      <c r="X74" s="61" t="str">
        <f>IF(月途中入退所情報!$N24=$B$2,月途中入退所情報!$P24,"-")</f>
        <v>-</v>
      </c>
      <c r="Y74" s="61" t="str">
        <f>IF(月途中入退所情報!$N24=$B$2,月途中入退所情報!$Q24,"-")</f>
        <v>-</v>
      </c>
      <c r="Z74" s="61" t="str">
        <f>IF(月途中入退所情報!$N24=$B$2,月途中入退所情報!$R24,"-")</f>
        <v>-</v>
      </c>
      <c r="AA74" s="61" t="str">
        <f>IF(月途中入退所情報!$N24=$B$2,月途中入退所情報!$S24,"-")</f>
        <v>-</v>
      </c>
      <c r="AB74" s="61" t="str">
        <f>IF(月途中入退所情報!$N24=$B$2,月途中入退所情報!$T24,"-")</f>
        <v>-</v>
      </c>
      <c r="AC74" s="84">
        <f>IF($Z74="標準時間",HLOOKUP($Y74,$F$5:$I$27,23,FALSE)-SUM($F$10,$F$21:$F$24,$F$26)-HLOOKUP($Y74,$F$5:$I$27,16,FALSE)+HLOOKUP($Y74,$F$5:$I$29,25,FALSE),IF($Z74="短時間",HLOOKUP($Y74,$J$5:$M$27,23,FALSE)-SUM($F$10,$F$21:$F$24,$F$26)-HLOOKUP($Y74,$J$5:$M$27,16,FALSE)+HLOOKUP($Y74,$J$5:$M$29,25,FALSE),0))+IF(AA74="○",加算と減算!$AH$3,0)</f>
        <v>0</v>
      </c>
      <c r="AD74" s="85">
        <f t="shared" si="48"/>
        <v>0</v>
      </c>
      <c r="AE74" s="262">
        <f t="shared" si="49"/>
        <v>0</v>
      </c>
    </row>
    <row r="75" spans="3:31">
      <c r="O75" s="61" t="str">
        <f>IF(月途中入退所情報!$D25=$B$2,月途中入退所情報!F25,"-")</f>
        <v>-</v>
      </c>
      <c r="P75" s="61" t="str">
        <f>IF(月途中入退所情報!$D25=$B$2,月途中入退所情報!G25,"-")</f>
        <v>-</v>
      </c>
      <c r="Q75" s="61" t="str">
        <f>IF(月途中入退所情報!$D25=$B$2,月途中入退所情報!H25,"-")</f>
        <v>-</v>
      </c>
      <c r="R75" s="61" t="str">
        <f>IF(月途中入退所情報!$D25=$B$2,月途中入退所情報!I25,"-")</f>
        <v>-</v>
      </c>
      <c r="S75" s="61" t="str">
        <f>IF(月途中入退所情報!$D25=$B$2,月途中入退所情報!J25,"-")</f>
        <v>-</v>
      </c>
      <c r="T75" s="84">
        <f>IF($Q75="標準時間",HLOOKUP($P75,$F$5:$I$27,23,FALSE)-SUM($F$10,$F$21:$F$24,$F$26)-HLOOKUP($P75,$F$5:$I$27,16,FALSE)+HLOOKUP($P75,$F$5:$I$29,25,FALSE),IF($Q75="短時間",HLOOKUP($P75,$J$5:$M$27,23,FALSE)-SUM($F$10,$F$21:$F$24,$F$26)-HLOOKUP($P75,$J$5:$M$27,16,FALSE)+HLOOKUP($P75,$J$5:$M$29,25,FALSE),0))+IF(R75="○",加算と減算!$AH$3,0)</f>
        <v>0</v>
      </c>
      <c r="U75" s="85">
        <f t="shared" si="47"/>
        <v>0</v>
      </c>
      <c r="V75" s="262">
        <f t="shared" si="50"/>
        <v>0</v>
      </c>
      <c r="W75" s="262"/>
      <c r="X75" s="61" t="str">
        <f>IF(月途中入退所情報!$N25=$B$2,月途中入退所情報!$P25,"-")</f>
        <v>-</v>
      </c>
      <c r="Y75" s="61" t="str">
        <f>IF(月途中入退所情報!$N25=$B$2,月途中入退所情報!$Q25,"-")</f>
        <v>-</v>
      </c>
      <c r="Z75" s="61" t="str">
        <f>IF(月途中入退所情報!$N25=$B$2,月途中入退所情報!$R25,"-")</f>
        <v>-</v>
      </c>
      <c r="AA75" s="61" t="str">
        <f>IF(月途中入退所情報!$N25=$B$2,月途中入退所情報!$S25,"-")</f>
        <v>-</v>
      </c>
      <c r="AB75" s="61" t="str">
        <f>IF(月途中入退所情報!$N25=$B$2,月途中入退所情報!$T25,"-")</f>
        <v>-</v>
      </c>
      <c r="AC75" s="84">
        <f>IF($Z75="標準時間",HLOOKUP($Y75,$F$5:$I$27,23,FALSE)-SUM($F$10,$F$21:$F$24,$F$26)-HLOOKUP($Y75,$F$5:$I$27,16,FALSE)+HLOOKUP($Y75,$F$5:$I$29,25,FALSE),IF($Z75="短時間",HLOOKUP($Y75,$J$5:$M$27,23,FALSE)-SUM($F$10,$F$21:$F$24,$F$26)-HLOOKUP($Y75,$J$5:$M$27,16,FALSE)+HLOOKUP($Y75,$J$5:$M$29,25,FALSE),0))+IF(AA75="○",加算と減算!$AH$3,0)</f>
        <v>0</v>
      </c>
      <c r="AD75" s="85">
        <f t="shared" si="48"/>
        <v>0</v>
      </c>
      <c r="AE75" s="262">
        <f t="shared" si="49"/>
        <v>0</v>
      </c>
    </row>
    <row r="76" spans="3:31">
      <c r="O76" s="61" t="str">
        <f>IF(月途中入退所情報!$D26=$B$2,月途中入退所情報!F26,"-")</f>
        <v>-</v>
      </c>
      <c r="P76" s="61" t="str">
        <f>IF(月途中入退所情報!$D26=$B$2,月途中入退所情報!G26,"-")</f>
        <v>-</v>
      </c>
      <c r="Q76" s="61" t="str">
        <f>IF(月途中入退所情報!$D26=$B$2,月途中入退所情報!H26,"-")</f>
        <v>-</v>
      </c>
      <c r="R76" s="61" t="str">
        <f>IF(月途中入退所情報!$D26=$B$2,月途中入退所情報!I26,"-")</f>
        <v>-</v>
      </c>
      <c r="S76" s="61" t="str">
        <f>IF(月途中入退所情報!$D26=$B$2,月途中入退所情報!J26,"-")</f>
        <v>-</v>
      </c>
      <c r="T76" s="84">
        <f>IF($Q76="標準時間",HLOOKUP($P76,$F$5:$I$27,23,FALSE)-SUM($F$10,$F$21:$F$24,$F$26)-HLOOKUP($P76,$F$5:$I$27,16,FALSE)+HLOOKUP($P76,$F$5:$I$29,25,FALSE),IF($Q76="短時間",HLOOKUP($P76,$J$5:$M$27,23,FALSE)-SUM($F$10,$F$21:$F$24,$F$26)-HLOOKUP($P76,$J$5:$M$27,16,FALSE)+HLOOKUP($P76,$J$5:$M$29,25,FALSE),0))+IF(R76="○",加算と減算!$AH$3,0)</f>
        <v>0</v>
      </c>
      <c r="U76" s="85">
        <f t="shared" si="47"/>
        <v>0</v>
      </c>
      <c r="V76" s="262">
        <f t="shared" si="50"/>
        <v>0</v>
      </c>
      <c r="W76" s="262"/>
      <c r="X76" s="61" t="str">
        <f>IF(月途中入退所情報!$N26=$B$2,月途中入退所情報!$P26,"-")</f>
        <v>-</v>
      </c>
      <c r="Y76" s="61" t="str">
        <f>IF(月途中入退所情報!$N26=$B$2,月途中入退所情報!$Q26,"-")</f>
        <v>-</v>
      </c>
      <c r="Z76" s="61" t="str">
        <f>IF(月途中入退所情報!$N26=$B$2,月途中入退所情報!$R26,"-")</f>
        <v>-</v>
      </c>
      <c r="AA76" s="61" t="str">
        <f>IF(月途中入退所情報!$N26=$B$2,月途中入退所情報!$S26,"-")</f>
        <v>-</v>
      </c>
      <c r="AB76" s="61" t="str">
        <f>IF(月途中入退所情報!$N26=$B$2,月途中入退所情報!$T26,"-")</f>
        <v>-</v>
      </c>
      <c r="AC76" s="84">
        <f>IF($Z76="標準時間",HLOOKUP($Y76,$F$5:$I$27,23,FALSE)-SUM($F$10,$F$21:$F$24,$F$26)-HLOOKUP($Y76,$F$5:$I$27,16,FALSE)+HLOOKUP($Y76,$F$5:$I$29,25,FALSE),IF($Z76="短時間",HLOOKUP($Y76,$J$5:$M$27,23,FALSE)-SUM($F$10,$F$21:$F$24,$F$26)-HLOOKUP($Y76,$J$5:$M$27,16,FALSE)+HLOOKUP($Y76,$J$5:$M$29,25,FALSE),0))+IF(AA76="○",加算と減算!$AH$3,0)</f>
        <v>0</v>
      </c>
      <c r="AD76" s="85">
        <f t="shared" si="48"/>
        <v>0</v>
      </c>
      <c r="AE76" s="262">
        <f t="shared" si="49"/>
        <v>0</v>
      </c>
    </row>
    <row r="77" spans="3:31">
      <c r="O77" s="61" t="str">
        <f>IF(月途中入退所情報!$D27=$B$2,月途中入退所情報!F27,"-")</f>
        <v>-</v>
      </c>
      <c r="P77" s="61" t="str">
        <f>IF(月途中入退所情報!$D27=$B$2,月途中入退所情報!G27,"-")</f>
        <v>-</v>
      </c>
      <c r="Q77" s="61" t="str">
        <f>IF(月途中入退所情報!$D27=$B$2,月途中入退所情報!H27,"-")</f>
        <v>-</v>
      </c>
      <c r="R77" s="61" t="str">
        <f>IF(月途中入退所情報!$D27=$B$2,月途中入退所情報!I27,"-")</f>
        <v>-</v>
      </c>
      <c r="S77" s="61" t="str">
        <f>IF(月途中入退所情報!$D27=$B$2,月途中入退所情報!J27,"-")</f>
        <v>-</v>
      </c>
      <c r="T77" s="84">
        <f>IF($Q77="標準時間",HLOOKUP($P77,$F$5:$I$27,23,FALSE)-SUM($F$10,$F$21:$F$24,$F$26)-HLOOKUP($P77,$F$5:$I$27,16,FALSE)+HLOOKUP($P77,$F$5:$I$29,25,FALSE),IF($Q77="短時間",HLOOKUP($P77,$J$5:$M$27,23,FALSE)-SUM($F$10,$F$21:$F$24,$F$26)-HLOOKUP($P77,$J$5:$M$27,16,FALSE)+HLOOKUP($P77,$J$5:$M$29,25,FALSE),0))+IF(R77="○",加算と減算!$AH$3,0)</f>
        <v>0</v>
      </c>
      <c r="U77" s="85">
        <f t="shared" si="47"/>
        <v>0</v>
      </c>
      <c r="V77" s="262">
        <f t="shared" si="50"/>
        <v>0</v>
      </c>
      <c r="W77" s="262"/>
      <c r="X77" s="61" t="str">
        <f>IF(月途中入退所情報!$N27=$B$2,月途中入退所情報!$P27,"-")</f>
        <v>-</v>
      </c>
      <c r="Y77" s="61" t="str">
        <f>IF(月途中入退所情報!$N27=$B$2,月途中入退所情報!$Q27,"-")</f>
        <v>-</v>
      </c>
      <c r="Z77" s="61" t="str">
        <f>IF(月途中入退所情報!$N27=$B$2,月途中入退所情報!$R27,"-")</f>
        <v>-</v>
      </c>
      <c r="AA77" s="61" t="str">
        <f>IF(月途中入退所情報!$N27=$B$2,月途中入退所情報!$S27,"-")</f>
        <v>-</v>
      </c>
      <c r="AB77" s="61" t="str">
        <f>IF(月途中入退所情報!$N27=$B$2,月途中入退所情報!$T27,"-")</f>
        <v>-</v>
      </c>
      <c r="AC77" s="84">
        <f>IF($Z77="標準時間",HLOOKUP($Y77,$F$5:$I$27,23,FALSE)-SUM($F$10,$F$21:$F$24,$F$26)-HLOOKUP($Y77,$F$5:$I$27,16,FALSE)+HLOOKUP($Y77,$F$5:$I$29,25,FALSE),IF($Z77="短時間",HLOOKUP($Y77,$J$5:$M$27,23,FALSE)-SUM($F$10,$F$21:$F$24,$F$26)-HLOOKUP($Y77,$J$5:$M$27,16,FALSE)+HLOOKUP($Y77,$J$5:$M$29,25,FALSE),0))+IF(AA77="○",加算と減算!$AH$3,0)</f>
        <v>0</v>
      </c>
      <c r="AD77" s="85">
        <f t="shared" si="48"/>
        <v>0</v>
      </c>
      <c r="AE77" s="262">
        <f t="shared" si="49"/>
        <v>0</v>
      </c>
    </row>
    <row r="78" spans="3:31">
      <c r="T78" s="86" t="s">
        <v>36</v>
      </c>
      <c r="U78" s="85">
        <f>SUM(U58:U77)</f>
        <v>0</v>
      </c>
      <c r="V78" s="262">
        <f>SUM(V58:V77)</f>
        <v>0</v>
      </c>
      <c r="W78" s="262"/>
      <c r="AC78" s="86" t="s">
        <v>36</v>
      </c>
      <c r="AD78" s="85">
        <f>SUM(AD58:AD77)</f>
        <v>0</v>
      </c>
      <c r="AE78" s="264">
        <f>SUM(AE58:AE77)</f>
        <v>0</v>
      </c>
    </row>
    <row r="79" spans="3:31">
      <c r="O79" s="1430" t="s">
        <v>430</v>
      </c>
      <c r="P79" s="1430"/>
      <c r="X79" s="385" t="s">
        <v>431</v>
      </c>
      <c r="Y79" s="385"/>
    </row>
    <row r="80" spans="3:31">
      <c r="O80" s="83" t="s">
        <v>429</v>
      </c>
      <c r="P80" s="83" t="s">
        <v>206</v>
      </c>
      <c r="Q80" s="83" t="s">
        <v>207</v>
      </c>
      <c r="R80" s="83" t="s">
        <v>448</v>
      </c>
      <c r="S80" s="83" t="s">
        <v>214</v>
      </c>
      <c r="T80" s="83" t="s">
        <v>215</v>
      </c>
      <c r="U80" s="83" t="s">
        <v>216</v>
      </c>
      <c r="V80" s="282" t="s">
        <v>455</v>
      </c>
      <c r="W80" s="261"/>
      <c r="X80" s="83" t="s">
        <v>429</v>
      </c>
      <c r="Y80" s="83" t="s">
        <v>206</v>
      </c>
      <c r="Z80" s="83" t="s">
        <v>207</v>
      </c>
      <c r="AA80" s="83" t="s">
        <v>448</v>
      </c>
      <c r="AB80" s="83" t="s">
        <v>218</v>
      </c>
      <c r="AC80" s="83" t="s">
        <v>215</v>
      </c>
      <c r="AD80" s="280" t="s">
        <v>453</v>
      </c>
      <c r="AE80" s="282" t="s">
        <v>455</v>
      </c>
    </row>
    <row r="81" spans="15:31">
      <c r="O81" s="61" t="str">
        <f>IF(月途中入退所情報!$D31=$B$2,月途中入退所情報!F31,"-")</f>
        <v>-</v>
      </c>
      <c r="P81" s="61" t="str">
        <f>IF(月途中入退所情報!$D31=$B$2,月途中入退所情報!G31,"-")</f>
        <v>-</v>
      </c>
      <c r="Q81" s="61" t="str">
        <f>IF(月途中入退所情報!$D31=$B$2,月途中入退所情報!H31,"-")</f>
        <v>-</v>
      </c>
      <c r="R81" s="61" t="str">
        <f>IF(月途中入退所情報!$D31=$B$2,月途中入退所情報!I31,"-")</f>
        <v>-</v>
      </c>
      <c r="S81" s="61" t="str">
        <f>IF(月途中入退所情報!$D31=$B$2,月途中入退所情報!J31,"-")</f>
        <v>-</v>
      </c>
      <c r="T81" s="84">
        <f>IF($Q81="標準時間",HLOOKUP($P81,$F$31:$I$54,24,FALSE)-SUM($F$10,$F$21:$F$24,$F$26)-HLOOKUP($P81,$F$31:$I$54,17,FALSE)+HLOOKUP($P81,$F$31:$I$56,26,FALSE),IF($Q81="短時間",HLOOKUP($P81,$J$31:$M$54,24,FALSE)-SUM($F$10,$F$21:$F$24,$F$26)-HLOOKUP($P81,$J$31:$M$54,17,FALSE)+HLOOKUP($P81,$J$31:$M$56,26,FALSE),0))+IF(R81="○",加算と減算!$AH$3,0)</f>
        <v>0</v>
      </c>
      <c r="U81" s="85">
        <f t="shared" ref="U81:U100" si="56">IFERROR(ROUNDDOWN(T81*S81/25,-1),0)</f>
        <v>0</v>
      </c>
      <c r="V81" s="262">
        <f>IFERROR(ROUNDDOWN(IF($Q81="標準時間",HLOOKUP($P81,$F$31:$I$55,25,FALSE),IF($Q81="短時間",HLOOKUP($P81,$J$31:$M$55,25,FALSE),0))*S81/25,-1),0)</f>
        <v>0</v>
      </c>
      <c r="W81" s="262"/>
      <c r="X81" s="61" t="str">
        <f>IF(月途中入退所情報!$N31=$B$2,月途中入退所情報!$P31,"-")</f>
        <v>-</v>
      </c>
      <c r="Y81" s="61" t="str">
        <f>IF(月途中入退所情報!$N31=$B$2,月途中入退所情報!$Q31,"-")</f>
        <v>-</v>
      </c>
      <c r="Z81" s="61" t="str">
        <f>IF(月途中入退所情報!$N31=$B$2,月途中入退所情報!$R31,"-")</f>
        <v>-</v>
      </c>
      <c r="AA81" s="61" t="str">
        <f>IF(月途中入退所情報!$N31=$B$2,月途中入退所情報!$S31,"-")</f>
        <v>-</v>
      </c>
      <c r="AB81" s="61" t="str">
        <f>IF(月途中入退所情報!$N31=$B$2,月途中入退所情報!$T31,"-")</f>
        <v>-</v>
      </c>
      <c r="AC81" s="84">
        <f>IF($Z81="標準時間",HLOOKUP($Y81,$F$31:$I$54,24,FALSE)-SUM($F$10,$F$21:$F$24,$F$26)-HLOOKUP($Y81,$F$31:$I$54,17,FALSE)+HLOOKUP($Y81,$F$31:$I$56,26,FALSE),IF($Z81="短時間",HLOOKUP($Y81,$J$31:$M$54,24,FALSE)-SUM($F$10,$F$21:$F$24,$F$26)-HLOOKUP($Y81,$J$31:$M$54,17,FALSE)+HLOOKUP($Y81,$J$31:$M$56,26,FALSE),0))+IF(AA81="○",加算と減算!$AH$3,0)</f>
        <v>0</v>
      </c>
      <c r="AD81" s="85">
        <f t="shared" ref="AD81:AD100" si="57">IFERROR(-ROUNDUP(AC81*AB81/25,-1),0)</f>
        <v>0</v>
      </c>
      <c r="AE81" s="262">
        <f t="shared" ref="AE81:AE100" si="58">IFERROR(-ROUNDUP(IF($Z81="標準時間",HLOOKUP($Y81,$F$31:$I$55,25,FALSE),IF($Z81="短時間",HLOOKUP($Y81,$J$31:$M$55,25,FALSE),0))*AB81/25,-1),0)</f>
        <v>0</v>
      </c>
    </row>
    <row r="82" spans="15:31">
      <c r="O82" s="61" t="str">
        <f>IF(月途中入退所情報!$D32=$B$2,月途中入退所情報!F32,"-")</f>
        <v>-</v>
      </c>
      <c r="P82" s="61" t="str">
        <f>IF(月途中入退所情報!$D32=$B$2,月途中入退所情報!G32,"-")</f>
        <v>-</v>
      </c>
      <c r="Q82" s="61" t="str">
        <f>IF(月途中入退所情報!$D32=$B$2,月途中入退所情報!H32,"-")</f>
        <v>-</v>
      </c>
      <c r="R82" s="61" t="str">
        <f>IF(月途中入退所情報!$D32=$B$2,月途中入退所情報!I32,"-")</f>
        <v>-</v>
      </c>
      <c r="S82" s="61" t="str">
        <f>IF(月途中入退所情報!$D32=$B$2,月途中入退所情報!J32,"-")</f>
        <v>-</v>
      </c>
      <c r="T82" s="84">
        <f>IF($Q82="標準時間",HLOOKUP($P82,$F$31:$I$54,24,FALSE)-SUM($F$10,$F$21:$F$24,$F$26)-HLOOKUP($P82,$F$31:$I$54,17,FALSE)+HLOOKUP($P82,$F$31:$I$56,26,FALSE),IF($Q82="短時間",HLOOKUP($P82,$J$31:$M$54,24,FALSE)-SUM($F$10,$F$21:$F$24,$F$26)-HLOOKUP($P82,$J$31:$M$54,17,FALSE)+HLOOKUP($P82,$J$31:$M$56,26,FALSE),0))+IF(R82="○",加算と減算!$AH$3,0)</f>
        <v>0</v>
      </c>
      <c r="U82" s="85">
        <f t="shared" si="56"/>
        <v>0</v>
      </c>
      <c r="V82" s="262">
        <f t="shared" ref="V82:V100" si="59">IFERROR(ROUNDDOWN(IF($Q82="標準時間",HLOOKUP($P82,$F$31:$I$55,25,FALSE),IF($Q82="短時間",HLOOKUP($P82,$J$31:$M$55,25,FALSE),0))*S82/25,-1),0)</f>
        <v>0</v>
      </c>
      <c r="W82" s="262"/>
      <c r="X82" s="61" t="str">
        <f>IF(月途中入退所情報!$N32=$B$2,月途中入退所情報!$P32,"-")</f>
        <v>-</v>
      </c>
      <c r="Y82" s="61" t="str">
        <f>IF(月途中入退所情報!$N32=$B$2,月途中入退所情報!$Q32,"-")</f>
        <v>-</v>
      </c>
      <c r="Z82" s="61" t="str">
        <f>IF(月途中入退所情報!$N32=$B$2,月途中入退所情報!$R32,"-")</f>
        <v>-</v>
      </c>
      <c r="AA82" s="61" t="str">
        <f>IF(月途中入退所情報!$N32=$B$2,月途中入退所情報!$S32,"-")</f>
        <v>-</v>
      </c>
      <c r="AB82" s="61" t="str">
        <f>IF(月途中入退所情報!$N32=$B$2,月途中入退所情報!$T32,"-")</f>
        <v>-</v>
      </c>
      <c r="AC82" s="84">
        <f>IF($Z82="標準時間",HLOOKUP($Y82,$F$31:$I$54,24,FALSE)-SUM($F$10,$F$21:$F$24,$F$26)-HLOOKUP($Y82,$F$31:$I$54,17,FALSE)+HLOOKUP($Y82,$F$31:$I$56,26,FALSE),IF($Z82="短時間",HLOOKUP($Y82,$J$31:$M$54,24,FALSE)-SUM($F$10,$F$21:$F$24,$F$26)-HLOOKUP($Y82,$J$31:$M$54,17,FALSE)+HLOOKUP($Y82,$J$31:$M$56,26,FALSE),0))+IF(AA82="○",加算と減算!$AH$3,0)</f>
        <v>0</v>
      </c>
      <c r="AD82" s="85">
        <f t="shared" si="57"/>
        <v>0</v>
      </c>
      <c r="AE82" s="262">
        <f t="shared" si="58"/>
        <v>0</v>
      </c>
    </row>
    <row r="83" spans="15:31">
      <c r="O83" s="61" t="str">
        <f>IF(月途中入退所情報!$D33=$B$2,月途中入退所情報!F33,"-")</f>
        <v>-</v>
      </c>
      <c r="P83" s="61" t="str">
        <f>IF(月途中入退所情報!$D33=$B$2,月途中入退所情報!G33,"-")</f>
        <v>-</v>
      </c>
      <c r="Q83" s="61" t="str">
        <f>IF(月途中入退所情報!$D33=$B$2,月途中入退所情報!H33,"-")</f>
        <v>-</v>
      </c>
      <c r="R83" s="61" t="str">
        <f>IF(月途中入退所情報!$D33=$B$2,月途中入退所情報!I33,"-")</f>
        <v>-</v>
      </c>
      <c r="S83" s="61" t="str">
        <f>IF(月途中入退所情報!$D33=$B$2,月途中入退所情報!J33,"-")</f>
        <v>-</v>
      </c>
      <c r="T83" s="84">
        <f>IF($Q83="標準時間",HLOOKUP($P83,$F$31:$I$54,24,FALSE)-SUM($F$10,$F$21:$F$24,$F$26)-HLOOKUP($P83,$F$31:$I$54,17,FALSE)+HLOOKUP($P83,$F$31:$I$56,26,FALSE),IF($Q83="短時間",HLOOKUP($P83,$J$31:$M$54,24,FALSE)-SUM($F$10,$F$21:$F$24,$F$26)-HLOOKUP($P83,$J$31:$M$54,17,FALSE)+HLOOKUP($P83,$J$31:$M$56,26,FALSE),0))+IF(R83="○",加算と減算!$AH$3,0)</f>
        <v>0</v>
      </c>
      <c r="U83" s="85">
        <f t="shared" si="56"/>
        <v>0</v>
      </c>
      <c r="V83" s="262">
        <f t="shared" si="59"/>
        <v>0</v>
      </c>
      <c r="W83" s="262"/>
      <c r="X83" s="61" t="str">
        <f>IF(月途中入退所情報!$N33=$B$2,月途中入退所情報!$P33,"-")</f>
        <v>-</v>
      </c>
      <c r="Y83" s="61" t="str">
        <f>IF(月途中入退所情報!$N33=$B$2,月途中入退所情報!$Q33,"-")</f>
        <v>-</v>
      </c>
      <c r="Z83" s="61" t="str">
        <f>IF(月途中入退所情報!$N33=$B$2,月途中入退所情報!$R33,"-")</f>
        <v>-</v>
      </c>
      <c r="AA83" s="61" t="str">
        <f>IF(月途中入退所情報!$N33=$B$2,月途中入退所情報!$S33,"-")</f>
        <v>-</v>
      </c>
      <c r="AB83" s="61" t="str">
        <f>IF(月途中入退所情報!$N33=$B$2,月途中入退所情報!$T33,"-")</f>
        <v>-</v>
      </c>
      <c r="AC83" s="84">
        <f>IF($Z83="標準時間",HLOOKUP($Y83,$F$31:$I$54,24,FALSE)-SUM($F$10,$F$21:$F$24,$F$26)-HLOOKUP($Y83,$F$31:$I$54,17,FALSE)+HLOOKUP($Y83,$F$31:$I$56,26,FALSE),IF($Z83="短時間",HLOOKUP($Y83,$J$31:$M$54,24,FALSE)-SUM($F$10,$F$21:$F$24,$F$26)-HLOOKUP($Y83,$J$31:$M$54,17,FALSE)+HLOOKUP($Y83,$J$31:$M$56,26,FALSE),0))+IF(AA83="○",加算と減算!$AH$3,0)</f>
        <v>0</v>
      </c>
      <c r="AD83" s="85">
        <f t="shared" si="57"/>
        <v>0</v>
      </c>
      <c r="AE83" s="262">
        <f t="shared" si="58"/>
        <v>0</v>
      </c>
    </row>
    <row r="84" spans="15:31">
      <c r="O84" s="61" t="str">
        <f>IF(月途中入退所情報!$D34=$B$2,月途中入退所情報!F34,"-")</f>
        <v>-</v>
      </c>
      <c r="P84" s="61" t="str">
        <f>IF(月途中入退所情報!$D34=$B$2,月途中入退所情報!G34,"-")</f>
        <v>-</v>
      </c>
      <c r="Q84" s="61" t="str">
        <f>IF(月途中入退所情報!$D34=$B$2,月途中入退所情報!H34,"-")</f>
        <v>-</v>
      </c>
      <c r="R84" s="61" t="str">
        <f>IF(月途中入退所情報!$D34=$B$2,月途中入退所情報!I34,"-")</f>
        <v>-</v>
      </c>
      <c r="S84" s="61" t="str">
        <f>IF(月途中入退所情報!$D34=$B$2,月途中入退所情報!J34,"-")</f>
        <v>-</v>
      </c>
      <c r="T84" s="84">
        <f>IF($Q84="標準時間",HLOOKUP($P84,$F$31:$I$54,24,FALSE)-SUM($F$10,$F$21:$F$24,$F$26)-HLOOKUP($P84,$F$31:$I$54,17,FALSE)+HLOOKUP($P84,$F$31:$I$56,26,FALSE),IF($Q84="短時間",HLOOKUP($P84,$J$31:$M$54,24,FALSE)-SUM($F$10,$F$21:$F$24,$F$26)-HLOOKUP($P84,$J$31:$M$54,17,FALSE)+HLOOKUP($P84,$J$31:$M$56,26,FALSE),0))+IF(R84="○",加算と減算!$AH$3,0)</f>
        <v>0</v>
      </c>
      <c r="U84" s="85">
        <f t="shared" si="56"/>
        <v>0</v>
      </c>
      <c r="V84" s="262">
        <f t="shared" si="59"/>
        <v>0</v>
      </c>
      <c r="W84" s="262"/>
      <c r="X84" s="61" t="str">
        <f>IF(月途中入退所情報!$N34=$B$2,月途中入退所情報!$P34,"-")</f>
        <v>-</v>
      </c>
      <c r="Y84" s="61" t="str">
        <f>IF(月途中入退所情報!$N34=$B$2,月途中入退所情報!$Q34,"-")</f>
        <v>-</v>
      </c>
      <c r="Z84" s="61" t="str">
        <f>IF(月途中入退所情報!$N34=$B$2,月途中入退所情報!$R34,"-")</f>
        <v>-</v>
      </c>
      <c r="AA84" s="61" t="str">
        <f>IF(月途中入退所情報!$N34=$B$2,月途中入退所情報!$S34,"-")</f>
        <v>-</v>
      </c>
      <c r="AB84" s="61" t="str">
        <f>IF(月途中入退所情報!$N34=$B$2,月途中入退所情報!$T34,"-")</f>
        <v>-</v>
      </c>
      <c r="AC84" s="84">
        <f>IF($Z84="標準時間",HLOOKUP($Y84,$F$31:$I$54,24,FALSE)-SUM($F$10,$F$21:$F$24,$F$26)-HLOOKUP($Y84,$F$31:$I$54,17,FALSE)+HLOOKUP($Y84,$F$31:$I$56,26,FALSE),IF($Z84="短時間",HLOOKUP($Y84,$J$31:$M$54,24,FALSE)-SUM($F$10,$F$21:$F$24,$F$26)-HLOOKUP($Y84,$J$31:$M$54,17,FALSE)+HLOOKUP($Y84,$J$31:$M$56,26,FALSE),0))+IF(AA84="○",加算と減算!$AH$3,0)</f>
        <v>0</v>
      </c>
      <c r="AD84" s="85">
        <f t="shared" si="57"/>
        <v>0</v>
      </c>
      <c r="AE84" s="262">
        <f t="shared" si="58"/>
        <v>0</v>
      </c>
    </row>
    <row r="85" spans="15:31">
      <c r="O85" s="61" t="str">
        <f>IF(月途中入退所情報!$D35=$B$2,月途中入退所情報!F35,"-")</f>
        <v>-</v>
      </c>
      <c r="P85" s="61" t="str">
        <f>IF(月途中入退所情報!$D35=$B$2,月途中入退所情報!G35,"-")</f>
        <v>-</v>
      </c>
      <c r="Q85" s="61" t="str">
        <f>IF(月途中入退所情報!$D35=$B$2,月途中入退所情報!H35,"-")</f>
        <v>-</v>
      </c>
      <c r="R85" s="61" t="str">
        <f>IF(月途中入退所情報!$D35=$B$2,月途中入退所情報!I35,"-")</f>
        <v>-</v>
      </c>
      <c r="S85" s="61" t="str">
        <f>IF(月途中入退所情報!$D35=$B$2,月途中入退所情報!J35,"-")</f>
        <v>-</v>
      </c>
      <c r="T85" s="84">
        <f>IF($Q85="標準時間",HLOOKUP($P85,$F$31:$I$54,24,FALSE)-SUM($F$10,$F$21:$F$24,$F$26)-HLOOKUP($P85,$F$31:$I$54,17,FALSE)+HLOOKUP($P85,$F$31:$I$56,26,FALSE),IF($Q85="短時間",HLOOKUP($P85,$J$31:$M$54,24,FALSE)-SUM($F$10,$F$21:$F$24,$F$26)-HLOOKUP($P85,$J$31:$M$54,17,FALSE)+HLOOKUP($P85,$J$31:$M$56,26,FALSE),0))+IF(R85="○",加算と減算!$AH$3,0)</f>
        <v>0</v>
      </c>
      <c r="U85" s="85">
        <f t="shared" si="56"/>
        <v>0</v>
      </c>
      <c r="V85" s="262">
        <f t="shared" si="59"/>
        <v>0</v>
      </c>
      <c r="W85" s="262"/>
      <c r="X85" s="61" t="str">
        <f>IF(月途中入退所情報!$N35=$B$2,月途中入退所情報!$P35,"-")</f>
        <v>-</v>
      </c>
      <c r="Y85" s="61" t="str">
        <f>IF(月途中入退所情報!$N35=$B$2,月途中入退所情報!$Q35,"-")</f>
        <v>-</v>
      </c>
      <c r="Z85" s="61" t="str">
        <f>IF(月途中入退所情報!$N35=$B$2,月途中入退所情報!$R35,"-")</f>
        <v>-</v>
      </c>
      <c r="AA85" s="61" t="str">
        <f>IF(月途中入退所情報!$N35=$B$2,月途中入退所情報!$S35,"-")</f>
        <v>-</v>
      </c>
      <c r="AB85" s="61" t="str">
        <f>IF(月途中入退所情報!$N35=$B$2,月途中入退所情報!$T35,"-")</f>
        <v>-</v>
      </c>
      <c r="AC85" s="84">
        <f>IF($Z85="標準時間",HLOOKUP($Y85,$F$31:$I$54,24,FALSE)-SUM($F$10,$F$21:$F$24,$F$26)-HLOOKUP($Y85,$F$31:$I$54,17,FALSE)+HLOOKUP($Y85,$F$31:$I$56,26,FALSE),IF($Z85="短時間",HLOOKUP($Y85,$J$31:$M$54,24,FALSE)-SUM($F$10,$F$21:$F$24,$F$26)-HLOOKUP($Y85,$J$31:$M$54,17,FALSE)+HLOOKUP($Y85,$J$31:$M$56,26,FALSE),0))+IF(AA85="○",加算と減算!$AH$3,0)</f>
        <v>0</v>
      </c>
      <c r="AD85" s="85">
        <f t="shared" si="57"/>
        <v>0</v>
      </c>
      <c r="AE85" s="262">
        <f t="shared" si="58"/>
        <v>0</v>
      </c>
    </row>
    <row r="86" spans="15:31">
      <c r="O86" s="61" t="str">
        <f>IF(月途中入退所情報!$D36=$B$2,月途中入退所情報!F36,"-")</f>
        <v>-</v>
      </c>
      <c r="P86" s="61" t="str">
        <f>IF(月途中入退所情報!$D36=$B$2,月途中入退所情報!G36,"-")</f>
        <v>-</v>
      </c>
      <c r="Q86" s="61" t="str">
        <f>IF(月途中入退所情報!$D36=$B$2,月途中入退所情報!H36,"-")</f>
        <v>-</v>
      </c>
      <c r="R86" s="61" t="str">
        <f>IF(月途中入退所情報!$D36=$B$2,月途中入退所情報!I36,"-")</f>
        <v>-</v>
      </c>
      <c r="S86" s="61" t="str">
        <f>IF(月途中入退所情報!$D36=$B$2,月途中入退所情報!J36,"-")</f>
        <v>-</v>
      </c>
      <c r="T86" s="84">
        <f>IF($Q86="標準時間",HLOOKUP($P86,$F$31:$I$54,24,FALSE)-SUM($F$10,$F$21:$F$24,$F$26)-HLOOKUP($P86,$F$31:$I$54,17,FALSE)+HLOOKUP($P86,$F$31:$I$56,26,FALSE),IF($Q86="短時間",HLOOKUP($P86,$J$31:$M$54,24,FALSE)-SUM($F$10,$F$21:$F$24,$F$26)-HLOOKUP($P86,$J$31:$M$54,17,FALSE)+HLOOKUP($P86,$J$31:$M$56,26,FALSE),0))+IF(R86="○",加算と減算!$AH$3,0)</f>
        <v>0</v>
      </c>
      <c r="U86" s="85">
        <f t="shared" si="56"/>
        <v>0</v>
      </c>
      <c r="V86" s="262">
        <f t="shared" si="59"/>
        <v>0</v>
      </c>
      <c r="W86" s="262"/>
      <c r="X86" s="61" t="str">
        <f>IF(月途中入退所情報!$N36=$B$2,月途中入退所情報!$P36,"-")</f>
        <v>-</v>
      </c>
      <c r="Y86" s="61" t="str">
        <f>IF(月途中入退所情報!$N36=$B$2,月途中入退所情報!$Q36,"-")</f>
        <v>-</v>
      </c>
      <c r="Z86" s="61" t="str">
        <f>IF(月途中入退所情報!$N36=$B$2,月途中入退所情報!$R36,"-")</f>
        <v>-</v>
      </c>
      <c r="AA86" s="61" t="str">
        <f>IF(月途中入退所情報!$N36=$B$2,月途中入退所情報!$S36,"-")</f>
        <v>-</v>
      </c>
      <c r="AB86" s="61" t="str">
        <f>IF(月途中入退所情報!$N36=$B$2,月途中入退所情報!$T36,"-")</f>
        <v>-</v>
      </c>
      <c r="AC86" s="84">
        <f>IF($Z86="標準時間",HLOOKUP($Y86,$F$31:$I$54,24,FALSE)-SUM($F$10,$F$21:$F$24,$F$26)-HLOOKUP($Y86,$F$31:$I$54,17,FALSE)+HLOOKUP($Y86,$F$31:$I$56,26,FALSE),IF($Z86="短時間",HLOOKUP($Y86,$J$31:$M$54,24,FALSE)-SUM($F$10,$F$21:$F$24,$F$26)-HLOOKUP($Y86,$J$31:$M$54,17,FALSE)+HLOOKUP($Y86,$J$31:$M$56,26,FALSE),0))+IF(AA86="○",加算と減算!$AH$3,0)</f>
        <v>0</v>
      </c>
      <c r="AD86" s="85">
        <f t="shared" si="57"/>
        <v>0</v>
      </c>
      <c r="AE86" s="262">
        <f t="shared" si="58"/>
        <v>0</v>
      </c>
    </row>
    <row r="87" spans="15:31">
      <c r="O87" s="61" t="str">
        <f>IF(月途中入退所情報!$D37=$B$2,月途中入退所情報!F37,"-")</f>
        <v>-</v>
      </c>
      <c r="P87" s="61" t="str">
        <f>IF(月途中入退所情報!$D37=$B$2,月途中入退所情報!G37,"-")</f>
        <v>-</v>
      </c>
      <c r="Q87" s="61" t="str">
        <f>IF(月途中入退所情報!$D37=$B$2,月途中入退所情報!H37,"-")</f>
        <v>-</v>
      </c>
      <c r="R87" s="61" t="str">
        <f>IF(月途中入退所情報!$D37=$B$2,月途中入退所情報!I37,"-")</f>
        <v>-</v>
      </c>
      <c r="S87" s="61" t="str">
        <f>IF(月途中入退所情報!$D37=$B$2,月途中入退所情報!J37,"-")</f>
        <v>-</v>
      </c>
      <c r="T87" s="84">
        <f>IF($Q87="標準時間",HLOOKUP($P87,$F$31:$I$54,24,FALSE)-SUM($F$10,$F$21:$F$24,$F$26)-HLOOKUP($P87,$F$31:$I$54,17,FALSE)+HLOOKUP($P87,$F$31:$I$56,26,FALSE),IF($Q87="短時間",HLOOKUP($P87,$J$31:$M$54,24,FALSE)-SUM($F$10,$F$21:$F$24,$F$26)-HLOOKUP($P87,$J$31:$M$54,17,FALSE)+HLOOKUP($P87,$J$31:$M$56,26,FALSE),0))+IF(R87="○",加算と減算!$AH$3,0)</f>
        <v>0</v>
      </c>
      <c r="U87" s="85">
        <f t="shared" si="56"/>
        <v>0</v>
      </c>
      <c r="V87" s="262">
        <f t="shared" si="59"/>
        <v>0</v>
      </c>
      <c r="W87" s="262"/>
      <c r="X87" s="61" t="str">
        <f>IF(月途中入退所情報!$N37=$B$2,月途中入退所情報!$P37,"-")</f>
        <v>-</v>
      </c>
      <c r="Y87" s="61" t="str">
        <f>IF(月途中入退所情報!$N37=$B$2,月途中入退所情報!$Q37,"-")</f>
        <v>-</v>
      </c>
      <c r="Z87" s="61" t="str">
        <f>IF(月途中入退所情報!$N37=$B$2,月途中入退所情報!$R37,"-")</f>
        <v>-</v>
      </c>
      <c r="AA87" s="61" t="str">
        <f>IF(月途中入退所情報!$N37=$B$2,月途中入退所情報!$S37,"-")</f>
        <v>-</v>
      </c>
      <c r="AB87" s="61" t="str">
        <f>IF(月途中入退所情報!$N37=$B$2,月途中入退所情報!$T37,"-")</f>
        <v>-</v>
      </c>
      <c r="AC87" s="84">
        <f>IF($Z87="標準時間",HLOOKUP($Y87,$F$31:$I$54,24,FALSE)-SUM($F$10,$F$21:$F$24,$F$26)-HLOOKUP($Y87,$F$31:$I$54,17,FALSE)+HLOOKUP($Y87,$F$31:$I$56,26,FALSE),IF($Z87="短時間",HLOOKUP($Y87,$J$31:$M$54,24,FALSE)-SUM($F$10,$F$21:$F$24,$F$26)-HLOOKUP($Y87,$J$31:$M$54,17,FALSE)+HLOOKUP($Y87,$J$31:$M$56,26,FALSE),0))+IF(AA87="○",加算と減算!$AH$3,0)</f>
        <v>0</v>
      </c>
      <c r="AD87" s="85">
        <f t="shared" si="57"/>
        <v>0</v>
      </c>
      <c r="AE87" s="262">
        <f t="shared" si="58"/>
        <v>0</v>
      </c>
    </row>
    <row r="88" spans="15:31">
      <c r="O88" s="61" t="str">
        <f>IF(月途中入退所情報!$D38=$B$2,月途中入退所情報!F38,"-")</f>
        <v>-</v>
      </c>
      <c r="P88" s="61" t="str">
        <f>IF(月途中入退所情報!$D38=$B$2,月途中入退所情報!G38,"-")</f>
        <v>-</v>
      </c>
      <c r="Q88" s="61" t="str">
        <f>IF(月途中入退所情報!$D38=$B$2,月途中入退所情報!H38,"-")</f>
        <v>-</v>
      </c>
      <c r="R88" s="61" t="str">
        <f>IF(月途中入退所情報!$D38=$B$2,月途中入退所情報!I38,"-")</f>
        <v>-</v>
      </c>
      <c r="S88" s="61" t="str">
        <f>IF(月途中入退所情報!$D38=$B$2,月途中入退所情報!J38,"-")</f>
        <v>-</v>
      </c>
      <c r="T88" s="84">
        <f>IF($Q88="標準時間",HLOOKUP($P88,$F$31:$I$54,24,FALSE)-SUM($F$10,$F$21:$F$24,$F$26)-HLOOKUP($P88,$F$31:$I$54,17,FALSE)+HLOOKUP($P88,$F$31:$I$56,26,FALSE),IF($Q88="短時間",HLOOKUP($P88,$J$31:$M$54,24,FALSE)-SUM($F$10,$F$21:$F$24,$F$26)-HLOOKUP($P88,$J$31:$M$54,17,FALSE)+HLOOKUP($P88,$J$31:$M$56,26,FALSE),0))+IF(R88="○",加算と減算!$AH$3,0)</f>
        <v>0</v>
      </c>
      <c r="U88" s="85">
        <f t="shared" si="56"/>
        <v>0</v>
      </c>
      <c r="V88" s="262">
        <f t="shared" si="59"/>
        <v>0</v>
      </c>
      <c r="W88" s="262"/>
      <c r="X88" s="61" t="str">
        <f>IF(月途中入退所情報!$N38=$B$2,月途中入退所情報!$P38,"-")</f>
        <v>-</v>
      </c>
      <c r="Y88" s="61" t="str">
        <f>IF(月途中入退所情報!$N38=$B$2,月途中入退所情報!$Q38,"-")</f>
        <v>-</v>
      </c>
      <c r="Z88" s="61" t="str">
        <f>IF(月途中入退所情報!$N38=$B$2,月途中入退所情報!$R38,"-")</f>
        <v>-</v>
      </c>
      <c r="AA88" s="61" t="str">
        <f>IF(月途中入退所情報!$N38=$B$2,月途中入退所情報!$S38,"-")</f>
        <v>-</v>
      </c>
      <c r="AB88" s="61" t="str">
        <f>IF(月途中入退所情報!$N38=$B$2,月途中入退所情報!$T38,"-")</f>
        <v>-</v>
      </c>
      <c r="AC88" s="84">
        <f>IF($Z88="標準時間",HLOOKUP($Y88,$F$31:$I$54,24,FALSE)-SUM($F$10,$F$21:$F$24,$F$26)-HLOOKUP($Y88,$F$31:$I$54,17,FALSE)+HLOOKUP($Y88,$F$31:$I$56,26,FALSE),IF($Z88="短時間",HLOOKUP($Y88,$J$31:$M$54,24,FALSE)-SUM($F$10,$F$21:$F$24,$F$26)-HLOOKUP($Y88,$J$31:$M$54,17,FALSE)+HLOOKUP($Y88,$J$31:$M$56,26,FALSE),0))+IF(AA88="○",加算と減算!$AH$3,0)</f>
        <v>0</v>
      </c>
      <c r="AD88" s="85">
        <f t="shared" si="57"/>
        <v>0</v>
      </c>
      <c r="AE88" s="262">
        <f t="shared" si="58"/>
        <v>0</v>
      </c>
    </row>
    <row r="89" spans="15:31">
      <c r="O89" s="61" t="str">
        <f>IF(月途中入退所情報!$D39=$B$2,月途中入退所情報!F39,"-")</f>
        <v>-</v>
      </c>
      <c r="P89" s="61" t="str">
        <f>IF(月途中入退所情報!$D39=$B$2,月途中入退所情報!G39,"-")</f>
        <v>-</v>
      </c>
      <c r="Q89" s="61" t="str">
        <f>IF(月途中入退所情報!$D39=$B$2,月途中入退所情報!H39,"-")</f>
        <v>-</v>
      </c>
      <c r="R89" s="61" t="str">
        <f>IF(月途中入退所情報!$D39=$B$2,月途中入退所情報!I39,"-")</f>
        <v>-</v>
      </c>
      <c r="S89" s="61" t="str">
        <f>IF(月途中入退所情報!$D39=$B$2,月途中入退所情報!J39,"-")</f>
        <v>-</v>
      </c>
      <c r="T89" s="84">
        <f>IF($Q89="標準時間",HLOOKUP($P89,$F$31:$I$54,24,FALSE)-SUM($F$10,$F$21:$F$24,$F$26)-HLOOKUP($P89,$F$31:$I$54,17,FALSE)+HLOOKUP($P89,$F$31:$I$56,26,FALSE),IF($Q89="短時間",HLOOKUP($P89,$J$31:$M$54,24,FALSE)-SUM($F$10,$F$21:$F$24,$F$26)-HLOOKUP($P89,$J$31:$M$54,17,FALSE)+HLOOKUP($P89,$J$31:$M$56,26,FALSE),0))+IF(R89="○",加算と減算!$AH$3,0)</f>
        <v>0</v>
      </c>
      <c r="U89" s="85">
        <f t="shared" si="56"/>
        <v>0</v>
      </c>
      <c r="V89" s="262">
        <f t="shared" si="59"/>
        <v>0</v>
      </c>
      <c r="W89" s="262"/>
      <c r="X89" s="61" t="str">
        <f>IF(月途中入退所情報!$N39=$B$2,月途中入退所情報!$P39,"-")</f>
        <v>-</v>
      </c>
      <c r="Y89" s="61" t="str">
        <f>IF(月途中入退所情報!$N39=$B$2,月途中入退所情報!$Q39,"-")</f>
        <v>-</v>
      </c>
      <c r="Z89" s="61" t="str">
        <f>IF(月途中入退所情報!$N39=$B$2,月途中入退所情報!$R39,"-")</f>
        <v>-</v>
      </c>
      <c r="AA89" s="61" t="str">
        <f>IF(月途中入退所情報!$N39=$B$2,月途中入退所情報!$S39,"-")</f>
        <v>-</v>
      </c>
      <c r="AB89" s="61" t="str">
        <f>IF(月途中入退所情報!$N39=$B$2,月途中入退所情報!$T39,"-")</f>
        <v>-</v>
      </c>
      <c r="AC89" s="84">
        <f>IF($Z89="標準時間",HLOOKUP($Y89,$F$31:$I$54,24,FALSE)-SUM($F$10,$F$21:$F$24,$F$26)-HLOOKUP($Y89,$F$31:$I$54,17,FALSE)+HLOOKUP($Y89,$F$31:$I$56,26,FALSE),IF($Z89="短時間",HLOOKUP($Y89,$J$31:$M$54,24,FALSE)-SUM($F$10,$F$21:$F$24,$F$26)-HLOOKUP($Y89,$J$31:$M$54,17,FALSE)+HLOOKUP($Y89,$J$31:$M$56,26,FALSE),0))+IF(AA89="○",加算と減算!$AH$3,0)</f>
        <v>0</v>
      </c>
      <c r="AD89" s="85">
        <f t="shared" si="57"/>
        <v>0</v>
      </c>
      <c r="AE89" s="262">
        <f t="shared" si="58"/>
        <v>0</v>
      </c>
    </row>
    <row r="90" spans="15:31">
      <c r="O90" s="61" t="str">
        <f>IF(月途中入退所情報!$D40=$B$2,月途中入退所情報!F40,"-")</f>
        <v>-</v>
      </c>
      <c r="P90" s="61" t="str">
        <f>IF(月途中入退所情報!$D40=$B$2,月途中入退所情報!G40,"-")</f>
        <v>-</v>
      </c>
      <c r="Q90" s="61" t="str">
        <f>IF(月途中入退所情報!$D40=$B$2,月途中入退所情報!H40,"-")</f>
        <v>-</v>
      </c>
      <c r="R90" s="61" t="str">
        <f>IF(月途中入退所情報!$D40=$B$2,月途中入退所情報!I40,"-")</f>
        <v>-</v>
      </c>
      <c r="S90" s="61" t="str">
        <f>IF(月途中入退所情報!$D40=$B$2,月途中入退所情報!J40,"-")</f>
        <v>-</v>
      </c>
      <c r="T90" s="84">
        <f>IF($Q90="標準時間",HLOOKUP($P90,$F$31:$I$54,24,FALSE)-SUM($F$10,$F$21:$F$24,$F$26)-HLOOKUP($P90,$F$31:$I$54,17,FALSE)+HLOOKUP($P90,$F$31:$I$56,26,FALSE),IF($Q90="短時間",HLOOKUP($P90,$J$31:$M$54,24,FALSE)-SUM($F$10,$F$21:$F$24,$F$26)-HLOOKUP($P90,$J$31:$M$54,17,FALSE)+HLOOKUP($P90,$J$31:$M$56,26,FALSE),0))+IF(R90="○",加算と減算!$AH$3,0)</f>
        <v>0</v>
      </c>
      <c r="U90" s="85">
        <f t="shared" si="56"/>
        <v>0</v>
      </c>
      <c r="V90" s="262">
        <f t="shared" si="59"/>
        <v>0</v>
      </c>
      <c r="W90" s="262"/>
      <c r="X90" s="61" t="str">
        <f>IF(月途中入退所情報!$N40=$B$2,月途中入退所情報!$P40,"-")</f>
        <v>-</v>
      </c>
      <c r="Y90" s="61" t="str">
        <f>IF(月途中入退所情報!$N40=$B$2,月途中入退所情報!$Q40,"-")</f>
        <v>-</v>
      </c>
      <c r="Z90" s="61" t="str">
        <f>IF(月途中入退所情報!$N40=$B$2,月途中入退所情報!$R40,"-")</f>
        <v>-</v>
      </c>
      <c r="AA90" s="61" t="str">
        <f>IF(月途中入退所情報!$N40=$B$2,月途中入退所情報!$S40,"-")</f>
        <v>-</v>
      </c>
      <c r="AB90" s="61" t="str">
        <f>IF(月途中入退所情報!$N40=$B$2,月途中入退所情報!$T40,"-")</f>
        <v>-</v>
      </c>
      <c r="AC90" s="84">
        <f>IF($Z90="標準時間",HLOOKUP($Y90,$F$31:$I$54,24,FALSE)-SUM($F$10,$F$21:$F$24,$F$26)-HLOOKUP($Y90,$F$31:$I$54,17,FALSE)+HLOOKUP($Y90,$F$31:$I$56,26,FALSE),IF($Z90="短時間",HLOOKUP($Y90,$J$31:$M$54,24,FALSE)-SUM($F$10,$F$21:$F$24,$F$26)-HLOOKUP($Y90,$J$31:$M$54,17,FALSE)+HLOOKUP($Y90,$J$31:$M$56,26,FALSE),0))+IF(AA90="○",加算と減算!$AH$3,0)</f>
        <v>0</v>
      </c>
      <c r="AD90" s="85">
        <f t="shared" si="57"/>
        <v>0</v>
      </c>
      <c r="AE90" s="262">
        <f t="shared" si="58"/>
        <v>0</v>
      </c>
    </row>
    <row r="91" spans="15:31">
      <c r="O91" s="61" t="str">
        <f>IF(月途中入退所情報!$D41=$B$2,月途中入退所情報!F41,"-")</f>
        <v>-</v>
      </c>
      <c r="P91" s="61" t="str">
        <f>IF(月途中入退所情報!$D41=$B$2,月途中入退所情報!G41,"-")</f>
        <v>-</v>
      </c>
      <c r="Q91" s="61" t="str">
        <f>IF(月途中入退所情報!$D41=$B$2,月途中入退所情報!H41,"-")</f>
        <v>-</v>
      </c>
      <c r="R91" s="61" t="str">
        <f>IF(月途中入退所情報!$D41=$B$2,月途中入退所情報!I41,"-")</f>
        <v>-</v>
      </c>
      <c r="S91" s="61" t="str">
        <f>IF(月途中入退所情報!$D41=$B$2,月途中入退所情報!J41,"-")</f>
        <v>-</v>
      </c>
      <c r="T91" s="84">
        <f>IF($Q91="標準時間",HLOOKUP($P91,$F$31:$I$54,24,FALSE)-SUM($F$10,$F$21:$F$24,$F$26)-HLOOKUP($P91,$F$31:$I$54,17,FALSE)+HLOOKUP($P91,$F$31:$I$56,26,FALSE),IF($Q91="短時間",HLOOKUP($P91,$J$31:$M$54,24,FALSE)-SUM($F$10,$F$21:$F$24,$F$26)-HLOOKUP($P91,$J$31:$M$54,17,FALSE)+HLOOKUP($P91,$J$31:$M$56,26,FALSE),0))+IF(R91="○",加算と減算!$AH$3,0)</f>
        <v>0</v>
      </c>
      <c r="U91" s="85">
        <f t="shared" si="56"/>
        <v>0</v>
      </c>
      <c r="V91" s="262">
        <f t="shared" si="59"/>
        <v>0</v>
      </c>
      <c r="W91" s="262"/>
      <c r="X91" s="61" t="str">
        <f>IF(月途中入退所情報!$N41=$B$2,月途中入退所情報!$P41,"-")</f>
        <v>-</v>
      </c>
      <c r="Y91" s="61" t="str">
        <f>IF(月途中入退所情報!$N41=$B$2,月途中入退所情報!$Q41,"-")</f>
        <v>-</v>
      </c>
      <c r="Z91" s="61" t="str">
        <f>IF(月途中入退所情報!$N41=$B$2,月途中入退所情報!$R41,"-")</f>
        <v>-</v>
      </c>
      <c r="AA91" s="61" t="str">
        <f>IF(月途中入退所情報!$N41=$B$2,月途中入退所情報!$S41,"-")</f>
        <v>-</v>
      </c>
      <c r="AB91" s="61" t="str">
        <f>IF(月途中入退所情報!$N41=$B$2,月途中入退所情報!$T41,"-")</f>
        <v>-</v>
      </c>
      <c r="AC91" s="84">
        <f>IF($Z91="標準時間",HLOOKUP($Y91,$F$31:$I$54,24,FALSE)-SUM($F$10,$F$21:$F$24,$F$26)-HLOOKUP($Y91,$F$31:$I$54,17,FALSE)+HLOOKUP($Y91,$F$31:$I$56,26,FALSE),IF($Z91="短時間",HLOOKUP($Y91,$J$31:$M$54,24,FALSE)-SUM($F$10,$F$21:$F$24,$F$26)-HLOOKUP($Y91,$J$31:$M$54,17,FALSE)+HLOOKUP($Y91,$J$31:$M$56,26,FALSE),0))+IF(AA91="○",加算と減算!$AH$3,0)</f>
        <v>0</v>
      </c>
      <c r="AD91" s="85">
        <f t="shared" si="57"/>
        <v>0</v>
      </c>
      <c r="AE91" s="262">
        <f t="shared" si="58"/>
        <v>0</v>
      </c>
    </row>
    <row r="92" spans="15:31">
      <c r="O92" s="61" t="str">
        <f>IF(月途中入退所情報!$D42=$B$2,月途中入退所情報!F42,"-")</f>
        <v>-</v>
      </c>
      <c r="P92" s="61" t="str">
        <f>IF(月途中入退所情報!$D42=$B$2,月途中入退所情報!G42,"-")</f>
        <v>-</v>
      </c>
      <c r="Q92" s="61" t="str">
        <f>IF(月途中入退所情報!$D42=$B$2,月途中入退所情報!H42,"-")</f>
        <v>-</v>
      </c>
      <c r="R92" s="61" t="str">
        <f>IF(月途中入退所情報!$D42=$B$2,月途中入退所情報!I42,"-")</f>
        <v>-</v>
      </c>
      <c r="S92" s="61" t="str">
        <f>IF(月途中入退所情報!$D42=$B$2,月途中入退所情報!J42,"-")</f>
        <v>-</v>
      </c>
      <c r="T92" s="84">
        <f>IF($Q92="標準時間",HLOOKUP($P92,$F$31:$I$54,24,FALSE)-SUM($F$10,$F$21:$F$24,$F$26)-HLOOKUP($P92,$F$31:$I$54,17,FALSE)+HLOOKUP($P92,$F$31:$I$56,26,FALSE),IF($Q92="短時間",HLOOKUP($P92,$J$31:$M$54,24,FALSE)-SUM($F$10,$F$21:$F$24,$F$26)-HLOOKUP($P92,$J$31:$M$54,17,FALSE)+HLOOKUP($P92,$J$31:$M$56,26,FALSE),0))+IF(R92="○",加算と減算!$AH$3,0)</f>
        <v>0</v>
      </c>
      <c r="U92" s="85">
        <f t="shared" si="56"/>
        <v>0</v>
      </c>
      <c r="V92" s="262">
        <f t="shared" si="59"/>
        <v>0</v>
      </c>
      <c r="W92" s="262"/>
      <c r="X92" s="61" t="str">
        <f>IF(月途中入退所情報!$N42=$B$2,月途中入退所情報!$P42,"-")</f>
        <v>-</v>
      </c>
      <c r="Y92" s="61" t="str">
        <f>IF(月途中入退所情報!$N42=$B$2,月途中入退所情報!$Q42,"-")</f>
        <v>-</v>
      </c>
      <c r="Z92" s="61" t="str">
        <f>IF(月途中入退所情報!$N42=$B$2,月途中入退所情報!$R42,"-")</f>
        <v>-</v>
      </c>
      <c r="AA92" s="61" t="str">
        <f>IF(月途中入退所情報!$N42=$B$2,月途中入退所情報!$S42,"-")</f>
        <v>-</v>
      </c>
      <c r="AB92" s="61" t="str">
        <f>IF(月途中入退所情報!$N42=$B$2,月途中入退所情報!$T42,"-")</f>
        <v>-</v>
      </c>
      <c r="AC92" s="84">
        <f>IF($Z92="標準時間",HLOOKUP($Y92,$F$31:$I$54,24,FALSE)-SUM($F$10,$F$21:$F$24,$F$26)-HLOOKUP($Y92,$F$31:$I$54,17,FALSE)+HLOOKUP($Y92,$F$31:$I$56,26,FALSE),IF($Z92="短時間",HLOOKUP($Y92,$J$31:$M$54,24,FALSE)-SUM($F$10,$F$21:$F$24,$F$26)-HLOOKUP($Y92,$J$31:$M$54,17,FALSE)+HLOOKUP($Y92,$J$31:$M$56,26,FALSE),0))+IF(AA92="○",加算と減算!$AH$3,0)</f>
        <v>0</v>
      </c>
      <c r="AD92" s="85">
        <f t="shared" si="57"/>
        <v>0</v>
      </c>
      <c r="AE92" s="262">
        <f t="shared" si="58"/>
        <v>0</v>
      </c>
    </row>
    <row r="93" spans="15:31">
      <c r="O93" s="61" t="str">
        <f>IF(月途中入退所情報!$D43=$B$2,月途中入退所情報!F43,"-")</f>
        <v>-</v>
      </c>
      <c r="P93" s="61" t="str">
        <f>IF(月途中入退所情報!$D43=$B$2,月途中入退所情報!G43,"-")</f>
        <v>-</v>
      </c>
      <c r="Q93" s="61" t="str">
        <f>IF(月途中入退所情報!$D43=$B$2,月途中入退所情報!H43,"-")</f>
        <v>-</v>
      </c>
      <c r="R93" s="61" t="str">
        <f>IF(月途中入退所情報!$D43=$B$2,月途中入退所情報!I43,"-")</f>
        <v>-</v>
      </c>
      <c r="S93" s="61" t="str">
        <f>IF(月途中入退所情報!$D43=$B$2,月途中入退所情報!J43,"-")</f>
        <v>-</v>
      </c>
      <c r="T93" s="84">
        <f>IF($Q93="標準時間",HLOOKUP($P93,$F$31:$I$54,24,FALSE)-SUM($F$10,$F$21:$F$24,$F$26)-HLOOKUP($P93,$F$31:$I$54,17,FALSE)+HLOOKUP($P93,$F$31:$I$56,26,FALSE),IF($Q93="短時間",HLOOKUP($P93,$J$31:$M$54,24,FALSE)-SUM($F$10,$F$21:$F$24,$F$26)-HLOOKUP($P93,$J$31:$M$54,17,FALSE)+HLOOKUP($P93,$J$31:$M$56,26,FALSE),0))+IF(R93="○",加算と減算!$AH$3,0)</f>
        <v>0</v>
      </c>
      <c r="U93" s="85">
        <f t="shared" si="56"/>
        <v>0</v>
      </c>
      <c r="V93" s="262">
        <f t="shared" si="59"/>
        <v>0</v>
      </c>
      <c r="W93" s="262"/>
      <c r="X93" s="61" t="str">
        <f>IF(月途中入退所情報!$N43=$B$2,月途中入退所情報!$P43,"-")</f>
        <v>-</v>
      </c>
      <c r="Y93" s="61" t="str">
        <f>IF(月途中入退所情報!$N43=$B$2,月途中入退所情報!$Q43,"-")</f>
        <v>-</v>
      </c>
      <c r="Z93" s="61" t="str">
        <f>IF(月途中入退所情報!$N43=$B$2,月途中入退所情報!$R43,"-")</f>
        <v>-</v>
      </c>
      <c r="AA93" s="61" t="str">
        <f>IF(月途中入退所情報!$N43=$B$2,月途中入退所情報!$S43,"-")</f>
        <v>-</v>
      </c>
      <c r="AB93" s="61" t="str">
        <f>IF(月途中入退所情報!$N43=$B$2,月途中入退所情報!$T43,"-")</f>
        <v>-</v>
      </c>
      <c r="AC93" s="84">
        <f>IF($Z93="標準時間",HLOOKUP($Y93,$F$31:$I$54,24,FALSE)-SUM($F$10,$F$21:$F$24,$F$26)-HLOOKUP($Y93,$F$31:$I$54,17,FALSE)+HLOOKUP($Y93,$F$31:$I$56,26,FALSE),IF($Z93="短時間",HLOOKUP($Y93,$J$31:$M$54,24,FALSE)-SUM($F$10,$F$21:$F$24,$F$26)-HLOOKUP($Y93,$J$31:$M$54,17,FALSE)+HLOOKUP($Y93,$J$31:$M$56,26,FALSE),0))+IF(AA93="○",加算と減算!$AH$3,0)</f>
        <v>0</v>
      </c>
      <c r="AD93" s="85">
        <f t="shared" si="57"/>
        <v>0</v>
      </c>
      <c r="AE93" s="262">
        <f t="shared" si="58"/>
        <v>0</v>
      </c>
    </row>
    <row r="94" spans="15:31">
      <c r="O94" s="61" t="str">
        <f>IF(月途中入退所情報!$D44=$B$2,月途中入退所情報!F44,"-")</f>
        <v>-</v>
      </c>
      <c r="P94" s="61" t="str">
        <f>IF(月途中入退所情報!$D44=$B$2,月途中入退所情報!G44,"-")</f>
        <v>-</v>
      </c>
      <c r="Q94" s="61" t="str">
        <f>IF(月途中入退所情報!$D44=$B$2,月途中入退所情報!H44,"-")</f>
        <v>-</v>
      </c>
      <c r="R94" s="61" t="str">
        <f>IF(月途中入退所情報!$D44=$B$2,月途中入退所情報!I44,"-")</f>
        <v>-</v>
      </c>
      <c r="S94" s="61" t="str">
        <f>IF(月途中入退所情報!$D44=$B$2,月途中入退所情報!J44,"-")</f>
        <v>-</v>
      </c>
      <c r="T94" s="84">
        <f>IF($Q94="標準時間",HLOOKUP($P94,$F$31:$I$54,24,FALSE)-SUM($F$10,$F$21:$F$24,$F$26)-HLOOKUP($P94,$F$31:$I$54,17,FALSE)+HLOOKUP($P94,$F$31:$I$56,26,FALSE),IF($Q94="短時間",HLOOKUP($P94,$J$31:$M$54,24,FALSE)-SUM($F$10,$F$21:$F$24,$F$26)-HLOOKUP($P94,$J$31:$M$54,17,FALSE)+HLOOKUP($P94,$J$31:$M$56,26,FALSE),0))+IF(R94="○",加算と減算!$AH$3,0)</f>
        <v>0</v>
      </c>
      <c r="U94" s="85">
        <f t="shared" si="56"/>
        <v>0</v>
      </c>
      <c r="V94" s="262">
        <f t="shared" si="59"/>
        <v>0</v>
      </c>
      <c r="W94" s="262"/>
      <c r="X94" s="61" t="str">
        <f>IF(月途中入退所情報!$N44=$B$2,月途中入退所情報!$P44,"-")</f>
        <v>-</v>
      </c>
      <c r="Y94" s="61" t="str">
        <f>IF(月途中入退所情報!$N44=$B$2,月途中入退所情報!$Q44,"-")</f>
        <v>-</v>
      </c>
      <c r="Z94" s="61" t="str">
        <f>IF(月途中入退所情報!$N44=$B$2,月途中入退所情報!$R44,"-")</f>
        <v>-</v>
      </c>
      <c r="AA94" s="61" t="str">
        <f>IF(月途中入退所情報!$N44=$B$2,月途中入退所情報!$S44,"-")</f>
        <v>-</v>
      </c>
      <c r="AB94" s="61" t="str">
        <f>IF(月途中入退所情報!$N44=$B$2,月途中入退所情報!$T44,"-")</f>
        <v>-</v>
      </c>
      <c r="AC94" s="84">
        <f>IF($Z94="標準時間",HLOOKUP($Y94,$F$31:$I$54,24,FALSE)-SUM($F$10,$F$21:$F$24,$F$26)-HLOOKUP($Y94,$F$31:$I$54,17,FALSE)+HLOOKUP($Y94,$F$31:$I$56,26,FALSE),IF($Z94="短時間",HLOOKUP($Y94,$J$31:$M$54,24,FALSE)-SUM($F$10,$F$21:$F$24,$F$26)-HLOOKUP($Y94,$J$31:$M$54,17,FALSE)+HLOOKUP($Y94,$J$31:$M$56,26,FALSE),0))+IF(AA94="○",加算と減算!$AH$3,0)</f>
        <v>0</v>
      </c>
      <c r="AD94" s="85">
        <f t="shared" si="57"/>
        <v>0</v>
      </c>
      <c r="AE94" s="262">
        <f t="shared" si="58"/>
        <v>0</v>
      </c>
    </row>
    <row r="95" spans="15:31">
      <c r="O95" s="61" t="str">
        <f>IF(月途中入退所情報!$D45=$B$2,月途中入退所情報!F45,"-")</f>
        <v>-</v>
      </c>
      <c r="P95" s="61" t="str">
        <f>IF(月途中入退所情報!$D45=$B$2,月途中入退所情報!G45,"-")</f>
        <v>-</v>
      </c>
      <c r="Q95" s="61" t="str">
        <f>IF(月途中入退所情報!$D45=$B$2,月途中入退所情報!H45,"-")</f>
        <v>-</v>
      </c>
      <c r="R95" s="61" t="str">
        <f>IF(月途中入退所情報!$D45=$B$2,月途中入退所情報!I45,"-")</f>
        <v>-</v>
      </c>
      <c r="S95" s="61" t="str">
        <f>IF(月途中入退所情報!$D45=$B$2,月途中入退所情報!J45,"-")</f>
        <v>-</v>
      </c>
      <c r="T95" s="84">
        <f>IF($Q95="標準時間",HLOOKUP($P95,$F$31:$I$54,24,FALSE)-SUM($F$10,$F$21:$F$24,$F$26)-HLOOKUP($P95,$F$31:$I$54,17,FALSE)+HLOOKUP($P95,$F$31:$I$56,26,FALSE),IF($Q95="短時間",HLOOKUP($P95,$J$31:$M$54,24,FALSE)-SUM($F$10,$F$21:$F$24,$F$26)-HLOOKUP($P95,$J$31:$M$54,17,FALSE)+HLOOKUP($P95,$J$31:$M$56,26,FALSE),0))+IF(R95="○",加算と減算!$AH$3,0)</f>
        <v>0</v>
      </c>
      <c r="U95" s="85">
        <f t="shared" si="56"/>
        <v>0</v>
      </c>
      <c r="V95" s="262">
        <f t="shared" si="59"/>
        <v>0</v>
      </c>
      <c r="W95" s="262"/>
      <c r="X95" s="61" t="str">
        <f>IF(月途中入退所情報!$N45=$B$2,月途中入退所情報!$P45,"-")</f>
        <v>-</v>
      </c>
      <c r="Y95" s="61" t="str">
        <f>IF(月途中入退所情報!$N45=$B$2,月途中入退所情報!$Q45,"-")</f>
        <v>-</v>
      </c>
      <c r="Z95" s="61" t="str">
        <f>IF(月途中入退所情報!$N45=$B$2,月途中入退所情報!$R45,"-")</f>
        <v>-</v>
      </c>
      <c r="AA95" s="61" t="str">
        <f>IF(月途中入退所情報!$N45=$B$2,月途中入退所情報!$S45,"-")</f>
        <v>-</v>
      </c>
      <c r="AB95" s="61" t="str">
        <f>IF(月途中入退所情報!$N45=$B$2,月途中入退所情報!$T45,"-")</f>
        <v>-</v>
      </c>
      <c r="AC95" s="84">
        <f>IF($Z95="標準時間",HLOOKUP($Y95,$F$31:$I$54,24,FALSE)-SUM($F$10,$F$21:$F$24,$F$26)-HLOOKUP($Y95,$F$31:$I$54,17,FALSE)+HLOOKUP($Y95,$F$31:$I$56,26,FALSE),IF($Z95="短時間",HLOOKUP($Y95,$J$31:$M$54,24,FALSE)-SUM($F$10,$F$21:$F$24,$F$26)-HLOOKUP($Y95,$J$31:$M$54,17,FALSE)+HLOOKUP($Y95,$J$31:$M$56,26,FALSE),0))+IF(AA95="○",加算と減算!$AH$3,0)</f>
        <v>0</v>
      </c>
      <c r="AD95" s="85">
        <f t="shared" si="57"/>
        <v>0</v>
      </c>
      <c r="AE95" s="262">
        <f t="shared" si="58"/>
        <v>0</v>
      </c>
    </row>
    <row r="96" spans="15:31">
      <c r="O96" s="61" t="str">
        <f>IF(月途中入退所情報!$D46=$B$2,月途中入退所情報!F46,"-")</f>
        <v>-</v>
      </c>
      <c r="P96" s="61" t="str">
        <f>IF(月途中入退所情報!$D46=$B$2,月途中入退所情報!G46,"-")</f>
        <v>-</v>
      </c>
      <c r="Q96" s="61" t="str">
        <f>IF(月途中入退所情報!$D46=$B$2,月途中入退所情報!H46,"-")</f>
        <v>-</v>
      </c>
      <c r="R96" s="61" t="str">
        <f>IF(月途中入退所情報!$D46=$B$2,月途中入退所情報!I46,"-")</f>
        <v>-</v>
      </c>
      <c r="S96" s="61" t="str">
        <f>IF(月途中入退所情報!$D46=$B$2,月途中入退所情報!J46,"-")</f>
        <v>-</v>
      </c>
      <c r="T96" s="84">
        <f>IF($Q96="標準時間",HLOOKUP($P96,$F$31:$I$54,24,FALSE)-SUM($F$10,$F$21:$F$24,$F$26)-HLOOKUP($P96,$F$31:$I$54,17,FALSE)+HLOOKUP($P96,$F$31:$I$56,26,FALSE),IF($Q96="短時間",HLOOKUP($P96,$J$31:$M$54,24,FALSE)-SUM($F$10,$F$21:$F$24,$F$26)-HLOOKUP($P96,$J$31:$M$54,17,FALSE)+HLOOKUP($P96,$J$31:$M$56,26,FALSE),0))+IF(R96="○",加算と減算!$AH$3,0)</f>
        <v>0</v>
      </c>
      <c r="U96" s="85">
        <f t="shared" si="56"/>
        <v>0</v>
      </c>
      <c r="V96" s="262">
        <f t="shared" si="59"/>
        <v>0</v>
      </c>
      <c r="W96" s="262"/>
      <c r="X96" s="61" t="str">
        <f>IF(月途中入退所情報!$N46=$B$2,月途中入退所情報!$P46,"-")</f>
        <v>-</v>
      </c>
      <c r="Y96" s="61" t="str">
        <f>IF(月途中入退所情報!$N46=$B$2,月途中入退所情報!$Q46,"-")</f>
        <v>-</v>
      </c>
      <c r="Z96" s="61" t="str">
        <f>IF(月途中入退所情報!$N46=$B$2,月途中入退所情報!$R46,"-")</f>
        <v>-</v>
      </c>
      <c r="AA96" s="61" t="str">
        <f>IF(月途中入退所情報!$N46=$B$2,月途中入退所情報!$S46,"-")</f>
        <v>-</v>
      </c>
      <c r="AB96" s="61" t="str">
        <f>IF(月途中入退所情報!$N46=$B$2,月途中入退所情報!$T46,"-")</f>
        <v>-</v>
      </c>
      <c r="AC96" s="84">
        <f>IF($Z96="標準時間",HLOOKUP($Y96,$F$31:$I$54,24,FALSE)-SUM($F$10,$F$21:$F$24,$F$26)-HLOOKUP($Y96,$F$31:$I$54,17,FALSE)+HLOOKUP($Y96,$F$31:$I$56,26,FALSE),IF($Z96="短時間",HLOOKUP($Y96,$J$31:$M$54,24,FALSE)-SUM($F$10,$F$21:$F$24,$F$26)-HLOOKUP($Y96,$J$31:$M$54,17,FALSE)+HLOOKUP($Y96,$J$31:$M$56,26,FALSE),0))+IF(AA96="○",加算と減算!$AH$3,0)</f>
        <v>0</v>
      </c>
      <c r="AD96" s="85">
        <f t="shared" si="57"/>
        <v>0</v>
      </c>
      <c r="AE96" s="262">
        <f t="shared" si="58"/>
        <v>0</v>
      </c>
    </row>
    <row r="97" spans="15:31">
      <c r="O97" s="61" t="str">
        <f>IF(月途中入退所情報!$D47=$B$2,月途中入退所情報!F47,"-")</f>
        <v>-</v>
      </c>
      <c r="P97" s="61" t="str">
        <f>IF(月途中入退所情報!$D47=$B$2,月途中入退所情報!G47,"-")</f>
        <v>-</v>
      </c>
      <c r="Q97" s="61" t="str">
        <f>IF(月途中入退所情報!$D47=$B$2,月途中入退所情報!H47,"-")</f>
        <v>-</v>
      </c>
      <c r="R97" s="61" t="str">
        <f>IF(月途中入退所情報!$D47=$B$2,月途中入退所情報!I47,"-")</f>
        <v>-</v>
      </c>
      <c r="S97" s="61" t="str">
        <f>IF(月途中入退所情報!$D47=$B$2,月途中入退所情報!J47,"-")</f>
        <v>-</v>
      </c>
      <c r="T97" s="84">
        <f>IF($Q97="標準時間",HLOOKUP($P97,$F$31:$I$54,24,FALSE)-SUM($F$10,$F$21:$F$24,$F$26)-HLOOKUP($P97,$F$31:$I$54,17,FALSE)+HLOOKUP($P97,$F$31:$I$56,26,FALSE),IF($Q97="短時間",HLOOKUP($P97,$J$31:$M$54,24,FALSE)-SUM($F$10,$F$21:$F$24,$F$26)-HLOOKUP($P97,$J$31:$M$54,17,FALSE)+HLOOKUP($P97,$J$31:$M$56,26,FALSE),0))+IF(R97="○",加算と減算!$AH$3,0)</f>
        <v>0</v>
      </c>
      <c r="U97" s="85">
        <f t="shared" si="56"/>
        <v>0</v>
      </c>
      <c r="V97" s="262">
        <f t="shared" si="59"/>
        <v>0</v>
      </c>
      <c r="W97" s="262"/>
      <c r="X97" s="61" t="str">
        <f>IF(月途中入退所情報!$N47=$B$2,月途中入退所情報!$P47,"-")</f>
        <v>-</v>
      </c>
      <c r="Y97" s="61" t="str">
        <f>IF(月途中入退所情報!$N47=$B$2,月途中入退所情報!$Q47,"-")</f>
        <v>-</v>
      </c>
      <c r="Z97" s="61" t="str">
        <f>IF(月途中入退所情報!$N47=$B$2,月途中入退所情報!$R47,"-")</f>
        <v>-</v>
      </c>
      <c r="AA97" s="61" t="str">
        <f>IF(月途中入退所情報!$N47=$B$2,月途中入退所情報!$S47,"-")</f>
        <v>-</v>
      </c>
      <c r="AB97" s="61" t="str">
        <f>IF(月途中入退所情報!$N47=$B$2,月途中入退所情報!$T47,"-")</f>
        <v>-</v>
      </c>
      <c r="AC97" s="84">
        <f>IF($Z97="標準時間",HLOOKUP($Y97,$F$31:$I$54,24,FALSE)-SUM($F$10,$F$21:$F$24,$F$26)-HLOOKUP($Y97,$F$31:$I$54,17,FALSE)+HLOOKUP($Y97,$F$31:$I$56,26,FALSE),IF($Z97="短時間",HLOOKUP($Y97,$J$31:$M$54,24,FALSE)-SUM($F$10,$F$21:$F$24,$F$26)-HLOOKUP($Y97,$J$31:$M$54,17,FALSE)+HLOOKUP($Y97,$J$31:$M$56,26,FALSE),0))+IF(AA97="○",加算と減算!$AH$3,0)</f>
        <v>0</v>
      </c>
      <c r="AD97" s="85">
        <f t="shared" si="57"/>
        <v>0</v>
      </c>
      <c r="AE97" s="262">
        <f t="shared" si="58"/>
        <v>0</v>
      </c>
    </row>
    <row r="98" spans="15:31">
      <c r="O98" s="61" t="str">
        <f>IF(月途中入退所情報!$D48=$B$2,月途中入退所情報!F48,"-")</f>
        <v>-</v>
      </c>
      <c r="P98" s="61" t="str">
        <f>IF(月途中入退所情報!$D48=$B$2,月途中入退所情報!G48,"-")</f>
        <v>-</v>
      </c>
      <c r="Q98" s="61" t="str">
        <f>IF(月途中入退所情報!$D48=$B$2,月途中入退所情報!H48,"-")</f>
        <v>-</v>
      </c>
      <c r="R98" s="61" t="str">
        <f>IF(月途中入退所情報!$D48=$B$2,月途中入退所情報!I48,"-")</f>
        <v>-</v>
      </c>
      <c r="S98" s="61" t="str">
        <f>IF(月途中入退所情報!$D48=$B$2,月途中入退所情報!J48,"-")</f>
        <v>-</v>
      </c>
      <c r="T98" s="84">
        <f>IF($Q98="標準時間",HLOOKUP($P98,$F$31:$I$54,24,FALSE)-SUM($F$10,$F$21:$F$24,$F$26)-HLOOKUP($P98,$F$31:$I$54,17,FALSE)+HLOOKUP($P98,$F$31:$I$56,26,FALSE),IF($Q98="短時間",HLOOKUP($P98,$J$31:$M$54,24,FALSE)-SUM($F$10,$F$21:$F$24,$F$26)-HLOOKUP($P98,$J$31:$M$54,17,FALSE)+HLOOKUP($P98,$J$31:$M$56,26,FALSE),0))+IF(R98="○",加算と減算!$AH$3,0)</f>
        <v>0</v>
      </c>
      <c r="U98" s="85">
        <f t="shared" si="56"/>
        <v>0</v>
      </c>
      <c r="V98" s="262">
        <f t="shared" si="59"/>
        <v>0</v>
      </c>
      <c r="W98" s="262"/>
      <c r="X98" s="61" t="str">
        <f>IF(月途中入退所情報!$N48=$B$2,月途中入退所情報!$P48,"-")</f>
        <v>-</v>
      </c>
      <c r="Y98" s="61" t="str">
        <f>IF(月途中入退所情報!$N48=$B$2,月途中入退所情報!$Q48,"-")</f>
        <v>-</v>
      </c>
      <c r="Z98" s="61" t="str">
        <f>IF(月途中入退所情報!$N48=$B$2,月途中入退所情報!$R48,"-")</f>
        <v>-</v>
      </c>
      <c r="AA98" s="61" t="str">
        <f>IF(月途中入退所情報!$N48=$B$2,月途中入退所情報!$S48,"-")</f>
        <v>-</v>
      </c>
      <c r="AB98" s="61" t="str">
        <f>IF(月途中入退所情報!$N48=$B$2,月途中入退所情報!$T48,"-")</f>
        <v>-</v>
      </c>
      <c r="AC98" s="84">
        <f>IF($Z98="標準時間",HLOOKUP($Y98,$F$31:$I$54,24,FALSE)-SUM($F$10,$F$21:$F$24,$F$26)-HLOOKUP($Y98,$F$31:$I$54,17,FALSE)+HLOOKUP($Y98,$F$31:$I$56,26,FALSE),IF($Z98="短時間",HLOOKUP($Y98,$J$31:$M$54,24,FALSE)-SUM($F$10,$F$21:$F$24,$F$26)-HLOOKUP($Y98,$J$31:$M$54,17,FALSE)+HLOOKUP($Y98,$J$31:$M$56,26,FALSE),0))+IF(AA98="○",加算と減算!$AH$3,0)</f>
        <v>0</v>
      </c>
      <c r="AD98" s="85">
        <f t="shared" si="57"/>
        <v>0</v>
      </c>
      <c r="AE98" s="262">
        <f t="shared" si="58"/>
        <v>0</v>
      </c>
    </row>
    <row r="99" spans="15:31">
      <c r="O99" s="61" t="str">
        <f>IF(月途中入退所情報!$D49=$B$2,月途中入退所情報!F49,"-")</f>
        <v>-</v>
      </c>
      <c r="P99" s="61" t="str">
        <f>IF(月途中入退所情報!$D49=$B$2,月途中入退所情報!G49,"-")</f>
        <v>-</v>
      </c>
      <c r="Q99" s="61" t="str">
        <f>IF(月途中入退所情報!$D49=$B$2,月途中入退所情報!H49,"-")</f>
        <v>-</v>
      </c>
      <c r="R99" s="61" t="str">
        <f>IF(月途中入退所情報!$D49=$B$2,月途中入退所情報!I49,"-")</f>
        <v>-</v>
      </c>
      <c r="S99" s="61" t="str">
        <f>IF(月途中入退所情報!$D49=$B$2,月途中入退所情報!J49,"-")</f>
        <v>-</v>
      </c>
      <c r="T99" s="84">
        <f>IF($Q99="標準時間",HLOOKUP($P99,$F$31:$I$54,24,FALSE)-SUM($F$10,$F$21:$F$24,$F$26)-HLOOKUP($P99,$F$31:$I$54,17,FALSE)+HLOOKUP($P99,$F$31:$I$56,26,FALSE),IF($Q99="短時間",HLOOKUP($P99,$J$31:$M$54,24,FALSE)-SUM($F$10,$F$21:$F$24,$F$26)-HLOOKUP($P99,$J$31:$M$54,17,FALSE)+HLOOKUP($P99,$J$31:$M$56,26,FALSE),0))+IF(R99="○",加算と減算!$AH$3,0)</f>
        <v>0</v>
      </c>
      <c r="U99" s="85">
        <f t="shared" si="56"/>
        <v>0</v>
      </c>
      <c r="V99" s="262">
        <f t="shared" si="59"/>
        <v>0</v>
      </c>
      <c r="W99" s="262"/>
      <c r="X99" s="61" t="str">
        <f>IF(月途中入退所情報!$N49=$B$2,月途中入退所情報!$P49,"-")</f>
        <v>-</v>
      </c>
      <c r="Y99" s="61" t="str">
        <f>IF(月途中入退所情報!$N49=$B$2,月途中入退所情報!$Q49,"-")</f>
        <v>-</v>
      </c>
      <c r="Z99" s="61" t="str">
        <f>IF(月途中入退所情報!$N49=$B$2,月途中入退所情報!$R49,"-")</f>
        <v>-</v>
      </c>
      <c r="AA99" s="61" t="str">
        <f>IF(月途中入退所情報!$N49=$B$2,月途中入退所情報!$S49,"-")</f>
        <v>-</v>
      </c>
      <c r="AB99" s="61" t="str">
        <f>IF(月途中入退所情報!$N49=$B$2,月途中入退所情報!$T49,"-")</f>
        <v>-</v>
      </c>
      <c r="AC99" s="84">
        <f>IF($Z99="標準時間",HLOOKUP($Y99,$F$31:$I$54,24,FALSE)-SUM($F$10,$F$21:$F$24,$F$26)-HLOOKUP($Y99,$F$31:$I$54,17,FALSE)+HLOOKUP($Y99,$F$31:$I$56,26,FALSE),IF($Z99="短時間",HLOOKUP($Y99,$J$31:$M$54,24,FALSE)-SUM($F$10,$F$21:$F$24,$F$26)-HLOOKUP($Y99,$J$31:$M$54,17,FALSE)+HLOOKUP($Y99,$J$31:$M$56,26,FALSE),0))+IF(AA99="○",加算と減算!$AH$3,0)</f>
        <v>0</v>
      </c>
      <c r="AD99" s="85">
        <f t="shared" si="57"/>
        <v>0</v>
      </c>
      <c r="AE99" s="262">
        <f t="shared" si="58"/>
        <v>0</v>
      </c>
    </row>
    <row r="100" spans="15:31">
      <c r="O100" s="61" t="str">
        <f>IF(月途中入退所情報!$D50=$B$2,月途中入退所情報!F50,"-")</f>
        <v>-</v>
      </c>
      <c r="P100" s="61" t="str">
        <f>IF(月途中入退所情報!$D50=$B$2,月途中入退所情報!G50,"-")</f>
        <v>-</v>
      </c>
      <c r="Q100" s="61" t="str">
        <f>IF(月途中入退所情報!$D50=$B$2,月途中入退所情報!H50,"-")</f>
        <v>-</v>
      </c>
      <c r="R100" s="61" t="str">
        <f>IF(月途中入退所情報!$D50=$B$2,月途中入退所情報!I50,"-")</f>
        <v>-</v>
      </c>
      <c r="S100" s="61" t="str">
        <f>IF(月途中入退所情報!$D50=$B$2,月途中入退所情報!J50,"-")</f>
        <v>-</v>
      </c>
      <c r="T100" s="84">
        <f>IF($Q100="標準時間",HLOOKUP($P100,$F$31:$I$54,24,FALSE)-SUM($F$10,$F$21:$F$24,$F$26)-HLOOKUP($P100,$F$31:$I$54,17,FALSE)+HLOOKUP($P100,$F$31:$I$56,26,FALSE),IF($Q100="短時間",HLOOKUP($P100,$J$31:$M$54,24,FALSE)-SUM($F$10,$F$21:$F$24,$F$26)-HLOOKUP($P100,$J$31:$M$54,17,FALSE)+HLOOKUP($P100,$J$31:$M$56,26,FALSE),0))+IF(R100="○",加算と減算!$AH$3,0)</f>
        <v>0</v>
      </c>
      <c r="U100" s="85">
        <f t="shared" si="56"/>
        <v>0</v>
      </c>
      <c r="V100" s="262">
        <f t="shared" si="59"/>
        <v>0</v>
      </c>
      <c r="W100" s="262"/>
      <c r="X100" s="61" t="str">
        <f>IF(月途中入退所情報!$N50=$B$2,月途中入退所情報!$P50,"-")</f>
        <v>-</v>
      </c>
      <c r="Y100" s="61" t="str">
        <f>IF(月途中入退所情報!$N50=$B$2,月途中入退所情報!$Q50,"-")</f>
        <v>-</v>
      </c>
      <c r="Z100" s="61" t="str">
        <f>IF(月途中入退所情報!$N50=$B$2,月途中入退所情報!$R50,"-")</f>
        <v>-</v>
      </c>
      <c r="AA100" s="61" t="str">
        <f>IF(月途中入退所情報!$N50=$B$2,月途中入退所情報!$S50,"-")</f>
        <v>-</v>
      </c>
      <c r="AB100" s="61" t="str">
        <f>IF(月途中入退所情報!$N50=$B$2,月途中入退所情報!$T50,"-")</f>
        <v>-</v>
      </c>
      <c r="AC100" s="84">
        <f>IF($Z100="標準時間",HLOOKUP($Y100,$F$31:$I$54,24,FALSE)-SUM($F$10,$F$21:$F$24,$F$26)-HLOOKUP($Y100,$F$31:$I$54,17,FALSE)+HLOOKUP($Y100,$F$31:$I$56,26,FALSE),IF($Z100="短時間",HLOOKUP($Y100,$J$31:$M$54,24,FALSE)-SUM($F$10,$F$21:$F$24,$F$26)-HLOOKUP($Y100,$J$31:$M$54,17,FALSE)+HLOOKUP($Y100,$J$31:$M$56,26,FALSE),0))+IF(AA100="○",加算と減算!$AH$3,0)</f>
        <v>0</v>
      </c>
      <c r="AD100" s="85">
        <f t="shared" si="57"/>
        <v>0</v>
      </c>
      <c r="AE100" s="262">
        <f t="shared" si="58"/>
        <v>0</v>
      </c>
    </row>
    <row r="101" spans="15:31">
      <c r="T101" s="86" t="s">
        <v>36</v>
      </c>
      <c r="U101" s="85">
        <f>SUM(U81:U100)</f>
        <v>0</v>
      </c>
      <c r="V101" s="262">
        <f>SUM(V81:V100)</f>
        <v>0</v>
      </c>
      <c r="W101" s="262"/>
      <c r="AC101" s="86" t="s">
        <v>36</v>
      </c>
      <c r="AD101" s="85">
        <f>SUM(AD81:AD100)</f>
        <v>0</v>
      </c>
      <c r="AE101" s="264">
        <f>SUM(AE81:AE100)</f>
        <v>0</v>
      </c>
    </row>
  </sheetData>
  <sheetProtection algorithmName="SHA-512" hashValue="soH79yYjOHKMauhKgkSux39jVJQ4BPKx/TCo3Gzfx/kb9pl5v09TjNVwfMoVNMGUxXnQxDGJ/7O8ZfDC6osvtA==" saltValue="XhnODHSoOtx6XMw11CKjAg==" spinCount="100000" sheet="1" objects="1" scenarios="1"/>
  <mergeCells count="89">
    <mergeCell ref="B2:D2"/>
    <mergeCell ref="B4:B27"/>
    <mergeCell ref="C4:D5"/>
    <mergeCell ref="E4:E5"/>
    <mergeCell ref="F4:I4"/>
    <mergeCell ref="C17:C20"/>
    <mergeCell ref="C21:C26"/>
    <mergeCell ref="D15:D16"/>
    <mergeCell ref="D17:D18"/>
    <mergeCell ref="C8:C16"/>
    <mergeCell ref="U4:X4"/>
    <mergeCell ref="Y4:Y5"/>
    <mergeCell ref="C6:D7"/>
    <mergeCell ref="D8:D9"/>
    <mergeCell ref="D11:D12"/>
    <mergeCell ref="J4:M4"/>
    <mergeCell ref="O4:O11"/>
    <mergeCell ref="P4:P5"/>
    <mergeCell ref="Q4:T4"/>
    <mergeCell ref="O13:O20"/>
    <mergeCell ref="P13:P14"/>
    <mergeCell ref="Q13:T13"/>
    <mergeCell ref="U13:X13"/>
    <mergeCell ref="Y13:Y14"/>
    <mergeCell ref="O22:O28"/>
    <mergeCell ref="T22:T28"/>
    <mergeCell ref="C27:D27"/>
    <mergeCell ref="B30:B54"/>
    <mergeCell ref="C30:D31"/>
    <mergeCell ref="E30:E31"/>
    <mergeCell ref="F30:I30"/>
    <mergeCell ref="J30:M30"/>
    <mergeCell ref="O30:O37"/>
    <mergeCell ref="P30:P31"/>
    <mergeCell ref="Q30:T30"/>
    <mergeCell ref="C48:C53"/>
    <mergeCell ref="O48:O54"/>
    <mergeCell ref="T48:T54"/>
    <mergeCell ref="U30:X30"/>
    <mergeCell ref="Y30:Y31"/>
    <mergeCell ref="C32:D33"/>
    <mergeCell ref="C34:C42"/>
    <mergeCell ref="D34:D35"/>
    <mergeCell ref="D37:D38"/>
    <mergeCell ref="O39:O46"/>
    <mergeCell ref="P39:P40"/>
    <mergeCell ref="Q39:T39"/>
    <mergeCell ref="Y39:Y40"/>
    <mergeCell ref="D41:D42"/>
    <mergeCell ref="C43:C47"/>
    <mergeCell ref="D44:D45"/>
    <mergeCell ref="U39:X39"/>
    <mergeCell ref="O79:P79"/>
    <mergeCell ref="X48:Y48"/>
    <mergeCell ref="C54:D54"/>
    <mergeCell ref="O56:P56"/>
    <mergeCell ref="X56:Y56"/>
    <mergeCell ref="F59:I59"/>
    <mergeCell ref="J59:M59"/>
    <mergeCell ref="D61:D62"/>
    <mergeCell ref="D65:D66"/>
    <mergeCell ref="D68:E69"/>
    <mergeCell ref="F69:M69"/>
    <mergeCell ref="AM4:AM27"/>
    <mergeCell ref="AN4:AO5"/>
    <mergeCell ref="AP4:AP5"/>
    <mergeCell ref="AN6:AO7"/>
    <mergeCell ref="AN8:AN16"/>
    <mergeCell ref="AO8:AO9"/>
    <mergeCell ref="AO11:AO12"/>
    <mergeCell ref="AO15:AO16"/>
    <mergeCell ref="AN17:AN20"/>
    <mergeCell ref="AO17:AO18"/>
    <mergeCell ref="AN21:AN26"/>
    <mergeCell ref="AN27:AO27"/>
    <mergeCell ref="AN55:AO55"/>
    <mergeCell ref="AN28:AO28"/>
    <mergeCell ref="AM30:AM54"/>
    <mergeCell ref="AN30:AO31"/>
    <mergeCell ref="AP30:AP31"/>
    <mergeCell ref="AN32:AO33"/>
    <mergeCell ref="AN34:AN42"/>
    <mergeCell ref="AO34:AO35"/>
    <mergeCell ref="AO37:AO38"/>
    <mergeCell ref="AO41:AO42"/>
    <mergeCell ref="AN43:AN47"/>
    <mergeCell ref="AO44:AO45"/>
    <mergeCell ref="AN48:AN53"/>
    <mergeCell ref="AN54:AO54"/>
  </mergeCells>
  <phoneticPr fontId="2"/>
  <pageMargins left="0.7" right="0.7" top="0.75" bottom="0.75" header="0.3" footer="0.3"/>
  <pageSetup paperSize="9" scale="30"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E7359-2545-480E-8ECD-AAFDD836C5A6}">
  <sheetPr>
    <tabColor theme="1"/>
  </sheetPr>
  <dimension ref="B1:AQ101"/>
  <sheetViews>
    <sheetView view="pageBreakPreview" zoomScale="85" zoomScaleNormal="55" zoomScaleSheetLayoutView="85" workbookViewId="0">
      <pane ySplit="5" topLeftCell="A6" activePane="bottomLeft" state="frozen"/>
      <selection activeCell="V65" sqref="V65"/>
      <selection pane="bottomLeft" activeCell="A6" sqref="A6"/>
    </sheetView>
  </sheetViews>
  <sheetFormatPr defaultColWidth="8.75" defaultRowHeight="15"/>
  <cols>
    <col min="1" max="1" width="1" style="2" customWidth="1"/>
    <col min="2" max="3" width="2.75" style="2" customWidth="1"/>
    <col min="4" max="4" width="16.5" style="1" customWidth="1"/>
    <col min="5" max="5" width="8.25" style="57" customWidth="1"/>
    <col min="6" max="13" width="7.25" style="2" customWidth="1"/>
    <col min="14" max="14" width="1" style="2" customWidth="1"/>
    <col min="15" max="16" width="8.625" style="2" customWidth="1"/>
    <col min="17" max="25" width="9.75" style="2" customWidth="1"/>
    <col min="26" max="27" width="8.75" style="2" customWidth="1"/>
    <col min="28" max="31" width="8.875" style="2" customWidth="1"/>
    <col min="32" max="38" width="8.75" style="2"/>
    <col min="39" max="40" width="3.875" style="2" bestFit="1" customWidth="1"/>
    <col min="41" max="41" width="16.5" style="2" bestFit="1" customWidth="1"/>
    <col min="42" max="42" width="8.75" style="2"/>
    <col min="43" max="43" width="9.375" style="264" bestFit="1" customWidth="1"/>
    <col min="44" max="16384" width="8.75" style="2"/>
  </cols>
  <sheetData>
    <row r="1" spans="2:43" ht="4.9000000000000004" customHeight="1" thickBot="1">
      <c r="F1" s="57"/>
      <c r="G1" s="57"/>
      <c r="H1" s="57"/>
      <c r="I1" s="57"/>
      <c r="J1" s="57"/>
      <c r="K1" s="57"/>
      <c r="L1" s="57"/>
      <c r="M1" s="57"/>
    </row>
    <row r="2" spans="2:43" ht="15.75" thickBot="1">
      <c r="B2" s="1450">
        <v>7</v>
      </c>
      <c r="C2" s="1451"/>
      <c r="D2" s="1452"/>
      <c r="E2" s="2"/>
      <c r="F2" s="55" t="s">
        <v>183</v>
      </c>
      <c r="G2" s="72">
        <f>児童数!O11</f>
        <v>0</v>
      </c>
      <c r="H2" s="73" t="s">
        <v>184</v>
      </c>
      <c r="I2" s="72">
        <f>児童数!AB11</f>
        <v>0</v>
      </c>
      <c r="J2" s="73" t="s">
        <v>182</v>
      </c>
      <c r="K2" s="72">
        <f>G2+I2</f>
        <v>0</v>
      </c>
      <c r="L2" s="62"/>
      <c r="N2" s="1"/>
      <c r="O2" s="55" t="s">
        <v>192</v>
      </c>
      <c r="P2" s="78">
        <f>IF(基本情報!E5="",0,基本情報!G10)</f>
        <v>0</v>
      </c>
      <c r="Q2" s="77" t="s">
        <v>11</v>
      </c>
      <c r="R2" s="55" t="s">
        <v>202</v>
      </c>
      <c r="S2" s="257">
        <f>IF(基本情報!E12="１日",単価表!BB11,IF(基本情報!E12="２日",単価表!BC11,IF(基本情報!E12="３日",単価表!BD11,IF(基本情報!E12="全て",単価表!BE11,0))))*100</f>
        <v>0</v>
      </c>
      <c r="T2" s="258">
        <f>IF(基本情報!E12="１日",単価表!BB27,IF(基本情報!E12="２日",単価表!BC27,IF(基本情報!E12="３日",単価表!BD27,IF(基本情報!E12="全て",単価表!BE27,0))))*100</f>
        <v>0</v>
      </c>
      <c r="U2" s="55" t="s">
        <v>198</v>
      </c>
      <c r="V2" s="257">
        <f>IF(基本情報!E14="該当",定員超過減算率!C2,0)</f>
        <v>0</v>
      </c>
      <c r="W2" s="258">
        <f>IF(基本情報!E14="該当",定員超過減算率!C3,0)</f>
        <v>0</v>
      </c>
      <c r="X2" s="55"/>
      <c r="Y2" s="55"/>
      <c r="AC2" s="1" t="s">
        <v>206</v>
      </c>
      <c r="AD2" s="1" t="s">
        <v>207</v>
      </c>
    </row>
    <row r="3" spans="2:43" ht="6" customHeight="1">
      <c r="K3" s="1"/>
    </row>
    <row r="4" spans="2:43" ht="15" customHeight="1">
      <c r="B4" s="1426" t="s">
        <v>181</v>
      </c>
      <c r="C4" s="1429"/>
      <c r="D4" s="1429"/>
      <c r="E4" s="1416" t="s">
        <v>172</v>
      </c>
      <c r="F4" s="1418" t="s">
        <v>15</v>
      </c>
      <c r="G4" s="1418"/>
      <c r="H4" s="1418"/>
      <c r="I4" s="1418"/>
      <c r="J4" s="1418" t="s">
        <v>16</v>
      </c>
      <c r="K4" s="1418"/>
      <c r="L4" s="1418"/>
      <c r="M4" s="1418"/>
      <c r="O4" s="1449" t="s">
        <v>40</v>
      </c>
      <c r="P4" s="1446" t="s">
        <v>171</v>
      </c>
      <c r="Q4" s="1440" t="s">
        <v>15</v>
      </c>
      <c r="R4" s="1440"/>
      <c r="S4" s="1440"/>
      <c r="T4" s="1440"/>
      <c r="U4" s="1440" t="s">
        <v>16</v>
      </c>
      <c r="V4" s="1440"/>
      <c r="W4" s="1440"/>
      <c r="X4" s="1440"/>
      <c r="Y4" s="1441" t="s">
        <v>177</v>
      </c>
      <c r="Z4" s="11"/>
      <c r="AA4" s="1"/>
      <c r="AM4" s="1426" t="s">
        <v>181</v>
      </c>
      <c r="AN4" s="1429"/>
      <c r="AO4" s="1429"/>
      <c r="AP4" s="1416" t="s">
        <v>172</v>
      </c>
      <c r="AQ4" s="85"/>
    </row>
    <row r="5" spans="2:43" s="1" customFormat="1">
      <c r="B5" s="1427"/>
      <c r="C5" s="1429"/>
      <c r="D5" s="1429"/>
      <c r="E5" s="1417"/>
      <c r="F5" s="370" t="s">
        <v>6</v>
      </c>
      <c r="G5" s="370" t="s">
        <v>7</v>
      </c>
      <c r="H5" s="370" t="s">
        <v>8</v>
      </c>
      <c r="I5" s="370" t="s">
        <v>9</v>
      </c>
      <c r="J5" s="370" t="s">
        <v>6</v>
      </c>
      <c r="K5" s="370" t="s">
        <v>7</v>
      </c>
      <c r="L5" s="370" t="s">
        <v>8</v>
      </c>
      <c r="M5" s="370" t="s">
        <v>9</v>
      </c>
      <c r="O5" s="1444"/>
      <c r="P5" s="1446"/>
      <c r="Q5" s="368" t="s">
        <v>6</v>
      </c>
      <c r="R5" s="368" t="s">
        <v>7</v>
      </c>
      <c r="S5" s="368" t="s">
        <v>8</v>
      </c>
      <c r="T5" s="368" t="s">
        <v>9</v>
      </c>
      <c r="U5" s="368" t="s">
        <v>6</v>
      </c>
      <c r="V5" s="368" t="s">
        <v>7</v>
      </c>
      <c r="W5" s="368" t="s">
        <v>8</v>
      </c>
      <c r="X5" s="368" t="s">
        <v>9</v>
      </c>
      <c r="Y5" s="1442"/>
      <c r="Z5" s="11"/>
      <c r="AC5" s="1" t="s">
        <v>6</v>
      </c>
      <c r="AD5" s="1" t="s">
        <v>212</v>
      </c>
      <c r="AM5" s="1427"/>
      <c r="AN5" s="1429"/>
      <c r="AO5" s="1429"/>
      <c r="AP5" s="1417"/>
      <c r="AQ5" s="85"/>
    </row>
    <row r="6" spans="2:43" s="1" customFormat="1">
      <c r="B6" s="1427"/>
      <c r="C6" s="1418" t="s">
        <v>17</v>
      </c>
      <c r="D6" s="1418"/>
      <c r="E6" s="53" t="s">
        <v>169</v>
      </c>
      <c r="F6" s="3" t="e">
        <f>単価表!AV7</f>
        <v>#VALUE!</v>
      </c>
      <c r="G6" s="3" t="e">
        <f>単価表!AV9</f>
        <v>#VALUE!</v>
      </c>
      <c r="H6" s="3" t="e">
        <f>単価表!AV11</f>
        <v>#VALUE!</v>
      </c>
      <c r="I6" s="3" t="e">
        <f>単価表!AV13</f>
        <v>#VALUE!</v>
      </c>
      <c r="J6" s="3" t="e">
        <f>単価表!AW7</f>
        <v>#VALUE!</v>
      </c>
      <c r="K6" s="3" t="e">
        <f>単価表!AW9</f>
        <v>#VALUE!</v>
      </c>
      <c r="L6" s="3" t="e">
        <f>単価表!AW11</f>
        <v>#VALUE!</v>
      </c>
      <c r="M6" s="3" t="e">
        <f>単価表!AW13</f>
        <v>#VALUE!</v>
      </c>
      <c r="O6" s="1444"/>
      <c r="P6" s="630">
        <f>基本情報!E17</f>
        <v>0</v>
      </c>
      <c r="Q6" s="3">
        <f>児童数!E25</f>
        <v>0</v>
      </c>
      <c r="R6" s="3">
        <f>児童数!F25</f>
        <v>0</v>
      </c>
      <c r="S6" s="3">
        <f>児童数!G25</f>
        <v>0</v>
      </c>
      <c r="T6" s="3">
        <f>児童数!H25</f>
        <v>0</v>
      </c>
      <c r="U6" s="3">
        <f>児童数!J25</f>
        <v>0</v>
      </c>
      <c r="V6" s="3">
        <f>児童数!K25</f>
        <v>0</v>
      </c>
      <c r="W6" s="3">
        <f>児童数!L25</f>
        <v>0</v>
      </c>
      <c r="X6" s="3">
        <f>児童数!M25</f>
        <v>0</v>
      </c>
      <c r="Y6" s="64">
        <f>SUM(Q6:X6)</f>
        <v>0</v>
      </c>
      <c r="Z6" s="2"/>
      <c r="AC6" s="1" t="s">
        <v>7</v>
      </c>
      <c r="AD6" s="1" t="s">
        <v>16</v>
      </c>
      <c r="AM6" s="1427"/>
      <c r="AN6" s="1418" t="s">
        <v>17</v>
      </c>
      <c r="AO6" s="1418"/>
      <c r="AP6" s="53" t="s">
        <v>169</v>
      </c>
      <c r="AQ6" s="85" t="e">
        <f>SUMPRODUCT(F6:M6,$Q$11:$X$11)</f>
        <v>#VALUE!</v>
      </c>
    </row>
    <row r="7" spans="2:43" s="1" customFormat="1">
      <c r="B7" s="1427"/>
      <c r="C7" s="1418"/>
      <c r="D7" s="1418"/>
      <c r="E7" s="53" t="s">
        <v>167</v>
      </c>
      <c r="F7" s="3" t="e">
        <f>単価表!AX7*基本情報!G7</f>
        <v>#VALUE!</v>
      </c>
      <c r="G7" s="3" t="e">
        <f>単価表!AX9*基本情報!G7</f>
        <v>#VALUE!</v>
      </c>
      <c r="H7" s="3" t="e">
        <f>単価表!AX11*基本情報!G7</f>
        <v>#VALUE!</v>
      </c>
      <c r="I7" s="3" t="e">
        <f>単価表!AX13*基本情報!G7</f>
        <v>#VALUE!</v>
      </c>
      <c r="J7" s="3" t="e">
        <f>単価表!AY7*基本情報!G7</f>
        <v>#VALUE!</v>
      </c>
      <c r="K7" s="3" t="e">
        <f>単価表!AY9*基本情報!G7</f>
        <v>#VALUE!</v>
      </c>
      <c r="L7" s="3" t="e">
        <f>単価表!AY11*基本情報!G7</f>
        <v>#VALUE!</v>
      </c>
      <c r="M7" s="3" t="e">
        <f>単価表!AY13*基本情報!G7</f>
        <v>#VALUE!</v>
      </c>
      <c r="O7" s="1444"/>
      <c r="P7" s="631">
        <f>基本情報!E18</f>
        <v>0</v>
      </c>
      <c r="Q7" s="3">
        <f>児童数!E39</f>
        <v>0</v>
      </c>
      <c r="R7" s="3">
        <f>児童数!F39</f>
        <v>0</v>
      </c>
      <c r="S7" s="3">
        <f>児童数!G39</f>
        <v>0</v>
      </c>
      <c r="T7" s="3">
        <f>児童数!H39</f>
        <v>0</v>
      </c>
      <c r="U7" s="3">
        <f>児童数!J39</f>
        <v>0</v>
      </c>
      <c r="V7" s="3">
        <f>児童数!K39</f>
        <v>0</v>
      </c>
      <c r="W7" s="3">
        <f>児童数!L39</f>
        <v>0</v>
      </c>
      <c r="X7" s="3">
        <f>児童数!M39</f>
        <v>0</v>
      </c>
      <c r="Y7" s="64">
        <f t="shared" ref="Y7:Y10" si="0">SUM(Q7:X7)</f>
        <v>0</v>
      </c>
      <c r="Z7" s="2"/>
      <c r="AA7" s="2"/>
      <c r="AC7" s="1" t="s">
        <v>8</v>
      </c>
      <c r="AM7" s="1427"/>
      <c r="AN7" s="1418"/>
      <c r="AO7" s="1418"/>
      <c r="AP7" s="53" t="s">
        <v>167</v>
      </c>
      <c r="AQ7" s="85" t="e">
        <f t="shared" ref="AQ7:AQ26" si="1">SUMPRODUCT(F7:M7,$Q$11:$X$11)</f>
        <v>#VALUE!</v>
      </c>
    </row>
    <row r="8" spans="2:43" ht="15" customHeight="1">
      <c r="B8" s="1427"/>
      <c r="C8" s="1419" t="s">
        <v>203</v>
      </c>
      <c r="D8" s="1422" t="s">
        <v>37</v>
      </c>
      <c r="E8" s="53" t="s">
        <v>169</v>
      </c>
      <c r="F8" s="6"/>
      <c r="G8" s="3">
        <f>IF(加算と減算!H5="○",単価表!AV41,0)</f>
        <v>0</v>
      </c>
      <c r="H8" s="6"/>
      <c r="I8" s="6"/>
      <c r="J8" s="6"/>
      <c r="K8" s="3">
        <f>G8</f>
        <v>0</v>
      </c>
      <c r="L8" s="6"/>
      <c r="M8" s="6"/>
      <c r="O8" s="1444"/>
      <c r="P8" s="632">
        <f>基本情報!E19</f>
        <v>0</v>
      </c>
      <c r="Q8" s="3">
        <f>児童数!E53</f>
        <v>0</v>
      </c>
      <c r="R8" s="3">
        <f>児童数!F53</f>
        <v>0</v>
      </c>
      <c r="S8" s="3">
        <f>児童数!G53</f>
        <v>0</v>
      </c>
      <c r="T8" s="3">
        <f>児童数!H53</f>
        <v>0</v>
      </c>
      <c r="U8" s="3">
        <f>児童数!J53</f>
        <v>0</v>
      </c>
      <c r="V8" s="3">
        <f>児童数!K53</f>
        <v>0</v>
      </c>
      <c r="W8" s="3">
        <f>児童数!L53</f>
        <v>0</v>
      </c>
      <c r="X8" s="3">
        <f>児童数!M53</f>
        <v>0</v>
      </c>
      <c r="Y8" s="64">
        <f t="shared" si="0"/>
        <v>0</v>
      </c>
      <c r="AC8" s="1" t="s">
        <v>9</v>
      </c>
      <c r="AM8" s="1427"/>
      <c r="AN8" s="1419" t="s">
        <v>203</v>
      </c>
      <c r="AO8" s="1422" t="s">
        <v>37</v>
      </c>
      <c r="AP8" s="732" t="s">
        <v>559</v>
      </c>
      <c r="AQ8" s="85">
        <f t="shared" si="1"/>
        <v>0</v>
      </c>
    </row>
    <row r="9" spans="2:43">
      <c r="B9" s="1427"/>
      <c r="C9" s="1420"/>
      <c r="D9" s="1422"/>
      <c r="E9" s="53" t="s">
        <v>167</v>
      </c>
      <c r="F9" s="6"/>
      <c r="G9" s="3">
        <f>IF(加算と減算!H5="○",単価表!AW41*基本情報!G7,0)</f>
        <v>0</v>
      </c>
      <c r="H9" s="6"/>
      <c r="I9" s="6"/>
      <c r="J9" s="6"/>
      <c r="K9" s="3">
        <f>G9</f>
        <v>0</v>
      </c>
      <c r="L9" s="6"/>
      <c r="M9" s="6"/>
      <c r="O9" s="1444"/>
      <c r="P9" s="633">
        <f>基本情報!E20</f>
        <v>0</v>
      </c>
      <c r="Q9" s="3">
        <f>児童数!E67</f>
        <v>0</v>
      </c>
      <c r="R9" s="3">
        <f>児童数!F67</f>
        <v>0</v>
      </c>
      <c r="S9" s="3">
        <f>児童数!G67</f>
        <v>0</v>
      </c>
      <c r="T9" s="3">
        <f>児童数!H67</f>
        <v>0</v>
      </c>
      <c r="U9" s="3">
        <f>児童数!J67</f>
        <v>0</v>
      </c>
      <c r="V9" s="3">
        <f>児童数!K67</f>
        <v>0</v>
      </c>
      <c r="W9" s="3">
        <f>児童数!L67</f>
        <v>0</v>
      </c>
      <c r="X9" s="3">
        <f>児童数!M67</f>
        <v>0</v>
      </c>
      <c r="Y9" s="64">
        <f t="shared" si="0"/>
        <v>0</v>
      </c>
      <c r="AM9" s="1427"/>
      <c r="AN9" s="1420"/>
      <c r="AO9" s="1422"/>
      <c r="AP9" s="53" t="s">
        <v>167</v>
      </c>
      <c r="AQ9" s="85">
        <f t="shared" si="1"/>
        <v>0</v>
      </c>
    </row>
    <row r="10" spans="2:43">
      <c r="B10" s="1427"/>
      <c r="C10" s="1420"/>
      <c r="D10" s="383" t="s">
        <v>69</v>
      </c>
      <c r="E10" s="60"/>
      <c r="F10" s="3">
        <f>IF(K2=0,0,IF(加算と減算!H6="○",ROUNDDOWN((加算と減算!R6+(加算と減算!S6*基本情報!G7))/'7月'!K2,-1),0))</f>
        <v>0</v>
      </c>
      <c r="G10" s="3">
        <f t="shared" ref="G10:G18" si="2">F10</f>
        <v>0</v>
      </c>
      <c r="H10" s="3">
        <f>F10</f>
        <v>0</v>
      </c>
      <c r="I10" s="3">
        <f>F10</f>
        <v>0</v>
      </c>
      <c r="J10" s="3">
        <f t="shared" ref="J10:J18" si="3">F10</f>
        <v>0</v>
      </c>
      <c r="K10" s="3">
        <f t="shared" ref="K10:K18" si="4">F10</f>
        <v>0</v>
      </c>
      <c r="L10" s="3">
        <f>F10</f>
        <v>0</v>
      </c>
      <c r="M10" s="3">
        <f>F10</f>
        <v>0</v>
      </c>
      <c r="O10" s="1444"/>
      <c r="P10" s="634">
        <f>基本情報!E21</f>
        <v>0</v>
      </c>
      <c r="Q10" s="3">
        <f>児童数!E81</f>
        <v>0</v>
      </c>
      <c r="R10" s="3">
        <f>児童数!F81</f>
        <v>0</v>
      </c>
      <c r="S10" s="3">
        <f>児童数!G81</f>
        <v>0</v>
      </c>
      <c r="T10" s="3">
        <f>児童数!H81</f>
        <v>0</v>
      </c>
      <c r="U10" s="3">
        <f>児童数!J81</f>
        <v>0</v>
      </c>
      <c r="V10" s="3">
        <f>児童数!K81</f>
        <v>0</v>
      </c>
      <c r="W10" s="3">
        <f>児童数!L81</f>
        <v>0</v>
      </c>
      <c r="X10" s="3">
        <f>児童数!M81</f>
        <v>0</v>
      </c>
      <c r="Y10" s="64">
        <f t="shared" si="0"/>
        <v>0</v>
      </c>
      <c r="AM10" s="1427"/>
      <c r="AN10" s="1420"/>
      <c r="AO10" s="383" t="s">
        <v>69</v>
      </c>
      <c r="AP10" s="629"/>
      <c r="AQ10" s="85">
        <f t="shared" si="1"/>
        <v>0</v>
      </c>
    </row>
    <row r="11" spans="2:43">
      <c r="B11" s="1427"/>
      <c r="C11" s="1420"/>
      <c r="D11" s="1422" t="s">
        <v>161</v>
      </c>
      <c r="E11" s="53" t="s">
        <v>169</v>
      </c>
      <c r="F11" s="3">
        <f>IF(加算と減算!H7="○",単価表!AZ39,0)</f>
        <v>0</v>
      </c>
      <c r="G11" s="3">
        <f t="shared" si="2"/>
        <v>0</v>
      </c>
      <c r="H11" s="3">
        <f>IF(加算と減算!H7="○",単価表!AZ43,0)</f>
        <v>0</v>
      </c>
      <c r="I11" s="3">
        <f>H11</f>
        <v>0</v>
      </c>
      <c r="J11" s="3">
        <f t="shared" si="3"/>
        <v>0</v>
      </c>
      <c r="K11" s="3">
        <f t="shared" si="4"/>
        <v>0</v>
      </c>
      <c r="L11" s="3">
        <f>H11</f>
        <v>0</v>
      </c>
      <c r="M11" s="3">
        <f>H11</f>
        <v>0</v>
      </c>
      <c r="O11" s="1445"/>
      <c r="P11" s="635" t="s">
        <v>36</v>
      </c>
      <c r="Q11" s="3">
        <f>SUM(Q6:Q10)</f>
        <v>0</v>
      </c>
      <c r="R11" s="3">
        <f t="shared" ref="R11:Y11" si="5">SUM(R6:R10)</f>
        <v>0</v>
      </c>
      <c r="S11" s="3">
        <f t="shared" si="5"/>
        <v>0</v>
      </c>
      <c r="T11" s="3">
        <f t="shared" si="5"/>
        <v>0</v>
      </c>
      <c r="U11" s="3">
        <f t="shared" si="5"/>
        <v>0</v>
      </c>
      <c r="V11" s="3">
        <f t="shared" si="5"/>
        <v>0</v>
      </c>
      <c r="W11" s="3">
        <f t="shared" si="5"/>
        <v>0</v>
      </c>
      <c r="X11" s="3">
        <f t="shared" si="5"/>
        <v>0</v>
      </c>
      <c r="Y11" s="3">
        <f t="shared" si="5"/>
        <v>0</v>
      </c>
      <c r="Z11" s="55" t="s">
        <v>176</v>
      </c>
      <c r="AA11" s="71" t="str">
        <f>IF(SUM(Q11:X11)=G2,"OK",SUM(Q11:X11)-K2)</f>
        <v>OK</v>
      </c>
      <c r="AB11" s="62"/>
      <c r="AM11" s="1427"/>
      <c r="AN11" s="1420"/>
      <c r="AO11" s="1422" t="s">
        <v>161</v>
      </c>
      <c r="AP11" s="53" t="s">
        <v>169</v>
      </c>
      <c r="AQ11" s="85">
        <f t="shared" si="1"/>
        <v>0</v>
      </c>
    </row>
    <row r="12" spans="2:43" ht="15" customHeight="1">
      <c r="B12" s="1427"/>
      <c r="C12" s="1420"/>
      <c r="D12" s="1422"/>
      <c r="E12" s="53" t="s">
        <v>167</v>
      </c>
      <c r="F12" s="3">
        <f>IF(加算と減算!H7="○",単価表!BA39*基本情報!G7,0)</f>
        <v>0</v>
      </c>
      <c r="G12" s="3">
        <f t="shared" si="2"/>
        <v>0</v>
      </c>
      <c r="H12" s="3">
        <f>IF(加算と減算!H7="○",単価表!BA43*基本情報!G7,0)</f>
        <v>0</v>
      </c>
      <c r="I12" s="3">
        <f>H12</f>
        <v>0</v>
      </c>
      <c r="J12" s="3">
        <f t="shared" si="3"/>
        <v>0</v>
      </c>
      <c r="K12" s="3">
        <f t="shared" si="4"/>
        <v>0</v>
      </c>
      <c r="L12" s="3">
        <f>H12</f>
        <v>0</v>
      </c>
      <c r="M12" s="3">
        <f>H12</f>
        <v>0</v>
      </c>
      <c r="O12" s="75"/>
      <c r="P12" s="636"/>
      <c r="Q12" s="54"/>
      <c r="R12" s="54"/>
      <c r="S12" s="54"/>
      <c r="T12" s="54"/>
      <c r="U12" s="54"/>
      <c r="V12" s="54"/>
      <c r="W12" s="54"/>
      <c r="X12" s="54"/>
      <c r="Y12" s="54"/>
      <c r="AA12" s="62"/>
      <c r="AB12" s="62"/>
      <c r="AM12" s="1427"/>
      <c r="AN12" s="1420"/>
      <c r="AO12" s="1422"/>
      <c r="AP12" s="53" t="s">
        <v>167</v>
      </c>
      <c r="AQ12" s="85">
        <f t="shared" si="1"/>
        <v>0</v>
      </c>
    </row>
    <row r="13" spans="2:43" ht="16.5">
      <c r="B13" s="1427"/>
      <c r="C13" s="1420"/>
      <c r="D13" s="366" t="s">
        <v>162</v>
      </c>
      <c r="E13" s="59"/>
      <c r="F13" s="3">
        <f>IF(加算と減算!H8="○",加算と減算!R8,0)</f>
        <v>0</v>
      </c>
      <c r="G13" s="3">
        <f t="shared" si="2"/>
        <v>0</v>
      </c>
      <c r="H13" s="3">
        <f t="shared" ref="H13:H18" si="6">F13</f>
        <v>0</v>
      </c>
      <c r="I13" s="3">
        <f t="shared" ref="I13:I18" si="7">F13</f>
        <v>0</v>
      </c>
      <c r="J13" s="3">
        <f t="shared" si="3"/>
        <v>0</v>
      </c>
      <c r="K13" s="3">
        <f t="shared" si="4"/>
        <v>0</v>
      </c>
      <c r="L13" s="3">
        <f t="shared" ref="L13:L18" si="8">F13</f>
        <v>0</v>
      </c>
      <c r="M13" s="3">
        <f t="shared" ref="M13:M18" si="9">F13</f>
        <v>0</v>
      </c>
      <c r="O13" s="1443" t="s">
        <v>187</v>
      </c>
      <c r="P13" s="1449" t="s">
        <v>171</v>
      </c>
      <c r="Q13" s="1440" t="s">
        <v>15</v>
      </c>
      <c r="R13" s="1440"/>
      <c r="S13" s="1440"/>
      <c r="T13" s="1440"/>
      <c r="U13" s="1440" t="s">
        <v>16</v>
      </c>
      <c r="V13" s="1440"/>
      <c r="W13" s="1440"/>
      <c r="X13" s="1440"/>
      <c r="Y13" s="1449" t="s">
        <v>177</v>
      </c>
      <c r="AA13" s="62"/>
      <c r="AB13" s="62"/>
      <c r="AM13" s="1427"/>
      <c r="AN13" s="1420"/>
      <c r="AO13" s="720" t="s">
        <v>162</v>
      </c>
      <c r="AP13" s="731" t="s">
        <v>353</v>
      </c>
      <c r="AQ13" s="85">
        <f t="shared" si="1"/>
        <v>0</v>
      </c>
    </row>
    <row r="14" spans="2:43" ht="16.5">
      <c r="B14" s="1427"/>
      <c r="C14" s="1420"/>
      <c r="D14" s="366" t="s">
        <v>54</v>
      </c>
      <c r="E14" s="59"/>
      <c r="F14" s="3">
        <f>IF(加算と減算!H9="○",加算と減算!R9,0)</f>
        <v>0</v>
      </c>
      <c r="G14" s="3">
        <f t="shared" si="2"/>
        <v>0</v>
      </c>
      <c r="H14" s="3">
        <f t="shared" si="6"/>
        <v>0</v>
      </c>
      <c r="I14" s="3">
        <f t="shared" si="7"/>
        <v>0</v>
      </c>
      <c r="J14" s="3">
        <f t="shared" si="3"/>
        <v>0</v>
      </c>
      <c r="K14" s="3">
        <f t="shared" si="4"/>
        <v>0</v>
      </c>
      <c r="L14" s="3">
        <f t="shared" si="8"/>
        <v>0</v>
      </c>
      <c r="M14" s="3">
        <f t="shared" si="9"/>
        <v>0</v>
      </c>
      <c r="O14" s="1447"/>
      <c r="P14" s="1445"/>
      <c r="Q14" s="368" t="s">
        <v>6</v>
      </c>
      <c r="R14" s="368" t="s">
        <v>7</v>
      </c>
      <c r="S14" s="368" t="s">
        <v>8</v>
      </c>
      <c r="T14" s="368" t="s">
        <v>9</v>
      </c>
      <c r="U14" s="368" t="s">
        <v>6</v>
      </c>
      <c r="V14" s="368" t="s">
        <v>7</v>
      </c>
      <c r="W14" s="368" t="s">
        <v>8</v>
      </c>
      <c r="X14" s="368" t="s">
        <v>9</v>
      </c>
      <c r="Y14" s="1445"/>
      <c r="AA14" s="62"/>
      <c r="AB14" s="62"/>
      <c r="AM14" s="1427"/>
      <c r="AN14" s="1420"/>
      <c r="AO14" s="720" t="s">
        <v>54</v>
      </c>
      <c r="AP14" s="731" t="s">
        <v>353</v>
      </c>
      <c r="AQ14" s="85">
        <f t="shared" si="1"/>
        <v>0</v>
      </c>
    </row>
    <row r="15" spans="2:43" ht="16.5">
      <c r="B15" s="1427"/>
      <c r="C15" s="1420"/>
      <c r="D15" s="1422" t="s">
        <v>38</v>
      </c>
      <c r="E15" s="53" t="s">
        <v>169</v>
      </c>
      <c r="F15" s="3">
        <f>IF(加算と減算!H10="○",加算と減算!R10,0)</f>
        <v>0</v>
      </c>
      <c r="G15" s="3">
        <f t="shared" si="2"/>
        <v>0</v>
      </c>
      <c r="H15" s="3">
        <f t="shared" si="6"/>
        <v>0</v>
      </c>
      <c r="I15" s="3">
        <f t="shared" si="7"/>
        <v>0</v>
      </c>
      <c r="J15" s="3">
        <f t="shared" si="3"/>
        <v>0</v>
      </c>
      <c r="K15" s="3">
        <f t="shared" si="4"/>
        <v>0</v>
      </c>
      <c r="L15" s="3">
        <f t="shared" si="8"/>
        <v>0</v>
      </c>
      <c r="M15" s="3">
        <f t="shared" si="9"/>
        <v>0</v>
      </c>
      <c r="O15" s="1447"/>
      <c r="P15" s="630">
        <f>P6</f>
        <v>0</v>
      </c>
      <c r="Q15" s="3" t="e">
        <f t="shared" ref="Q15:X15" si="10">F27*Q6</f>
        <v>#VALUE!</v>
      </c>
      <c r="R15" s="3" t="e">
        <f t="shared" si="10"/>
        <v>#VALUE!</v>
      </c>
      <c r="S15" s="3" t="e">
        <f t="shared" si="10"/>
        <v>#VALUE!</v>
      </c>
      <c r="T15" s="3" t="e">
        <f t="shared" si="10"/>
        <v>#VALUE!</v>
      </c>
      <c r="U15" s="3" t="e">
        <f t="shared" si="10"/>
        <v>#VALUE!</v>
      </c>
      <c r="V15" s="3" t="e">
        <f t="shared" si="10"/>
        <v>#VALUE!</v>
      </c>
      <c r="W15" s="3" t="e">
        <f t="shared" si="10"/>
        <v>#VALUE!</v>
      </c>
      <c r="X15" s="3" t="e">
        <f t="shared" si="10"/>
        <v>#VALUE!</v>
      </c>
      <c r="Y15" s="3" t="e">
        <f>SUM(Q15:X15)</f>
        <v>#VALUE!</v>
      </c>
      <c r="AA15" s="62"/>
      <c r="AB15" s="62"/>
      <c r="AM15" s="1427"/>
      <c r="AN15" s="1420"/>
      <c r="AO15" s="1422" t="s">
        <v>38</v>
      </c>
      <c r="AP15" s="732" t="s">
        <v>559</v>
      </c>
      <c r="AQ15" s="85">
        <f t="shared" si="1"/>
        <v>0</v>
      </c>
    </row>
    <row r="16" spans="2:43">
      <c r="B16" s="1427"/>
      <c r="C16" s="1421"/>
      <c r="D16" s="1422"/>
      <c r="E16" s="53" t="s">
        <v>167</v>
      </c>
      <c r="F16" s="3">
        <f>IF(加算と減算!H10="○",加算と減算!S10*基本情報!G7,0)</f>
        <v>0</v>
      </c>
      <c r="G16" s="3">
        <f t="shared" si="2"/>
        <v>0</v>
      </c>
      <c r="H16" s="3">
        <f t="shared" si="6"/>
        <v>0</v>
      </c>
      <c r="I16" s="3">
        <f t="shared" si="7"/>
        <v>0</v>
      </c>
      <c r="J16" s="3">
        <f t="shared" si="3"/>
        <v>0</v>
      </c>
      <c r="K16" s="3">
        <f t="shared" si="4"/>
        <v>0</v>
      </c>
      <c r="L16" s="3">
        <f t="shared" si="8"/>
        <v>0</v>
      </c>
      <c r="M16" s="3">
        <f t="shared" si="9"/>
        <v>0</v>
      </c>
      <c r="O16" s="1447"/>
      <c r="P16" s="631">
        <f>P7</f>
        <v>0</v>
      </c>
      <c r="Q16" s="3" t="e">
        <f t="shared" ref="Q16:X16" si="11">F27*Q7</f>
        <v>#VALUE!</v>
      </c>
      <c r="R16" s="3" t="e">
        <f t="shared" si="11"/>
        <v>#VALUE!</v>
      </c>
      <c r="S16" s="3" t="e">
        <f t="shared" si="11"/>
        <v>#VALUE!</v>
      </c>
      <c r="T16" s="3" t="e">
        <f t="shared" si="11"/>
        <v>#VALUE!</v>
      </c>
      <c r="U16" s="3" t="e">
        <f t="shared" si="11"/>
        <v>#VALUE!</v>
      </c>
      <c r="V16" s="3" t="e">
        <f t="shared" si="11"/>
        <v>#VALUE!</v>
      </c>
      <c r="W16" s="3" t="e">
        <f t="shared" si="11"/>
        <v>#VALUE!</v>
      </c>
      <c r="X16" s="3" t="e">
        <f t="shared" si="11"/>
        <v>#VALUE!</v>
      </c>
      <c r="Y16" s="3" t="e">
        <f t="shared" ref="Y16:Y19" si="12">SUM(Q16:X16)</f>
        <v>#VALUE!</v>
      </c>
      <c r="AA16" s="62"/>
      <c r="AB16" s="62"/>
      <c r="AM16" s="1427"/>
      <c r="AN16" s="1421"/>
      <c r="AO16" s="1422"/>
      <c r="AP16" s="53" t="s">
        <v>167</v>
      </c>
      <c r="AQ16" s="85">
        <f t="shared" si="1"/>
        <v>0</v>
      </c>
    </row>
    <row r="17" spans="2:43">
      <c r="B17" s="1427"/>
      <c r="C17" s="1423" t="s">
        <v>205</v>
      </c>
      <c r="D17" s="1424" t="s">
        <v>43</v>
      </c>
      <c r="E17" s="53" t="s">
        <v>169</v>
      </c>
      <c r="F17" s="74">
        <f>-IF(加算と減算!H32="○",単価表!AZ7,0)</f>
        <v>0</v>
      </c>
      <c r="G17" s="74">
        <f t="shared" si="2"/>
        <v>0</v>
      </c>
      <c r="H17" s="74">
        <f t="shared" si="6"/>
        <v>0</v>
      </c>
      <c r="I17" s="74">
        <f t="shared" si="7"/>
        <v>0</v>
      </c>
      <c r="J17" s="74">
        <f t="shared" si="3"/>
        <v>0</v>
      </c>
      <c r="K17" s="74">
        <f t="shared" si="4"/>
        <v>0</v>
      </c>
      <c r="L17" s="74">
        <f t="shared" si="8"/>
        <v>0</v>
      </c>
      <c r="M17" s="74">
        <f t="shared" si="9"/>
        <v>0</v>
      </c>
      <c r="O17" s="1447"/>
      <c r="P17" s="632">
        <f>P8</f>
        <v>0</v>
      </c>
      <c r="Q17" s="3" t="e">
        <f t="shared" ref="Q17:X17" si="13">F27*Q8</f>
        <v>#VALUE!</v>
      </c>
      <c r="R17" s="3" t="e">
        <f t="shared" si="13"/>
        <v>#VALUE!</v>
      </c>
      <c r="S17" s="3" t="e">
        <f t="shared" si="13"/>
        <v>#VALUE!</v>
      </c>
      <c r="T17" s="3" t="e">
        <f t="shared" si="13"/>
        <v>#VALUE!</v>
      </c>
      <c r="U17" s="3" t="e">
        <f t="shared" si="13"/>
        <v>#VALUE!</v>
      </c>
      <c r="V17" s="3" t="e">
        <f t="shared" si="13"/>
        <v>#VALUE!</v>
      </c>
      <c r="W17" s="3" t="e">
        <f t="shared" si="13"/>
        <v>#VALUE!</v>
      </c>
      <c r="X17" s="3" t="e">
        <f t="shared" si="13"/>
        <v>#VALUE!</v>
      </c>
      <c r="Y17" s="3" t="e">
        <f t="shared" si="12"/>
        <v>#VALUE!</v>
      </c>
      <c r="AA17" s="62"/>
      <c r="AB17" s="62"/>
      <c r="AM17" s="1427"/>
      <c r="AN17" s="1423" t="s">
        <v>205</v>
      </c>
      <c r="AO17" s="1424" t="s">
        <v>43</v>
      </c>
      <c r="AP17" s="53" t="s">
        <v>169</v>
      </c>
      <c r="AQ17" s="85">
        <f t="shared" si="1"/>
        <v>0</v>
      </c>
    </row>
    <row r="18" spans="2:43">
      <c r="B18" s="1427"/>
      <c r="C18" s="1423"/>
      <c r="D18" s="1424"/>
      <c r="E18" s="53" t="s">
        <v>167</v>
      </c>
      <c r="F18" s="74">
        <f>-IF(加算と減算!H32="○",単価表!BA7*基本情報!G7,0)</f>
        <v>0</v>
      </c>
      <c r="G18" s="74">
        <f t="shared" si="2"/>
        <v>0</v>
      </c>
      <c r="H18" s="74">
        <f t="shared" si="6"/>
        <v>0</v>
      </c>
      <c r="I18" s="74">
        <f t="shared" si="7"/>
        <v>0</v>
      </c>
      <c r="J18" s="74">
        <f t="shared" si="3"/>
        <v>0</v>
      </c>
      <c r="K18" s="74">
        <f t="shared" si="4"/>
        <v>0</v>
      </c>
      <c r="L18" s="74">
        <f t="shared" si="8"/>
        <v>0</v>
      </c>
      <c r="M18" s="74">
        <f t="shared" si="9"/>
        <v>0</v>
      </c>
      <c r="O18" s="1447"/>
      <c r="P18" s="633">
        <f>P9</f>
        <v>0</v>
      </c>
      <c r="Q18" s="3" t="e">
        <f t="shared" ref="Q18:X18" si="14">F27*Q9</f>
        <v>#VALUE!</v>
      </c>
      <c r="R18" s="3" t="e">
        <f t="shared" si="14"/>
        <v>#VALUE!</v>
      </c>
      <c r="S18" s="3" t="e">
        <f t="shared" si="14"/>
        <v>#VALUE!</v>
      </c>
      <c r="T18" s="3" t="e">
        <f t="shared" si="14"/>
        <v>#VALUE!</v>
      </c>
      <c r="U18" s="3" t="e">
        <f t="shared" si="14"/>
        <v>#VALUE!</v>
      </c>
      <c r="V18" s="3" t="e">
        <f t="shared" si="14"/>
        <v>#VALUE!</v>
      </c>
      <c r="W18" s="3" t="e">
        <f t="shared" si="14"/>
        <v>#VALUE!</v>
      </c>
      <c r="X18" s="3" t="e">
        <f t="shared" si="14"/>
        <v>#VALUE!</v>
      </c>
      <c r="Y18" s="3" t="e">
        <f t="shared" si="12"/>
        <v>#VALUE!</v>
      </c>
      <c r="AA18" s="62"/>
      <c r="AB18" s="62"/>
      <c r="AM18" s="1427"/>
      <c r="AN18" s="1423"/>
      <c r="AO18" s="1424"/>
      <c r="AP18" s="53" t="s">
        <v>167</v>
      </c>
      <c r="AQ18" s="85">
        <f t="shared" si="1"/>
        <v>0</v>
      </c>
    </row>
    <row r="19" spans="2:43">
      <c r="B19" s="1427"/>
      <c r="C19" s="1423"/>
      <c r="D19" s="371" t="s">
        <v>165</v>
      </c>
      <c r="E19" s="60"/>
      <c r="F19" s="74" t="e">
        <f t="shared" ref="F19:M19" si="15">-ROUNDDOWN((F6+F7+F11+F12+F8+F9)*$S$2/100,-1)</f>
        <v>#VALUE!</v>
      </c>
      <c r="G19" s="74" t="e">
        <f t="shared" si="15"/>
        <v>#VALUE!</v>
      </c>
      <c r="H19" s="74" t="e">
        <f t="shared" si="15"/>
        <v>#VALUE!</v>
      </c>
      <c r="I19" s="74" t="e">
        <f t="shared" si="15"/>
        <v>#VALUE!</v>
      </c>
      <c r="J19" s="74" t="e">
        <f t="shared" si="15"/>
        <v>#VALUE!</v>
      </c>
      <c r="K19" s="74" t="e">
        <f t="shared" si="15"/>
        <v>#VALUE!</v>
      </c>
      <c r="L19" s="74" t="e">
        <f t="shared" si="15"/>
        <v>#VALUE!</v>
      </c>
      <c r="M19" s="74" t="e">
        <f t="shared" si="15"/>
        <v>#VALUE!</v>
      </c>
      <c r="O19" s="1447"/>
      <c r="P19" s="634">
        <f>P10</f>
        <v>0</v>
      </c>
      <c r="Q19" s="3" t="e">
        <f t="shared" ref="Q19:X19" si="16">F27*Q10</f>
        <v>#VALUE!</v>
      </c>
      <c r="R19" s="3" t="e">
        <f t="shared" si="16"/>
        <v>#VALUE!</v>
      </c>
      <c r="S19" s="3" t="e">
        <f t="shared" si="16"/>
        <v>#VALUE!</v>
      </c>
      <c r="T19" s="3" t="e">
        <f t="shared" si="16"/>
        <v>#VALUE!</v>
      </c>
      <c r="U19" s="3" t="e">
        <f t="shared" si="16"/>
        <v>#VALUE!</v>
      </c>
      <c r="V19" s="3" t="e">
        <f t="shared" si="16"/>
        <v>#VALUE!</v>
      </c>
      <c r="W19" s="3" t="e">
        <f t="shared" si="16"/>
        <v>#VALUE!</v>
      </c>
      <c r="X19" s="3" t="e">
        <f t="shared" si="16"/>
        <v>#VALUE!</v>
      </c>
      <c r="Y19" s="3" t="e">
        <f t="shared" si="12"/>
        <v>#VALUE!</v>
      </c>
      <c r="AA19" s="62"/>
      <c r="AB19" s="62"/>
      <c r="AM19" s="1427"/>
      <c r="AN19" s="1423"/>
      <c r="AO19" s="717" t="s">
        <v>165</v>
      </c>
      <c r="AP19" s="60"/>
      <c r="AQ19" s="85" t="e">
        <f t="shared" si="1"/>
        <v>#VALUE!</v>
      </c>
    </row>
    <row r="20" spans="2:43">
      <c r="B20" s="1427"/>
      <c r="C20" s="1423"/>
      <c r="D20" s="371" t="s">
        <v>166</v>
      </c>
      <c r="E20" s="60"/>
      <c r="F20" s="74" t="e">
        <f t="shared" ref="F20:M20" si="17">-ROUNDUP(SUM(F6:F19)*$V$2/100,-1)</f>
        <v>#VALUE!</v>
      </c>
      <c r="G20" s="74" t="e">
        <f t="shared" si="17"/>
        <v>#VALUE!</v>
      </c>
      <c r="H20" s="74" t="e">
        <f t="shared" si="17"/>
        <v>#VALUE!</v>
      </c>
      <c r="I20" s="74" t="e">
        <f t="shared" si="17"/>
        <v>#VALUE!</v>
      </c>
      <c r="J20" s="74" t="e">
        <f t="shared" si="17"/>
        <v>#VALUE!</v>
      </c>
      <c r="K20" s="74" t="e">
        <f t="shared" si="17"/>
        <v>#VALUE!</v>
      </c>
      <c r="L20" s="74" t="e">
        <f t="shared" si="17"/>
        <v>#VALUE!</v>
      </c>
      <c r="M20" s="74" t="e">
        <f t="shared" si="17"/>
        <v>#VALUE!</v>
      </c>
      <c r="O20" s="1448"/>
      <c r="P20" s="635" t="s">
        <v>36</v>
      </c>
      <c r="Q20" s="3" t="e">
        <f>SUM(Q15:Q19)</f>
        <v>#VALUE!</v>
      </c>
      <c r="R20" s="3" t="e">
        <f t="shared" ref="R20:Y20" si="18">SUM(R15:R19)</f>
        <v>#VALUE!</v>
      </c>
      <c r="S20" s="3" t="e">
        <f t="shared" si="18"/>
        <v>#VALUE!</v>
      </c>
      <c r="T20" s="3" t="e">
        <f t="shared" si="18"/>
        <v>#VALUE!</v>
      </c>
      <c r="U20" s="3" t="e">
        <f t="shared" si="18"/>
        <v>#VALUE!</v>
      </c>
      <c r="V20" s="3" t="e">
        <f t="shared" si="18"/>
        <v>#VALUE!</v>
      </c>
      <c r="W20" s="3" t="e">
        <f t="shared" si="18"/>
        <v>#VALUE!</v>
      </c>
      <c r="X20" s="3" t="e">
        <f t="shared" si="18"/>
        <v>#VALUE!</v>
      </c>
      <c r="Y20" s="3" t="e">
        <f t="shared" si="18"/>
        <v>#VALUE!</v>
      </c>
      <c r="AA20" s="62"/>
      <c r="AB20" s="62"/>
      <c r="AM20" s="1427"/>
      <c r="AN20" s="1423"/>
      <c r="AO20" s="717" t="s">
        <v>166</v>
      </c>
      <c r="AP20" s="60"/>
      <c r="AQ20" s="85" t="e">
        <f t="shared" si="1"/>
        <v>#VALUE!</v>
      </c>
    </row>
    <row r="21" spans="2:43" ht="15" customHeight="1">
      <c r="B21" s="1427"/>
      <c r="C21" s="1419" t="s">
        <v>204</v>
      </c>
      <c r="D21" s="366" t="s">
        <v>18</v>
      </c>
      <c r="E21" s="59"/>
      <c r="F21" s="3">
        <f>IF(K2=0,0,IF(加算と減算!H13="",0,ROUNDDOWN(加算と減算!U13/'7月'!$K$2,-1)))</f>
        <v>0</v>
      </c>
      <c r="G21" s="3">
        <f>F21</f>
        <v>0</v>
      </c>
      <c r="H21" s="3">
        <f t="shared" ref="H21:M21" si="19">G21</f>
        <v>0</v>
      </c>
      <c r="I21" s="3">
        <f t="shared" si="19"/>
        <v>0</v>
      </c>
      <c r="J21" s="3">
        <f t="shared" si="19"/>
        <v>0</v>
      </c>
      <c r="K21" s="3">
        <f t="shared" si="19"/>
        <v>0</v>
      </c>
      <c r="L21" s="3">
        <f t="shared" si="19"/>
        <v>0</v>
      </c>
      <c r="M21" s="3">
        <f t="shared" si="19"/>
        <v>0</v>
      </c>
      <c r="O21" s="76"/>
      <c r="P21" s="636"/>
      <c r="Q21" s="54"/>
      <c r="R21" s="54"/>
      <c r="S21" s="9"/>
      <c r="T21" s="9"/>
      <c r="U21" s="54"/>
      <c r="V21" s="54"/>
      <c r="W21" s="10"/>
      <c r="X21" s="10"/>
      <c r="Y21" s="10"/>
      <c r="AA21" s="62"/>
      <c r="AB21" s="62"/>
      <c r="AM21" s="1427"/>
      <c r="AN21" s="1419" t="s">
        <v>204</v>
      </c>
      <c r="AO21" s="720" t="s">
        <v>18</v>
      </c>
      <c r="AP21" s="732" t="s">
        <v>559</v>
      </c>
      <c r="AQ21" s="85">
        <f t="shared" si="1"/>
        <v>0</v>
      </c>
    </row>
    <row r="22" spans="2:43" ht="15" customHeight="1">
      <c r="B22" s="1427"/>
      <c r="C22" s="1420"/>
      <c r="D22" s="366" t="s">
        <v>62</v>
      </c>
      <c r="E22" s="59"/>
      <c r="F22" s="3">
        <f>IF(K2=0,0,ROUNDDOWN(IF(加算と減算!H14="○",加算と減算!U14,IF(加算と減算!H15="○",加算と減算!U15,0))/K2,-1))</f>
        <v>0</v>
      </c>
      <c r="G22" s="3">
        <f t="shared" ref="G22:M26" si="20">F22</f>
        <v>0</v>
      </c>
      <c r="H22" s="3">
        <f t="shared" si="20"/>
        <v>0</v>
      </c>
      <c r="I22" s="3">
        <f t="shared" si="20"/>
        <v>0</v>
      </c>
      <c r="J22" s="3">
        <f t="shared" si="20"/>
        <v>0</v>
      </c>
      <c r="K22" s="3">
        <f t="shared" si="20"/>
        <v>0</v>
      </c>
      <c r="L22" s="3">
        <f t="shared" si="20"/>
        <v>0</v>
      </c>
      <c r="M22" s="3">
        <f>L22</f>
        <v>0</v>
      </c>
      <c r="O22" s="1443" t="s">
        <v>180</v>
      </c>
      <c r="P22" s="367" t="s">
        <v>171</v>
      </c>
      <c r="Q22" s="368" t="s">
        <v>178</v>
      </c>
      <c r="R22" s="367" t="s">
        <v>179</v>
      </c>
      <c r="S22" s="4"/>
      <c r="T22" s="1443" t="s">
        <v>188</v>
      </c>
      <c r="U22" s="367" t="s">
        <v>171</v>
      </c>
      <c r="V22" s="40" t="s">
        <v>179</v>
      </c>
      <c r="AA22" s="62"/>
      <c r="AB22" s="62"/>
      <c r="AM22" s="1427"/>
      <c r="AN22" s="1420"/>
      <c r="AO22" s="720" t="s">
        <v>62</v>
      </c>
      <c r="AP22" s="732" t="s">
        <v>559</v>
      </c>
      <c r="AQ22" s="85">
        <f t="shared" si="1"/>
        <v>0</v>
      </c>
    </row>
    <row r="23" spans="2:43" ht="16.5">
      <c r="B23" s="1427"/>
      <c r="C23" s="1420"/>
      <c r="D23" s="366" t="s">
        <v>19</v>
      </c>
      <c r="E23" s="59"/>
      <c r="F23" s="3">
        <f>IF(K2=0,0,IF(加算と減算!H16="",0,ROUNDDOWN(加算と減算!U16/'7月'!$K$2,-1)))</f>
        <v>0</v>
      </c>
      <c r="G23" s="3">
        <f t="shared" si="20"/>
        <v>0</v>
      </c>
      <c r="H23" s="3">
        <f t="shared" si="20"/>
        <v>0</v>
      </c>
      <c r="I23" s="3">
        <f t="shared" si="20"/>
        <v>0</v>
      </c>
      <c r="J23" s="3">
        <f t="shared" si="20"/>
        <v>0</v>
      </c>
      <c r="K23" s="3">
        <f t="shared" si="20"/>
        <v>0</v>
      </c>
      <c r="L23" s="3">
        <f t="shared" si="20"/>
        <v>0</v>
      </c>
      <c r="M23" s="3">
        <f t="shared" si="20"/>
        <v>0</v>
      </c>
      <c r="O23" s="1447"/>
      <c r="P23" s="630">
        <f>P6</f>
        <v>0</v>
      </c>
      <c r="Q23" s="3">
        <f>児童数!AE25</f>
        <v>0</v>
      </c>
      <c r="R23" s="64">
        <f>4500*Q23</f>
        <v>0</v>
      </c>
      <c r="S23" s="4"/>
      <c r="T23" s="1447"/>
      <c r="U23" s="630">
        <f>P6</f>
        <v>0</v>
      </c>
      <c r="V23" s="65" t="e">
        <f>Y15+R23</f>
        <v>#VALUE!</v>
      </c>
      <c r="AA23" s="62"/>
      <c r="AB23" s="62"/>
      <c r="AM23" s="1427"/>
      <c r="AN23" s="1420"/>
      <c r="AO23" s="720" t="s">
        <v>19</v>
      </c>
      <c r="AP23" s="732" t="s">
        <v>559</v>
      </c>
      <c r="AQ23" s="85">
        <f t="shared" si="1"/>
        <v>0</v>
      </c>
    </row>
    <row r="24" spans="2:43" ht="16.5">
      <c r="B24" s="1427"/>
      <c r="C24" s="1420"/>
      <c r="D24" s="366" t="s">
        <v>41</v>
      </c>
      <c r="E24" s="59"/>
      <c r="F24" s="3">
        <f>IF(K2=0,0,IF(加算と減算!D17="",0,ROUNDDOWN(加算と減算!U17/'7月'!$K$2,-1)))</f>
        <v>0</v>
      </c>
      <c r="G24" s="3">
        <f t="shared" si="20"/>
        <v>0</v>
      </c>
      <c r="H24" s="3">
        <f t="shared" si="20"/>
        <v>0</v>
      </c>
      <c r="I24" s="3">
        <f t="shared" si="20"/>
        <v>0</v>
      </c>
      <c r="J24" s="3">
        <f t="shared" si="20"/>
        <v>0</v>
      </c>
      <c r="K24" s="3">
        <f t="shared" si="20"/>
        <v>0</v>
      </c>
      <c r="L24" s="3">
        <f t="shared" si="20"/>
        <v>0</v>
      </c>
      <c r="M24" s="3">
        <f t="shared" si="20"/>
        <v>0</v>
      </c>
      <c r="O24" s="1447"/>
      <c r="P24" s="631">
        <f>P7</f>
        <v>0</v>
      </c>
      <c r="Q24" s="3">
        <f>児童数!AE39</f>
        <v>0</v>
      </c>
      <c r="R24" s="64">
        <f t="shared" ref="R24:R27" si="21">4500*Q24</f>
        <v>0</v>
      </c>
      <c r="S24" s="4"/>
      <c r="T24" s="1447"/>
      <c r="U24" s="631">
        <f>P7</f>
        <v>0</v>
      </c>
      <c r="V24" s="66" t="e">
        <f>Y16+R24</f>
        <v>#VALUE!</v>
      </c>
      <c r="AA24" s="62"/>
      <c r="AB24" s="62"/>
      <c r="AM24" s="1427"/>
      <c r="AN24" s="1420"/>
      <c r="AO24" s="720" t="s">
        <v>41</v>
      </c>
      <c r="AP24" s="732" t="s">
        <v>559</v>
      </c>
      <c r="AQ24" s="85">
        <f t="shared" si="1"/>
        <v>0</v>
      </c>
    </row>
    <row r="25" spans="2:43" ht="16.5">
      <c r="B25" s="1427"/>
      <c r="C25" s="1420"/>
      <c r="D25" s="366" t="s">
        <v>42</v>
      </c>
      <c r="E25" s="59"/>
      <c r="F25" s="3" t="str">
        <f>加算と減算!U18</f>
        <v/>
      </c>
      <c r="G25" s="3" t="str">
        <f t="shared" si="20"/>
        <v/>
      </c>
      <c r="H25" s="3" t="str">
        <f t="shared" si="20"/>
        <v/>
      </c>
      <c r="I25" s="3" t="str">
        <f t="shared" si="20"/>
        <v/>
      </c>
      <c r="J25" s="3" t="str">
        <f t="shared" si="20"/>
        <v/>
      </c>
      <c r="K25" s="3" t="str">
        <f t="shared" si="20"/>
        <v/>
      </c>
      <c r="L25" s="3" t="str">
        <f t="shared" si="20"/>
        <v/>
      </c>
      <c r="M25" s="3" t="str">
        <f t="shared" si="20"/>
        <v/>
      </c>
      <c r="O25" s="1447"/>
      <c r="P25" s="632">
        <f>P8</f>
        <v>0</v>
      </c>
      <c r="Q25" s="3">
        <f>児童数!AE53</f>
        <v>0</v>
      </c>
      <c r="R25" s="64">
        <f t="shared" si="21"/>
        <v>0</v>
      </c>
      <c r="S25" s="4"/>
      <c r="T25" s="1447"/>
      <c r="U25" s="632">
        <f>P8</f>
        <v>0</v>
      </c>
      <c r="V25" s="67" t="e">
        <f>Y17+R25</f>
        <v>#VALUE!</v>
      </c>
      <c r="AA25" s="62"/>
      <c r="AB25" s="62"/>
      <c r="AM25" s="1427"/>
      <c r="AN25" s="1420"/>
      <c r="AO25" s="718" t="s">
        <v>42</v>
      </c>
      <c r="AP25" s="731" t="s">
        <v>353</v>
      </c>
      <c r="AQ25" s="85">
        <f t="shared" si="1"/>
        <v>0</v>
      </c>
    </row>
    <row r="26" spans="2:43" ht="16.5">
      <c r="B26" s="1427"/>
      <c r="C26" s="1421"/>
      <c r="D26" s="366" t="s">
        <v>80</v>
      </c>
      <c r="E26" s="59"/>
      <c r="F26" s="3">
        <f>IF(K2=0,0,ROUNDDOWN(IF(加算と減算!H26="○",加算と減算!U26,IF(加算と減算!H27="○",加算と減算!U27,IF(加算と減算!H28="○",加算と減算!U28,0)))/K2,-1))</f>
        <v>0</v>
      </c>
      <c r="G26" s="3">
        <f t="shared" si="20"/>
        <v>0</v>
      </c>
      <c r="H26" s="3">
        <f t="shared" si="20"/>
        <v>0</v>
      </c>
      <c r="I26" s="3">
        <f t="shared" si="20"/>
        <v>0</v>
      </c>
      <c r="J26" s="3">
        <f t="shared" si="20"/>
        <v>0</v>
      </c>
      <c r="K26" s="3">
        <f t="shared" si="20"/>
        <v>0</v>
      </c>
      <c r="L26" s="3">
        <f t="shared" si="20"/>
        <v>0</v>
      </c>
      <c r="M26" s="3">
        <f t="shared" si="20"/>
        <v>0</v>
      </c>
      <c r="O26" s="1447"/>
      <c r="P26" s="633">
        <f>P9</f>
        <v>0</v>
      </c>
      <c r="Q26" s="3">
        <f>児童数!AE67</f>
        <v>0</v>
      </c>
      <c r="R26" s="64">
        <f t="shared" si="21"/>
        <v>0</v>
      </c>
      <c r="S26" s="4"/>
      <c r="T26" s="1447"/>
      <c r="U26" s="633">
        <f>P9</f>
        <v>0</v>
      </c>
      <c r="V26" s="68" t="e">
        <f>Y18+R26</f>
        <v>#VALUE!</v>
      </c>
      <c r="AA26" s="62"/>
      <c r="AB26" s="62"/>
      <c r="AM26" s="1427"/>
      <c r="AN26" s="1421"/>
      <c r="AO26" s="720" t="s">
        <v>80</v>
      </c>
      <c r="AP26" s="731" t="s">
        <v>353</v>
      </c>
      <c r="AQ26" s="85">
        <f t="shared" si="1"/>
        <v>0</v>
      </c>
    </row>
    <row r="27" spans="2:43" ht="18.75" customHeight="1" thickBot="1">
      <c r="B27" s="1428"/>
      <c r="C27" s="1410" t="s">
        <v>44</v>
      </c>
      <c r="D27" s="1411"/>
      <c r="E27" s="53"/>
      <c r="F27" s="5" t="e">
        <f t="shared" ref="F27:M27" si="22">SUM(F6:F26)</f>
        <v>#VALUE!</v>
      </c>
      <c r="G27" s="5" t="e">
        <f t="shared" si="22"/>
        <v>#VALUE!</v>
      </c>
      <c r="H27" s="5" t="e">
        <f t="shared" si="22"/>
        <v>#VALUE!</v>
      </c>
      <c r="I27" s="5" t="e">
        <f t="shared" si="22"/>
        <v>#VALUE!</v>
      </c>
      <c r="J27" s="5" t="e">
        <f t="shared" si="22"/>
        <v>#VALUE!</v>
      </c>
      <c r="K27" s="5" t="e">
        <f t="shared" si="22"/>
        <v>#VALUE!</v>
      </c>
      <c r="L27" s="5" t="e">
        <f t="shared" si="22"/>
        <v>#VALUE!</v>
      </c>
      <c r="M27" s="5" t="e">
        <f t="shared" si="22"/>
        <v>#VALUE!</v>
      </c>
      <c r="O27" s="1447"/>
      <c r="P27" s="634">
        <f>P10</f>
        <v>0</v>
      </c>
      <c r="Q27" s="3">
        <f>児童数!AE81</f>
        <v>0</v>
      </c>
      <c r="R27" s="64">
        <f t="shared" si="21"/>
        <v>0</v>
      </c>
      <c r="S27" s="4"/>
      <c r="T27" s="1447"/>
      <c r="U27" s="634">
        <f>P10</f>
        <v>0</v>
      </c>
      <c r="V27" s="69" t="e">
        <f>Y19+R27</f>
        <v>#VALUE!</v>
      </c>
      <c r="AA27" s="62"/>
      <c r="AB27" s="62"/>
      <c r="AM27" s="1428"/>
      <c r="AN27" s="1425" t="s">
        <v>562</v>
      </c>
      <c r="AO27" s="1425"/>
      <c r="AP27" s="733" t="s">
        <v>376</v>
      </c>
      <c r="AQ27" s="85">
        <f>R28</f>
        <v>0</v>
      </c>
    </row>
    <row r="28" spans="2:43" ht="15.75" thickBot="1">
      <c r="B28" s="263"/>
      <c r="C28" s="58"/>
      <c r="D28" s="58"/>
      <c r="E28" s="58" t="s">
        <v>167</v>
      </c>
      <c r="F28" s="7" t="e">
        <f>F7+F9+F12+F16+F18</f>
        <v>#VALUE!</v>
      </c>
      <c r="G28" s="7" t="e">
        <f t="shared" ref="G28:M28" si="23">G7+G9+G12+G16+G18</f>
        <v>#VALUE!</v>
      </c>
      <c r="H28" s="7" t="e">
        <f t="shared" si="23"/>
        <v>#VALUE!</v>
      </c>
      <c r="I28" s="7" t="e">
        <f t="shared" si="23"/>
        <v>#VALUE!</v>
      </c>
      <c r="J28" s="7" t="e">
        <f t="shared" si="23"/>
        <v>#VALUE!</v>
      </c>
      <c r="K28" s="7" t="e">
        <f>K7+K9+K12+K16+K18</f>
        <v>#VALUE!</v>
      </c>
      <c r="L28" s="7" t="e">
        <f>L7+L9+L12+L16+L18</f>
        <v>#VALUE!</v>
      </c>
      <c r="M28" s="7" t="e">
        <f t="shared" si="23"/>
        <v>#VALUE!</v>
      </c>
      <c r="O28" s="1448"/>
      <c r="P28" s="635" t="s">
        <v>36</v>
      </c>
      <c r="Q28" s="3">
        <f>SUM(Q23:Q27)</f>
        <v>0</v>
      </c>
      <c r="R28" s="3">
        <f>SUM(R23:R27)</f>
        <v>0</v>
      </c>
      <c r="S28" s="4"/>
      <c r="T28" s="1448"/>
      <c r="U28" s="635" t="s">
        <v>36</v>
      </c>
      <c r="V28" s="70" t="e">
        <f>SUM(V23:V27)</f>
        <v>#VALUE!</v>
      </c>
      <c r="AA28" s="62"/>
      <c r="AB28" s="62"/>
      <c r="AG28" s="288" t="e">
        <f>SUMPRODUCT(F28:M28,Q11:X11)</f>
        <v>#VALUE!</v>
      </c>
      <c r="AM28" s="263"/>
      <c r="AN28" s="1410" t="s">
        <v>44</v>
      </c>
      <c r="AO28" s="1411"/>
      <c r="AP28" s="53"/>
      <c r="AQ28" s="85" t="e">
        <f>SUM(AQ6:AQ27)</f>
        <v>#VALUE!</v>
      </c>
    </row>
    <row r="29" spans="2:43" ht="15" customHeight="1">
      <c r="E29" s="1020" t="s">
        <v>703</v>
      </c>
      <c r="F29" s="264" t="e">
        <f>-ROUNDUP(SUM(F6:F9,F11:F19)*$V$2/100,-1)</f>
        <v>#VALUE!</v>
      </c>
      <c r="G29" s="264" t="e">
        <f t="shared" ref="G29:M29" si="24">-ROUNDUP(SUM(G6:G9,G11:G19)*$V$2/100,-1)</f>
        <v>#VALUE!</v>
      </c>
      <c r="H29" s="264" t="e">
        <f t="shared" si="24"/>
        <v>#VALUE!</v>
      </c>
      <c r="I29" s="264" t="e">
        <f t="shared" si="24"/>
        <v>#VALUE!</v>
      </c>
      <c r="J29" s="264" t="e">
        <f t="shared" si="24"/>
        <v>#VALUE!</v>
      </c>
      <c r="K29" s="264" t="e">
        <f t="shared" si="24"/>
        <v>#VALUE!</v>
      </c>
      <c r="L29" s="264" t="e">
        <f t="shared" si="24"/>
        <v>#VALUE!</v>
      </c>
      <c r="M29" s="264" t="e">
        <f t="shared" si="24"/>
        <v>#VALUE!</v>
      </c>
      <c r="O29" s="637"/>
      <c r="P29" s="637"/>
      <c r="Q29" s="637"/>
      <c r="R29" s="637"/>
      <c r="S29" s="637"/>
      <c r="T29" s="637"/>
      <c r="U29" s="637"/>
      <c r="V29" s="63"/>
      <c r="AA29" s="62"/>
      <c r="AB29" s="62"/>
      <c r="AO29" s="1"/>
      <c r="AP29" s="57"/>
    </row>
    <row r="30" spans="2:43" ht="15" customHeight="1">
      <c r="B30" s="1412" t="s">
        <v>3</v>
      </c>
      <c r="C30" s="1415"/>
      <c r="D30" s="1415"/>
      <c r="E30" s="1416" t="s">
        <v>172</v>
      </c>
      <c r="F30" s="1418" t="s">
        <v>15</v>
      </c>
      <c r="G30" s="1418"/>
      <c r="H30" s="1418"/>
      <c r="I30" s="1418"/>
      <c r="J30" s="1418" t="s">
        <v>16</v>
      </c>
      <c r="K30" s="1418"/>
      <c r="L30" s="1418"/>
      <c r="M30" s="1418"/>
      <c r="O30" s="1449" t="s">
        <v>40</v>
      </c>
      <c r="P30" s="1446" t="s">
        <v>171</v>
      </c>
      <c r="Q30" s="1440" t="s">
        <v>15</v>
      </c>
      <c r="R30" s="1440"/>
      <c r="S30" s="1440"/>
      <c r="T30" s="1440"/>
      <c r="U30" s="1440" t="s">
        <v>16</v>
      </c>
      <c r="V30" s="1440"/>
      <c r="W30" s="1440"/>
      <c r="X30" s="1440"/>
      <c r="Y30" s="1441" t="s">
        <v>177</v>
      </c>
      <c r="Z30" s="11"/>
      <c r="AA30" s="57"/>
      <c r="AB30" s="62"/>
      <c r="AM30" s="1412" t="s">
        <v>3</v>
      </c>
      <c r="AN30" s="1415"/>
      <c r="AO30" s="1415"/>
      <c r="AP30" s="1416" t="s">
        <v>172</v>
      </c>
      <c r="AQ30" s="85"/>
    </row>
    <row r="31" spans="2:43" s="1" customFormat="1">
      <c r="B31" s="1413"/>
      <c r="C31" s="1415"/>
      <c r="D31" s="1415"/>
      <c r="E31" s="1417"/>
      <c r="F31" s="370" t="s">
        <v>6</v>
      </c>
      <c r="G31" s="370" t="s">
        <v>7</v>
      </c>
      <c r="H31" s="370" t="s">
        <v>8</v>
      </c>
      <c r="I31" s="370" t="s">
        <v>9</v>
      </c>
      <c r="J31" s="370" t="s">
        <v>6</v>
      </c>
      <c r="K31" s="370" t="s">
        <v>7</v>
      </c>
      <c r="L31" s="370" t="s">
        <v>8</v>
      </c>
      <c r="M31" s="370" t="s">
        <v>9</v>
      </c>
      <c r="N31" s="2"/>
      <c r="O31" s="1444"/>
      <c r="P31" s="1446"/>
      <c r="Q31" s="368" t="s">
        <v>6</v>
      </c>
      <c r="R31" s="368" t="s">
        <v>7</v>
      </c>
      <c r="S31" s="368" t="s">
        <v>8</v>
      </c>
      <c r="T31" s="368" t="s">
        <v>9</v>
      </c>
      <c r="U31" s="368" t="s">
        <v>6</v>
      </c>
      <c r="V31" s="368" t="s">
        <v>7</v>
      </c>
      <c r="W31" s="368" t="s">
        <v>8</v>
      </c>
      <c r="X31" s="368" t="s">
        <v>9</v>
      </c>
      <c r="Y31" s="1442"/>
      <c r="Z31" s="11"/>
      <c r="AA31" s="57"/>
      <c r="AB31" s="57"/>
      <c r="AE31" s="2"/>
      <c r="AM31" s="1413"/>
      <c r="AN31" s="1415"/>
      <c r="AO31" s="1415"/>
      <c r="AP31" s="1417"/>
      <c r="AQ31" s="85"/>
    </row>
    <row r="32" spans="2:43" s="1" customFormat="1">
      <c r="B32" s="1413"/>
      <c r="C32" s="1418" t="s">
        <v>17</v>
      </c>
      <c r="D32" s="1418"/>
      <c r="E32" s="53" t="s">
        <v>169</v>
      </c>
      <c r="F32" s="3">
        <f>単価表!AV23</f>
        <v>0</v>
      </c>
      <c r="G32" s="3">
        <f>単価表!AV25</f>
        <v>0</v>
      </c>
      <c r="H32" s="3">
        <f>単価表!AV27</f>
        <v>0</v>
      </c>
      <c r="I32" s="3">
        <f>単価表!AV29</f>
        <v>0</v>
      </c>
      <c r="J32" s="3">
        <f>単価表!AW23</f>
        <v>0</v>
      </c>
      <c r="K32" s="3">
        <f>単価表!AW25</f>
        <v>0</v>
      </c>
      <c r="L32" s="3">
        <f>単価表!AW27</f>
        <v>0</v>
      </c>
      <c r="M32" s="3">
        <f>単価表!AW29</f>
        <v>0</v>
      </c>
      <c r="O32" s="1444"/>
      <c r="P32" s="630">
        <f>P6</f>
        <v>0</v>
      </c>
      <c r="Q32" s="3">
        <f>児童数!R25</f>
        <v>0</v>
      </c>
      <c r="R32" s="3">
        <f>児童数!S25</f>
        <v>0</v>
      </c>
      <c r="S32" s="3">
        <f>児童数!T25</f>
        <v>0</v>
      </c>
      <c r="T32" s="3">
        <f>児童数!U25</f>
        <v>0</v>
      </c>
      <c r="U32" s="3">
        <f>児童数!W25</f>
        <v>0</v>
      </c>
      <c r="V32" s="3">
        <f>児童数!X25</f>
        <v>0</v>
      </c>
      <c r="W32" s="3">
        <f>児童数!Y25</f>
        <v>0</v>
      </c>
      <c r="X32" s="3">
        <f>児童数!Z25</f>
        <v>0</v>
      </c>
      <c r="Y32" s="64">
        <f>SUM(Q32:X32)</f>
        <v>0</v>
      </c>
      <c r="Z32" s="2"/>
      <c r="AA32" s="57"/>
      <c r="AB32" s="57"/>
      <c r="AM32" s="1413"/>
      <c r="AN32" s="1418" t="s">
        <v>17</v>
      </c>
      <c r="AO32" s="1418"/>
      <c r="AP32" s="53" t="s">
        <v>169</v>
      </c>
      <c r="AQ32" s="85">
        <f>SUMPRODUCT(F32:M32,$Q$37:$X$37)</f>
        <v>0</v>
      </c>
    </row>
    <row r="33" spans="2:43" s="1" customFormat="1" ht="15" customHeight="1">
      <c r="B33" s="1413"/>
      <c r="C33" s="1418"/>
      <c r="D33" s="1418"/>
      <c r="E33" s="53" t="s">
        <v>167</v>
      </c>
      <c r="F33" s="3">
        <f>単価表!AX23*基本情報!G7</f>
        <v>0</v>
      </c>
      <c r="G33" s="3">
        <f>単価表!AX25*基本情報!G7</f>
        <v>0</v>
      </c>
      <c r="H33" s="3">
        <f>単価表!AX27*基本情報!G7</f>
        <v>0</v>
      </c>
      <c r="I33" s="3">
        <f>単価表!AX29*基本情報!G7</f>
        <v>0</v>
      </c>
      <c r="J33" s="3">
        <f>単価表!AY23*基本情報!G7</f>
        <v>0</v>
      </c>
      <c r="K33" s="3">
        <f>単価表!AY25*基本情報!G7</f>
        <v>0</v>
      </c>
      <c r="L33" s="3">
        <f>単価表!AY27*基本情報!G7</f>
        <v>0</v>
      </c>
      <c r="M33" s="3">
        <f>単価表!AY29*基本情報!G7</f>
        <v>0</v>
      </c>
      <c r="O33" s="1444"/>
      <c r="P33" s="631">
        <f>P7</f>
        <v>0</v>
      </c>
      <c r="Q33" s="3">
        <f>児童数!R39</f>
        <v>0</v>
      </c>
      <c r="R33" s="3">
        <f>児童数!S39</f>
        <v>0</v>
      </c>
      <c r="S33" s="3">
        <f>児童数!T39</f>
        <v>0</v>
      </c>
      <c r="T33" s="3">
        <f>児童数!U39</f>
        <v>0</v>
      </c>
      <c r="U33" s="3">
        <f>児童数!W39</f>
        <v>0</v>
      </c>
      <c r="V33" s="3">
        <f>児童数!X39</f>
        <v>0</v>
      </c>
      <c r="W33" s="3">
        <f>児童数!Y39</f>
        <v>0</v>
      </c>
      <c r="X33" s="3">
        <f>児童数!Z39</f>
        <v>0</v>
      </c>
      <c r="Y33" s="64">
        <f t="shared" ref="Y33:Y36" si="25">SUM(Q33:X33)</f>
        <v>0</v>
      </c>
      <c r="Z33" s="2"/>
      <c r="AA33" s="62"/>
      <c r="AB33" s="57"/>
      <c r="AM33" s="1413"/>
      <c r="AN33" s="1418"/>
      <c r="AO33" s="1418"/>
      <c r="AP33" s="53" t="s">
        <v>167</v>
      </c>
      <c r="AQ33" s="85">
        <f t="shared" ref="AQ33:AQ53" si="26">SUMPRODUCT(F33:M33,$Q$37:$X$37)</f>
        <v>0</v>
      </c>
    </row>
    <row r="34" spans="2:43" ht="16.5">
      <c r="B34" s="1413"/>
      <c r="C34" s="1419" t="s">
        <v>203</v>
      </c>
      <c r="D34" s="1453" t="s">
        <v>37</v>
      </c>
      <c r="E34" s="53" t="s">
        <v>169</v>
      </c>
      <c r="F34" s="6"/>
      <c r="G34" s="3">
        <f>IF(基本情報!E5="",0,G8)</f>
        <v>0</v>
      </c>
      <c r="H34" s="6"/>
      <c r="I34" s="6"/>
      <c r="J34" s="6"/>
      <c r="K34" s="3">
        <f>IF(基本情報!E5="",0,K8)</f>
        <v>0</v>
      </c>
      <c r="L34" s="6"/>
      <c r="M34" s="6"/>
      <c r="N34" s="1"/>
      <c r="O34" s="1444"/>
      <c r="P34" s="632">
        <f>P8</f>
        <v>0</v>
      </c>
      <c r="Q34" s="3">
        <f>児童数!R53</f>
        <v>0</v>
      </c>
      <c r="R34" s="3">
        <f>児童数!S53</f>
        <v>0</v>
      </c>
      <c r="S34" s="3">
        <f>児童数!T53</f>
        <v>0</v>
      </c>
      <c r="T34" s="3">
        <f>児童数!U53</f>
        <v>0</v>
      </c>
      <c r="U34" s="3">
        <f>児童数!W53</f>
        <v>0</v>
      </c>
      <c r="V34" s="3">
        <f>児童数!X53</f>
        <v>0</v>
      </c>
      <c r="W34" s="3">
        <f>児童数!Y53</f>
        <v>0</v>
      </c>
      <c r="X34" s="3">
        <f>児童数!Z53</f>
        <v>0</v>
      </c>
      <c r="Y34" s="64">
        <f t="shared" si="25"/>
        <v>0</v>
      </c>
      <c r="AA34" s="62"/>
      <c r="AB34" s="62"/>
      <c r="AE34" s="1"/>
      <c r="AM34" s="1413"/>
      <c r="AN34" s="1419" t="s">
        <v>203</v>
      </c>
      <c r="AO34" s="1422" t="s">
        <v>37</v>
      </c>
      <c r="AP34" s="732" t="s">
        <v>559</v>
      </c>
      <c r="AQ34" s="85">
        <f t="shared" si="26"/>
        <v>0</v>
      </c>
    </row>
    <row r="35" spans="2:43">
      <c r="B35" s="1413"/>
      <c r="C35" s="1420"/>
      <c r="D35" s="1453"/>
      <c r="E35" s="53" t="s">
        <v>167</v>
      </c>
      <c r="F35" s="6"/>
      <c r="G35" s="3">
        <f>IF(基本情報!E5="",0,G9)</f>
        <v>0</v>
      </c>
      <c r="H35" s="6"/>
      <c r="I35" s="6"/>
      <c r="J35" s="6"/>
      <c r="K35" s="3">
        <f>IF(基本情報!E5="",0,K9)</f>
        <v>0</v>
      </c>
      <c r="L35" s="6"/>
      <c r="M35" s="6"/>
      <c r="O35" s="1444"/>
      <c r="P35" s="633">
        <f>P9</f>
        <v>0</v>
      </c>
      <c r="Q35" s="3">
        <f>児童数!R67</f>
        <v>0</v>
      </c>
      <c r="R35" s="3">
        <f>児童数!S67</f>
        <v>0</v>
      </c>
      <c r="S35" s="3">
        <f>児童数!T67</f>
        <v>0</v>
      </c>
      <c r="T35" s="3">
        <f>児童数!U67</f>
        <v>0</v>
      </c>
      <c r="U35" s="3">
        <f>児童数!W67</f>
        <v>0</v>
      </c>
      <c r="V35" s="3">
        <f>児童数!X67</f>
        <v>0</v>
      </c>
      <c r="W35" s="3">
        <f>児童数!Y67</f>
        <v>0</v>
      </c>
      <c r="X35" s="3">
        <f>児童数!Z67</f>
        <v>0</v>
      </c>
      <c r="Y35" s="64">
        <f t="shared" si="25"/>
        <v>0</v>
      </c>
      <c r="AA35" s="62"/>
      <c r="AB35" s="62"/>
      <c r="AM35" s="1413"/>
      <c r="AN35" s="1420"/>
      <c r="AO35" s="1422"/>
      <c r="AP35" s="53" t="s">
        <v>167</v>
      </c>
      <c r="AQ35" s="85">
        <f t="shared" si="26"/>
        <v>0</v>
      </c>
    </row>
    <row r="36" spans="2:43">
      <c r="B36" s="1413"/>
      <c r="C36" s="1420"/>
      <c r="D36" s="383" t="s">
        <v>69</v>
      </c>
      <c r="E36" s="60"/>
      <c r="F36" s="3">
        <f>IF(基本情報!E5="",0,F10)</f>
        <v>0</v>
      </c>
      <c r="G36" s="3">
        <f>$F36</f>
        <v>0</v>
      </c>
      <c r="H36" s="3">
        <f t="shared" ref="H36:L36" si="27">$F36</f>
        <v>0</v>
      </c>
      <c r="I36" s="3">
        <f t="shared" si="27"/>
        <v>0</v>
      </c>
      <c r="J36" s="3">
        <f t="shared" si="27"/>
        <v>0</v>
      </c>
      <c r="K36" s="3">
        <f t="shared" si="27"/>
        <v>0</v>
      </c>
      <c r="L36" s="3">
        <f t="shared" si="27"/>
        <v>0</v>
      </c>
      <c r="M36" s="3">
        <f>$F36</f>
        <v>0</v>
      </c>
      <c r="O36" s="1444"/>
      <c r="P36" s="634">
        <f>P10</f>
        <v>0</v>
      </c>
      <c r="Q36" s="3">
        <f>児童数!R81</f>
        <v>0</v>
      </c>
      <c r="R36" s="3">
        <f>児童数!S81</f>
        <v>0</v>
      </c>
      <c r="S36" s="3">
        <f>児童数!T81</f>
        <v>0</v>
      </c>
      <c r="T36" s="3">
        <f>児童数!U81</f>
        <v>0</v>
      </c>
      <c r="U36" s="3">
        <f>児童数!W81</f>
        <v>0</v>
      </c>
      <c r="V36" s="3">
        <f>児童数!X81</f>
        <v>0</v>
      </c>
      <c r="W36" s="3">
        <f>児童数!Y81</f>
        <v>0</v>
      </c>
      <c r="X36" s="3">
        <f>児童数!Z81</f>
        <v>0</v>
      </c>
      <c r="Y36" s="64">
        <f t="shared" si="25"/>
        <v>0</v>
      </c>
      <c r="AA36" s="62"/>
      <c r="AB36" s="62"/>
      <c r="AM36" s="1413"/>
      <c r="AN36" s="1420"/>
      <c r="AO36" s="383" t="s">
        <v>69</v>
      </c>
      <c r="AP36" s="629"/>
      <c r="AQ36" s="85">
        <f t="shared" si="26"/>
        <v>0</v>
      </c>
    </row>
    <row r="37" spans="2:43">
      <c r="B37" s="1413"/>
      <c r="C37" s="1420"/>
      <c r="D37" s="1422" t="s">
        <v>161</v>
      </c>
      <c r="E37" s="53" t="s">
        <v>169</v>
      </c>
      <c r="F37" s="3">
        <f>IF(基本情報!E5="",0,F11)</f>
        <v>0</v>
      </c>
      <c r="G37" s="3">
        <f>F37</f>
        <v>0</v>
      </c>
      <c r="H37" s="3">
        <f>IF(基本情報!E5="",0,H11)</f>
        <v>0</v>
      </c>
      <c r="I37" s="3">
        <f>H37</f>
        <v>0</v>
      </c>
      <c r="J37" s="3">
        <f>F37</f>
        <v>0</v>
      </c>
      <c r="K37" s="3">
        <f>F37</f>
        <v>0</v>
      </c>
      <c r="L37" s="3">
        <f>H37</f>
        <v>0</v>
      </c>
      <c r="M37" s="3">
        <f>H37</f>
        <v>0</v>
      </c>
      <c r="O37" s="1445"/>
      <c r="P37" s="635" t="s">
        <v>36</v>
      </c>
      <c r="Q37" s="3">
        <f>SUM(Q32:Q36)</f>
        <v>0</v>
      </c>
      <c r="R37" s="3">
        <f t="shared" ref="R37:Y37" si="28">SUM(R32:R36)</f>
        <v>0</v>
      </c>
      <c r="S37" s="3">
        <f t="shared" si="28"/>
        <v>0</v>
      </c>
      <c r="T37" s="3">
        <f t="shared" si="28"/>
        <v>0</v>
      </c>
      <c r="U37" s="3">
        <f t="shared" si="28"/>
        <v>0</v>
      </c>
      <c r="V37" s="3">
        <f t="shared" si="28"/>
        <v>0</v>
      </c>
      <c r="W37" s="3">
        <f t="shared" si="28"/>
        <v>0</v>
      </c>
      <c r="X37" s="3">
        <f t="shared" si="28"/>
        <v>0</v>
      </c>
      <c r="Y37" s="3">
        <f t="shared" si="28"/>
        <v>0</v>
      </c>
      <c r="Z37" s="55" t="s">
        <v>176</v>
      </c>
      <c r="AA37" s="71" t="str">
        <f>IF(SUM(Q37:X37)=I2,"OK",SUM(Q37:X37)-G27)</f>
        <v>OK</v>
      </c>
      <c r="AM37" s="1413"/>
      <c r="AN37" s="1420"/>
      <c r="AO37" s="1422" t="s">
        <v>161</v>
      </c>
      <c r="AP37" s="53" t="s">
        <v>169</v>
      </c>
      <c r="AQ37" s="85">
        <f t="shared" si="26"/>
        <v>0</v>
      </c>
    </row>
    <row r="38" spans="2:43">
      <c r="B38" s="1413"/>
      <c r="C38" s="1420"/>
      <c r="D38" s="1422"/>
      <c r="E38" s="53" t="s">
        <v>167</v>
      </c>
      <c r="F38" s="3">
        <f>IF(基本情報!E5="",0,F12)</f>
        <v>0</v>
      </c>
      <c r="G38" s="3">
        <f>$F38</f>
        <v>0</v>
      </c>
      <c r="H38" s="3">
        <f t="shared" ref="H38:M38" si="29">$F38</f>
        <v>0</v>
      </c>
      <c r="I38" s="3">
        <f t="shared" si="29"/>
        <v>0</v>
      </c>
      <c r="J38" s="3">
        <f t="shared" si="29"/>
        <v>0</v>
      </c>
      <c r="K38" s="3">
        <f t="shared" si="29"/>
        <v>0</v>
      </c>
      <c r="L38" s="3">
        <f t="shared" si="29"/>
        <v>0</v>
      </c>
      <c r="M38" s="3">
        <f t="shared" si="29"/>
        <v>0</v>
      </c>
      <c r="O38" s="58"/>
      <c r="P38" s="58"/>
      <c r="Q38" s="10"/>
      <c r="R38" s="10"/>
      <c r="S38" s="10"/>
      <c r="T38" s="10"/>
      <c r="U38" s="10"/>
      <c r="V38" s="10"/>
      <c r="W38" s="10"/>
      <c r="X38" s="10"/>
      <c r="Y38" s="11"/>
      <c r="Z38" s="11"/>
      <c r="AM38" s="1413"/>
      <c r="AN38" s="1420"/>
      <c r="AO38" s="1422"/>
      <c r="AP38" s="53" t="s">
        <v>167</v>
      </c>
      <c r="AQ38" s="85">
        <f t="shared" si="26"/>
        <v>0</v>
      </c>
    </row>
    <row r="39" spans="2:43" ht="16.5">
      <c r="B39" s="1413"/>
      <c r="C39" s="1420"/>
      <c r="D39" s="366" t="s">
        <v>162</v>
      </c>
      <c r="E39" s="59"/>
      <c r="F39" s="3">
        <f>IF(基本情報!E5="",0,F13)</f>
        <v>0</v>
      </c>
      <c r="G39" s="3">
        <f t="shared" ref="G39:M42" si="30">$F39</f>
        <v>0</v>
      </c>
      <c r="H39" s="3">
        <f t="shared" si="30"/>
        <v>0</v>
      </c>
      <c r="I39" s="3">
        <f t="shared" si="30"/>
        <v>0</v>
      </c>
      <c r="J39" s="3">
        <f t="shared" si="30"/>
        <v>0</v>
      </c>
      <c r="K39" s="3">
        <f t="shared" si="30"/>
        <v>0</v>
      </c>
      <c r="L39" s="3">
        <f t="shared" si="30"/>
        <v>0</v>
      </c>
      <c r="M39" s="3">
        <f t="shared" si="30"/>
        <v>0</v>
      </c>
      <c r="O39" s="1443" t="s">
        <v>189</v>
      </c>
      <c r="P39" s="1446" t="s">
        <v>171</v>
      </c>
      <c r="Q39" s="1440" t="s">
        <v>15</v>
      </c>
      <c r="R39" s="1440"/>
      <c r="S39" s="1440"/>
      <c r="T39" s="1440"/>
      <c r="U39" s="1440" t="s">
        <v>16</v>
      </c>
      <c r="V39" s="1440"/>
      <c r="W39" s="1440"/>
      <c r="X39" s="1440"/>
      <c r="Y39" s="1441" t="s">
        <v>177</v>
      </c>
      <c r="AM39" s="1413"/>
      <c r="AN39" s="1420"/>
      <c r="AO39" s="720" t="s">
        <v>162</v>
      </c>
      <c r="AP39" s="731" t="s">
        <v>353</v>
      </c>
      <c r="AQ39" s="85">
        <f t="shared" si="26"/>
        <v>0</v>
      </c>
    </row>
    <row r="40" spans="2:43" ht="16.5">
      <c r="B40" s="1413"/>
      <c r="C40" s="1420"/>
      <c r="D40" s="366" t="s">
        <v>54</v>
      </c>
      <c r="E40" s="59"/>
      <c r="F40" s="3">
        <f>IF(基本情報!E5="",0,F14)</f>
        <v>0</v>
      </c>
      <c r="G40" s="3">
        <f t="shared" si="30"/>
        <v>0</v>
      </c>
      <c r="H40" s="3">
        <f t="shared" si="30"/>
        <v>0</v>
      </c>
      <c r="I40" s="3">
        <f t="shared" si="30"/>
        <v>0</v>
      </c>
      <c r="J40" s="3">
        <f t="shared" si="30"/>
        <v>0</v>
      </c>
      <c r="K40" s="3">
        <f t="shared" si="30"/>
        <v>0</v>
      </c>
      <c r="L40" s="3">
        <f t="shared" si="30"/>
        <v>0</v>
      </c>
      <c r="M40" s="3">
        <f>$F40</f>
        <v>0</v>
      </c>
      <c r="O40" s="1444"/>
      <c r="P40" s="1446"/>
      <c r="Q40" s="368" t="s">
        <v>6</v>
      </c>
      <c r="R40" s="368" t="s">
        <v>7</v>
      </c>
      <c r="S40" s="368" t="s">
        <v>8</v>
      </c>
      <c r="T40" s="368" t="s">
        <v>9</v>
      </c>
      <c r="U40" s="368" t="s">
        <v>6</v>
      </c>
      <c r="V40" s="368" t="s">
        <v>7</v>
      </c>
      <c r="W40" s="368" t="s">
        <v>8</v>
      </c>
      <c r="X40" s="368" t="s">
        <v>9</v>
      </c>
      <c r="Y40" s="1442"/>
      <c r="AM40" s="1413"/>
      <c r="AN40" s="1420"/>
      <c r="AO40" s="720" t="s">
        <v>54</v>
      </c>
      <c r="AP40" s="731" t="s">
        <v>353</v>
      </c>
      <c r="AQ40" s="85">
        <f t="shared" si="26"/>
        <v>0</v>
      </c>
    </row>
    <row r="41" spans="2:43" ht="16.5">
      <c r="B41" s="1413"/>
      <c r="C41" s="1420"/>
      <c r="D41" s="1422" t="s">
        <v>38</v>
      </c>
      <c r="E41" s="53" t="s">
        <v>169</v>
      </c>
      <c r="F41" s="3">
        <f>IF(基本情報!E5="",0,F15)</f>
        <v>0</v>
      </c>
      <c r="G41" s="3">
        <f t="shared" si="30"/>
        <v>0</v>
      </c>
      <c r="H41" s="3">
        <f t="shared" si="30"/>
        <v>0</v>
      </c>
      <c r="I41" s="3">
        <f t="shared" si="30"/>
        <v>0</v>
      </c>
      <c r="J41" s="3">
        <f t="shared" si="30"/>
        <v>0</v>
      </c>
      <c r="K41" s="3">
        <f t="shared" si="30"/>
        <v>0</v>
      </c>
      <c r="L41" s="3">
        <f t="shared" si="30"/>
        <v>0</v>
      </c>
      <c r="M41" s="3">
        <f t="shared" si="30"/>
        <v>0</v>
      </c>
      <c r="O41" s="1444"/>
      <c r="P41" s="630">
        <f>P32</f>
        <v>0</v>
      </c>
      <c r="Q41" s="3">
        <f t="shared" ref="Q41:X41" si="31">F54*Q32</f>
        <v>0</v>
      </c>
      <c r="R41" s="3">
        <f t="shared" si="31"/>
        <v>0</v>
      </c>
      <c r="S41" s="3">
        <f t="shared" si="31"/>
        <v>0</v>
      </c>
      <c r="T41" s="3">
        <f t="shared" si="31"/>
        <v>0</v>
      </c>
      <c r="U41" s="3">
        <f t="shared" si="31"/>
        <v>0</v>
      </c>
      <c r="V41" s="3">
        <f t="shared" si="31"/>
        <v>0</v>
      </c>
      <c r="W41" s="3">
        <f t="shared" si="31"/>
        <v>0</v>
      </c>
      <c r="X41" s="3">
        <f t="shared" si="31"/>
        <v>0</v>
      </c>
      <c r="Y41" s="3">
        <f>SUM(Q41:X41)</f>
        <v>0</v>
      </c>
      <c r="AM41" s="1413"/>
      <c r="AN41" s="1420"/>
      <c r="AO41" s="1422" t="s">
        <v>38</v>
      </c>
      <c r="AP41" s="732" t="s">
        <v>559</v>
      </c>
      <c r="AQ41" s="85">
        <f t="shared" si="26"/>
        <v>0</v>
      </c>
    </row>
    <row r="42" spans="2:43">
      <c r="B42" s="1413"/>
      <c r="C42" s="1421"/>
      <c r="D42" s="1422"/>
      <c r="E42" s="53" t="s">
        <v>167</v>
      </c>
      <c r="F42" s="3">
        <f>IF(基本情報!E5="",0,F16)</f>
        <v>0</v>
      </c>
      <c r="G42" s="3">
        <f t="shared" si="30"/>
        <v>0</v>
      </c>
      <c r="H42" s="3">
        <f t="shared" si="30"/>
        <v>0</v>
      </c>
      <c r="I42" s="3">
        <f t="shared" si="30"/>
        <v>0</v>
      </c>
      <c r="J42" s="3">
        <f t="shared" si="30"/>
        <v>0</v>
      </c>
      <c r="K42" s="3">
        <f t="shared" si="30"/>
        <v>0</v>
      </c>
      <c r="L42" s="3">
        <f t="shared" si="30"/>
        <v>0</v>
      </c>
      <c r="M42" s="3">
        <f>$F42</f>
        <v>0</v>
      </c>
      <c r="O42" s="1444"/>
      <c r="P42" s="631">
        <f>P33</f>
        <v>0</v>
      </c>
      <c r="Q42" s="3">
        <f t="shared" ref="Q42:X42" si="32">F54*Q33</f>
        <v>0</v>
      </c>
      <c r="R42" s="3">
        <f t="shared" si="32"/>
        <v>0</v>
      </c>
      <c r="S42" s="3">
        <f t="shared" si="32"/>
        <v>0</v>
      </c>
      <c r="T42" s="3">
        <f t="shared" si="32"/>
        <v>0</v>
      </c>
      <c r="U42" s="3">
        <f t="shared" si="32"/>
        <v>0</v>
      </c>
      <c r="V42" s="3">
        <f t="shared" si="32"/>
        <v>0</v>
      </c>
      <c r="W42" s="3">
        <f t="shared" si="32"/>
        <v>0</v>
      </c>
      <c r="X42" s="3">
        <f t="shared" si="32"/>
        <v>0</v>
      </c>
      <c r="Y42" s="3">
        <f t="shared" ref="Y42:Y45" si="33">SUM(Q42:X42)</f>
        <v>0</v>
      </c>
      <c r="AM42" s="1413"/>
      <c r="AN42" s="1421"/>
      <c r="AO42" s="1422"/>
      <c r="AP42" s="53" t="s">
        <v>167</v>
      </c>
      <c r="AQ42" s="85">
        <f t="shared" si="26"/>
        <v>0</v>
      </c>
    </row>
    <row r="43" spans="2:43">
      <c r="B43" s="1413"/>
      <c r="C43" s="1423" t="s">
        <v>205</v>
      </c>
      <c r="D43" s="371" t="s">
        <v>164</v>
      </c>
      <c r="E43" s="60"/>
      <c r="F43" s="3">
        <f t="shared" ref="F43:M43" si="34">-ROUNDDOWN((F32+F33)*$P$2%,-1)</f>
        <v>0</v>
      </c>
      <c r="G43" s="3">
        <f t="shared" si="34"/>
        <v>0</v>
      </c>
      <c r="H43" s="3">
        <f t="shared" si="34"/>
        <v>0</v>
      </c>
      <c r="I43" s="3">
        <f t="shared" si="34"/>
        <v>0</v>
      </c>
      <c r="J43" s="3">
        <f t="shared" si="34"/>
        <v>0</v>
      </c>
      <c r="K43" s="3">
        <f t="shared" si="34"/>
        <v>0</v>
      </c>
      <c r="L43" s="3">
        <f t="shared" si="34"/>
        <v>0</v>
      </c>
      <c r="M43" s="3">
        <f t="shared" si="34"/>
        <v>0</v>
      </c>
      <c r="O43" s="1444"/>
      <c r="P43" s="632">
        <f>P34</f>
        <v>0</v>
      </c>
      <c r="Q43" s="3">
        <f t="shared" ref="Q43:X43" si="35">F54*Q34</f>
        <v>0</v>
      </c>
      <c r="R43" s="3">
        <f t="shared" si="35"/>
        <v>0</v>
      </c>
      <c r="S43" s="3">
        <f t="shared" si="35"/>
        <v>0</v>
      </c>
      <c r="T43" s="3">
        <f t="shared" si="35"/>
        <v>0</v>
      </c>
      <c r="U43" s="3">
        <f t="shared" si="35"/>
        <v>0</v>
      </c>
      <c r="V43" s="3">
        <f t="shared" si="35"/>
        <v>0</v>
      </c>
      <c r="W43" s="3">
        <f t="shared" si="35"/>
        <v>0</v>
      </c>
      <c r="X43" s="3">
        <f t="shared" si="35"/>
        <v>0</v>
      </c>
      <c r="Y43" s="3">
        <f t="shared" si="33"/>
        <v>0</v>
      </c>
      <c r="AM43" s="1413"/>
      <c r="AN43" s="1423" t="s">
        <v>205</v>
      </c>
      <c r="AO43" s="717" t="s">
        <v>164</v>
      </c>
      <c r="AP43" s="60"/>
      <c r="AQ43" s="85">
        <f t="shared" si="26"/>
        <v>0</v>
      </c>
    </row>
    <row r="44" spans="2:43">
      <c r="B44" s="1413"/>
      <c r="C44" s="1423"/>
      <c r="D44" s="1424" t="s">
        <v>43</v>
      </c>
      <c r="E44" s="53" t="s">
        <v>169</v>
      </c>
      <c r="F44" s="74">
        <f>-IF(加算と減算!H32="○",単価表!AZ23,0)</f>
        <v>0</v>
      </c>
      <c r="G44" s="74">
        <f>F44</f>
        <v>0</v>
      </c>
      <c r="H44" s="74">
        <f>F44</f>
        <v>0</v>
      </c>
      <c r="I44" s="74">
        <f>F44</f>
        <v>0</v>
      </c>
      <c r="J44" s="74">
        <f>F44</f>
        <v>0</v>
      </c>
      <c r="K44" s="74">
        <f>F44</f>
        <v>0</v>
      </c>
      <c r="L44" s="74">
        <f>F44</f>
        <v>0</v>
      </c>
      <c r="M44" s="74">
        <f>F44</f>
        <v>0</v>
      </c>
      <c r="O44" s="1444"/>
      <c r="P44" s="633">
        <f>P35</f>
        <v>0</v>
      </c>
      <c r="Q44" s="3">
        <f t="shared" ref="Q44:X44" si="36">F54*Q35</f>
        <v>0</v>
      </c>
      <c r="R44" s="3">
        <f t="shared" si="36"/>
        <v>0</v>
      </c>
      <c r="S44" s="3">
        <f t="shared" si="36"/>
        <v>0</v>
      </c>
      <c r="T44" s="3">
        <f t="shared" si="36"/>
        <v>0</v>
      </c>
      <c r="U44" s="3">
        <f t="shared" si="36"/>
        <v>0</v>
      </c>
      <c r="V44" s="3">
        <f t="shared" si="36"/>
        <v>0</v>
      </c>
      <c r="W44" s="3">
        <f t="shared" si="36"/>
        <v>0</v>
      </c>
      <c r="X44" s="3">
        <f t="shared" si="36"/>
        <v>0</v>
      </c>
      <c r="Y44" s="3">
        <f t="shared" si="33"/>
        <v>0</v>
      </c>
      <c r="AM44" s="1413"/>
      <c r="AN44" s="1423"/>
      <c r="AO44" s="1424" t="s">
        <v>43</v>
      </c>
      <c r="AP44" s="53" t="s">
        <v>169</v>
      </c>
      <c r="AQ44" s="85">
        <f t="shared" si="26"/>
        <v>0</v>
      </c>
    </row>
    <row r="45" spans="2:43">
      <c r="B45" s="1413"/>
      <c r="C45" s="1423"/>
      <c r="D45" s="1424"/>
      <c r="E45" s="53" t="s">
        <v>167</v>
      </c>
      <c r="F45" s="74">
        <f>-IF(加算と減算!H32="○",単価表!BA23*基本情報!G7,0)</f>
        <v>0</v>
      </c>
      <c r="G45" s="74">
        <f>F45</f>
        <v>0</v>
      </c>
      <c r="H45" s="74">
        <f>F45</f>
        <v>0</v>
      </c>
      <c r="I45" s="74">
        <f>F45</f>
        <v>0</v>
      </c>
      <c r="J45" s="74">
        <f>F45</f>
        <v>0</v>
      </c>
      <c r="K45" s="74">
        <f>F45</f>
        <v>0</v>
      </c>
      <c r="L45" s="74">
        <f>F45</f>
        <v>0</v>
      </c>
      <c r="M45" s="74">
        <f>F45</f>
        <v>0</v>
      </c>
      <c r="O45" s="1444"/>
      <c r="P45" s="634">
        <f>P36</f>
        <v>0</v>
      </c>
      <c r="Q45" s="3">
        <f t="shared" ref="Q45:X45" si="37">F54*Q36</f>
        <v>0</v>
      </c>
      <c r="R45" s="3">
        <f t="shared" si="37"/>
        <v>0</v>
      </c>
      <c r="S45" s="3">
        <f t="shared" si="37"/>
        <v>0</v>
      </c>
      <c r="T45" s="3">
        <f t="shared" si="37"/>
        <v>0</v>
      </c>
      <c r="U45" s="3">
        <f t="shared" si="37"/>
        <v>0</v>
      </c>
      <c r="V45" s="3">
        <f t="shared" si="37"/>
        <v>0</v>
      </c>
      <c r="W45" s="3">
        <f t="shared" si="37"/>
        <v>0</v>
      </c>
      <c r="X45" s="3">
        <f t="shared" si="37"/>
        <v>0</v>
      </c>
      <c r="Y45" s="3">
        <f t="shared" si="33"/>
        <v>0</v>
      </c>
      <c r="AM45" s="1413"/>
      <c r="AN45" s="1423"/>
      <c r="AO45" s="1424"/>
      <c r="AP45" s="53" t="s">
        <v>167</v>
      </c>
      <c r="AQ45" s="85">
        <f t="shared" si="26"/>
        <v>0</v>
      </c>
    </row>
    <row r="46" spans="2:43">
      <c r="B46" s="1413"/>
      <c r="C46" s="1423"/>
      <c r="D46" s="371" t="s">
        <v>165</v>
      </c>
      <c r="E46" s="60"/>
      <c r="F46" s="74">
        <f t="shared" ref="F46:M46" si="38">-ROUNDDOWN((F32+F33+F37+F38+F34+F35)*$T$2/100,-1)</f>
        <v>0</v>
      </c>
      <c r="G46" s="74">
        <f t="shared" si="38"/>
        <v>0</v>
      </c>
      <c r="H46" s="74">
        <f t="shared" si="38"/>
        <v>0</v>
      </c>
      <c r="I46" s="74">
        <f t="shared" si="38"/>
        <v>0</v>
      </c>
      <c r="J46" s="74">
        <f t="shared" si="38"/>
        <v>0</v>
      </c>
      <c r="K46" s="74">
        <f t="shared" si="38"/>
        <v>0</v>
      </c>
      <c r="L46" s="74">
        <f t="shared" si="38"/>
        <v>0</v>
      </c>
      <c r="M46" s="74">
        <f t="shared" si="38"/>
        <v>0</v>
      </c>
      <c r="O46" s="1445"/>
      <c r="P46" s="635" t="s">
        <v>36</v>
      </c>
      <c r="Q46" s="3">
        <f>SUM(Q41:Q45)</f>
        <v>0</v>
      </c>
      <c r="R46" s="3">
        <f t="shared" ref="R46:Y46" si="39">SUM(R41:R45)</f>
        <v>0</v>
      </c>
      <c r="S46" s="3">
        <f t="shared" si="39"/>
        <v>0</v>
      </c>
      <c r="T46" s="3">
        <f t="shared" si="39"/>
        <v>0</v>
      </c>
      <c r="U46" s="3">
        <f t="shared" si="39"/>
        <v>0</v>
      </c>
      <c r="V46" s="3">
        <f t="shared" si="39"/>
        <v>0</v>
      </c>
      <c r="W46" s="3">
        <f t="shared" si="39"/>
        <v>0</v>
      </c>
      <c r="X46" s="3">
        <f t="shared" si="39"/>
        <v>0</v>
      </c>
      <c r="Y46" s="3">
        <f t="shared" si="39"/>
        <v>0</v>
      </c>
      <c r="AM46" s="1413"/>
      <c r="AN46" s="1423"/>
      <c r="AO46" s="717" t="s">
        <v>165</v>
      </c>
      <c r="AP46" s="60"/>
      <c r="AQ46" s="85">
        <f t="shared" si="26"/>
        <v>0</v>
      </c>
    </row>
    <row r="47" spans="2:43" ht="15" customHeight="1">
      <c r="B47" s="1413"/>
      <c r="C47" s="1423"/>
      <c r="D47" s="371" t="s">
        <v>166</v>
      </c>
      <c r="E47" s="60"/>
      <c r="F47" s="74">
        <f t="shared" ref="F47:M47" si="40">-ROUNDUP(SUM(F32:F46)*$W$2/100,-1)</f>
        <v>0</v>
      </c>
      <c r="G47" s="74">
        <f t="shared" si="40"/>
        <v>0</v>
      </c>
      <c r="H47" s="74">
        <f t="shared" si="40"/>
        <v>0</v>
      </c>
      <c r="I47" s="74">
        <f t="shared" si="40"/>
        <v>0</v>
      </c>
      <c r="J47" s="74">
        <f t="shared" si="40"/>
        <v>0</v>
      </c>
      <c r="K47" s="74">
        <f t="shared" si="40"/>
        <v>0</v>
      </c>
      <c r="L47" s="74">
        <f t="shared" si="40"/>
        <v>0</v>
      </c>
      <c r="M47" s="74">
        <f t="shared" si="40"/>
        <v>0</v>
      </c>
      <c r="O47" s="8"/>
      <c r="P47" s="58"/>
      <c r="Q47" s="7"/>
      <c r="R47" s="7"/>
      <c r="S47" s="7"/>
      <c r="T47" s="7"/>
      <c r="U47" s="7"/>
      <c r="V47" s="7"/>
      <c r="W47" s="7"/>
      <c r="X47" s="7"/>
      <c r="Y47" s="4"/>
      <c r="Z47" s="4"/>
      <c r="AM47" s="1413"/>
      <c r="AN47" s="1423"/>
      <c r="AO47" s="717" t="s">
        <v>166</v>
      </c>
      <c r="AP47" s="60"/>
      <c r="AQ47" s="85">
        <f t="shared" si="26"/>
        <v>0</v>
      </c>
    </row>
    <row r="48" spans="2:43" ht="15" customHeight="1">
      <c r="B48" s="1413"/>
      <c r="C48" s="1419" t="s">
        <v>204</v>
      </c>
      <c r="D48" s="366" t="s">
        <v>18</v>
      </c>
      <c r="E48" s="59"/>
      <c r="F48" s="3">
        <f>IF(基本情報!E5="",0,F21)</f>
        <v>0</v>
      </c>
      <c r="G48" s="3">
        <f t="shared" ref="G48:M53" si="41">$F48</f>
        <v>0</v>
      </c>
      <c r="H48" s="3">
        <f t="shared" si="41"/>
        <v>0</v>
      </c>
      <c r="I48" s="3">
        <f t="shared" si="41"/>
        <v>0</v>
      </c>
      <c r="J48" s="3">
        <f t="shared" si="41"/>
        <v>0</v>
      </c>
      <c r="K48" s="3">
        <f t="shared" si="41"/>
        <v>0</v>
      </c>
      <c r="L48" s="3">
        <f t="shared" si="41"/>
        <v>0</v>
      </c>
      <c r="M48" s="3">
        <f t="shared" si="41"/>
        <v>0</v>
      </c>
      <c r="O48" s="1443" t="s">
        <v>180</v>
      </c>
      <c r="P48" s="367" t="s">
        <v>171</v>
      </c>
      <c r="Q48" s="61" t="s">
        <v>178</v>
      </c>
      <c r="R48" s="40" t="s">
        <v>179</v>
      </c>
      <c r="S48" s="4"/>
      <c r="T48" s="1443" t="s">
        <v>190</v>
      </c>
      <c r="U48" s="367" t="s">
        <v>171</v>
      </c>
      <c r="V48" s="40" t="s">
        <v>179</v>
      </c>
      <c r="X48" s="1431" t="s">
        <v>186</v>
      </c>
      <c r="Y48" s="1431"/>
      <c r="AM48" s="1413"/>
      <c r="AN48" s="1419" t="s">
        <v>204</v>
      </c>
      <c r="AO48" s="720" t="s">
        <v>18</v>
      </c>
      <c r="AP48" s="732" t="s">
        <v>559</v>
      </c>
      <c r="AQ48" s="85">
        <f t="shared" si="26"/>
        <v>0</v>
      </c>
    </row>
    <row r="49" spans="2:43" ht="16.5">
      <c r="B49" s="1413"/>
      <c r="C49" s="1420"/>
      <c r="D49" s="366" t="s">
        <v>62</v>
      </c>
      <c r="E49" s="59"/>
      <c r="F49" s="3">
        <f>IF(基本情報!E5="",0,F22)</f>
        <v>0</v>
      </c>
      <c r="G49" s="3">
        <f t="shared" si="41"/>
        <v>0</v>
      </c>
      <c r="H49" s="3">
        <f t="shared" si="41"/>
        <v>0</v>
      </c>
      <c r="I49" s="3">
        <f t="shared" si="41"/>
        <v>0</v>
      </c>
      <c r="J49" s="3">
        <f t="shared" si="41"/>
        <v>0</v>
      </c>
      <c r="K49" s="3">
        <f t="shared" si="41"/>
        <v>0</v>
      </c>
      <c r="L49" s="3">
        <f t="shared" si="41"/>
        <v>0</v>
      </c>
      <c r="M49" s="3">
        <f t="shared" si="41"/>
        <v>0</v>
      </c>
      <c r="O49" s="1444"/>
      <c r="P49" s="630">
        <f>P32</f>
        <v>0</v>
      </c>
      <c r="Q49" s="3">
        <f>児童数!AF25</f>
        <v>0</v>
      </c>
      <c r="R49" s="64">
        <f>4500*Q49</f>
        <v>0</v>
      </c>
      <c r="S49" s="4"/>
      <c r="T49" s="1444"/>
      <c r="U49" s="630">
        <f>P32</f>
        <v>0</v>
      </c>
      <c r="V49" s="65">
        <f>Y41+R49</f>
        <v>0</v>
      </c>
      <c r="X49" s="630">
        <f>P32</f>
        <v>0</v>
      </c>
      <c r="Y49" s="65" t="e">
        <f>V23+V49</f>
        <v>#VALUE!</v>
      </c>
      <c r="AM49" s="1413"/>
      <c r="AN49" s="1420"/>
      <c r="AO49" s="720" t="s">
        <v>62</v>
      </c>
      <c r="AP49" s="732" t="s">
        <v>559</v>
      </c>
      <c r="AQ49" s="85">
        <f t="shared" si="26"/>
        <v>0</v>
      </c>
    </row>
    <row r="50" spans="2:43" ht="16.5">
      <c r="B50" s="1413"/>
      <c r="C50" s="1420"/>
      <c r="D50" s="366" t="s">
        <v>19</v>
      </c>
      <c r="E50" s="59"/>
      <c r="F50" s="3">
        <f>IF(基本情報!E5="",0,F23)</f>
        <v>0</v>
      </c>
      <c r="G50" s="3">
        <f t="shared" si="41"/>
        <v>0</v>
      </c>
      <c r="H50" s="3">
        <f t="shared" si="41"/>
        <v>0</v>
      </c>
      <c r="I50" s="3">
        <f t="shared" si="41"/>
        <v>0</v>
      </c>
      <c r="J50" s="3">
        <f t="shared" si="41"/>
        <v>0</v>
      </c>
      <c r="K50" s="3">
        <f t="shared" si="41"/>
        <v>0</v>
      </c>
      <c r="L50" s="3">
        <f t="shared" si="41"/>
        <v>0</v>
      </c>
      <c r="M50" s="3">
        <f t="shared" si="41"/>
        <v>0</v>
      </c>
      <c r="O50" s="1444"/>
      <c r="P50" s="631">
        <f>P33</f>
        <v>0</v>
      </c>
      <c r="Q50" s="3">
        <f>児童数!AF39</f>
        <v>0</v>
      </c>
      <c r="R50" s="64">
        <f t="shared" ref="R50:R53" si="42">4500*Q50</f>
        <v>0</v>
      </c>
      <c r="S50" s="4"/>
      <c r="T50" s="1444"/>
      <c r="U50" s="631">
        <f>P33</f>
        <v>0</v>
      </c>
      <c r="V50" s="66">
        <f>Y42+R50</f>
        <v>0</v>
      </c>
      <c r="X50" s="631">
        <f>P33</f>
        <v>0</v>
      </c>
      <c r="Y50" s="66" t="e">
        <f>V24+V50</f>
        <v>#VALUE!</v>
      </c>
      <c r="AM50" s="1413"/>
      <c r="AN50" s="1420"/>
      <c r="AO50" s="720" t="s">
        <v>19</v>
      </c>
      <c r="AP50" s="732" t="s">
        <v>559</v>
      </c>
      <c r="AQ50" s="85">
        <f t="shared" si="26"/>
        <v>0</v>
      </c>
    </row>
    <row r="51" spans="2:43" ht="16.5">
      <c r="B51" s="1413"/>
      <c r="C51" s="1420"/>
      <c r="D51" s="366" t="s">
        <v>41</v>
      </c>
      <c r="E51" s="59"/>
      <c r="F51" s="3">
        <f>IF(基本情報!E5="",0,F24)</f>
        <v>0</v>
      </c>
      <c r="G51" s="3">
        <f t="shared" si="41"/>
        <v>0</v>
      </c>
      <c r="H51" s="3">
        <f t="shared" si="41"/>
        <v>0</v>
      </c>
      <c r="I51" s="3">
        <f t="shared" si="41"/>
        <v>0</v>
      </c>
      <c r="J51" s="3">
        <f t="shared" si="41"/>
        <v>0</v>
      </c>
      <c r="K51" s="3">
        <f t="shared" si="41"/>
        <v>0</v>
      </c>
      <c r="L51" s="3">
        <f t="shared" si="41"/>
        <v>0</v>
      </c>
      <c r="M51" s="3">
        <f t="shared" si="41"/>
        <v>0</v>
      </c>
      <c r="O51" s="1444"/>
      <c r="P51" s="632">
        <f>P34</f>
        <v>0</v>
      </c>
      <c r="Q51" s="3">
        <f>児童数!AF53</f>
        <v>0</v>
      </c>
      <c r="R51" s="64">
        <f t="shared" si="42"/>
        <v>0</v>
      </c>
      <c r="S51" s="4"/>
      <c r="T51" s="1444"/>
      <c r="U51" s="632">
        <f>P34</f>
        <v>0</v>
      </c>
      <c r="V51" s="67">
        <f>Y43+R51</f>
        <v>0</v>
      </c>
      <c r="X51" s="632">
        <f>P34</f>
        <v>0</v>
      </c>
      <c r="Y51" s="67" t="e">
        <f>V25+V51</f>
        <v>#VALUE!</v>
      </c>
      <c r="AM51" s="1413"/>
      <c r="AN51" s="1420"/>
      <c r="AO51" s="720" t="s">
        <v>41</v>
      </c>
      <c r="AP51" s="732" t="s">
        <v>559</v>
      </c>
      <c r="AQ51" s="85">
        <f t="shared" si="26"/>
        <v>0</v>
      </c>
    </row>
    <row r="52" spans="2:43" ht="16.5">
      <c r="B52" s="1413"/>
      <c r="C52" s="1420"/>
      <c r="D52" s="366" t="s">
        <v>42</v>
      </c>
      <c r="E52" s="59"/>
      <c r="F52" s="3">
        <f>IF(基本情報!E5="",0,F25)</f>
        <v>0</v>
      </c>
      <c r="G52" s="3">
        <f t="shared" si="41"/>
        <v>0</v>
      </c>
      <c r="H52" s="3">
        <f t="shared" si="41"/>
        <v>0</v>
      </c>
      <c r="I52" s="3">
        <f t="shared" si="41"/>
        <v>0</v>
      </c>
      <c r="J52" s="3">
        <f t="shared" si="41"/>
        <v>0</v>
      </c>
      <c r="K52" s="3">
        <f t="shared" si="41"/>
        <v>0</v>
      </c>
      <c r="L52" s="3">
        <f t="shared" si="41"/>
        <v>0</v>
      </c>
      <c r="M52" s="3">
        <f t="shared" si="41"/>
        <v>0</v>
      </c>
      <c r="O52" s="1444"/>
      <c r="P52" s="633">
        <f>P35</f>
        <v>0</v>
      </c>
      <c r="Q52" s="3">
        <f>児童数!AF67</f>
        <v>0</v>
      </c>
      <c r="R52" s="64">
        <f t="shared" si="42"/>
        <v>0</v>
      </c>
      <c r="S52" s="4"/>
      <c r="T52" s="1444"/>
      <c r="U52" s="633">
        <f>P35</f>
        <v>0</v>
      </c>
      <c r="V52" s="68">
        <f>Y44+R52</f>
        <v>0</v>
      </c>
      <c r="X52" s="633">
        <f>P35</f>
        <v>0</v>
      </c>
      <c r="Y52" s="68" t="e">
        <f>V26+V52</f>
        <v>#VALUE!</v>
      </c>
      <c r="AM52" s="1413"/>
      <c r="AN52" s="1420"/>
      <c r="AO52" s="720" t="s">
        <v>42</v>
      </c>
      <c r="AP52" s="731" t="s">
        <v>353</v>
      </c>
      <c r="AQ52" s="85">
        <f t="shared" si="26"/>
        <v>0</v>
      </c>
    </row>
    <row r="53" spans="2:43" ht="16.5">
      <c r="B53" s="1413"/>
      <c r="C53" s="1421"/>
      <c r="D53" s="366" t="s">
        <v>80</v>
      </c>
      <c r="E53" s="59"/>
      <c r="F53" s="3">
        <f>IF(基本情報!E5="",0,F26)</f>
        <v>0</v>
      </c>
      <c r="G53" s="3">
        <f t="shared" si="41"/>
        <v>0</v>
      </c>
      <c r="H53" s="3">
        <f t="shared" si="41"/>
        <v>0</v>
      </c>
      <c r="I53" s="3">
        <f t="shared" si="41"/>
        <v>0</v>
      </c>
      <c r="J53" s="3">
        <f t="shared" si="41"/>
        <v>0</v>
      </c>
      <c r="K53" s="3">
        <f t="shared" si="41"/>
        <v>0</v>
      </c>
      <c r="L53" s="3">
        <f t="shared" si="41"/>
        <v>0</v>
      </c>
      <c r="M53" s="3">
        <f t="shared" si="41"/>
        <v>0</v>
      </c>
      <c r="O53" s="1444"/>
      <c r="P53" s="634">
        <f>P36</f>
        <v>0</v>
      </c>
      <c r="Q53" s="3">
        <f>児童数!AF81</f>
        <v>0</v>
      </c>
      <c r="R53" s="64">
        <f t="shared" si="42"/>
        <v>0</v>
      </c>
      <c r="S53" s="4"/>
      <c r="T53" s="1444"/>
      <c r="U53" s="634">
        <f>P36</f>
        <v>0</v>
      </c>
      <c r="V53" s="69">
        <f>Y45+R53</f>
        <v>0</v>
      </c>
      <c r="X53" s="634">
        <f>P36</f>
        <v>0</v>
      </c>
      <c r="Y53" s="69" t="e">
        <f>V27+V53</f>
        <v>#VALUE!</v>
      </c>
      <c r="AM53" s="1413"/>
      <c r="AN53" s="1421"/>
      <c r="AO53" s="720" t="s">
        <v>80</v>
      </c>
      <c r="AP53" s="731" t="s">
        <v>353</v>
      </c>
      <c r="AQ53" s="85">
        <f t="shared" si="26"/>
        <v>0</v>
      </c>
    </row>
    <row r="54" spans="2:43" ht="17.25" thickBot="1">
      <c r="B54" s="1414"/>
      <c r="C54" s="1410" t="s">
        <v>44</v>
      </c>
      <c r="D54" s="1411"/>
      <c r="E54" s="53"/>
      <c r="F54" s="5">
        <f t="shared" ref="F54:M54" si="43">SUM(F32:F53)</f>
        <v>0</v>
      </c>
      <c r="G54" s="5">
        <f t="shared" si="43"/>
        <v>0</v>
      </c>
      <c r="H54" s="5">
        <f t="shared" si="43"/>
        <v>0</v>
      </c>
      <c r="I54" s="5">
        <f t="shared" si="43"/>
        <v>0</v>
      </c>
      <c r="J54" s="5">
        <f t="shared" si="43"/>
        <v>0</v>
      </c>
      <c r="K54" s="5">
        <f t="shared" si="43"/>
        <v>0</v>
      </c>
      <c r="L54" s="5">
        <f t="shared" si="43"/>
        <v>0</v>
      </c>
      <c r="M54" s="5">
        <f t="shared" si="43"/>
        <v>0</v>
      </c>
      <c r="O54" s="1445"/>
      <c r="P54" s="635" t="s">
        <v>36</v>
      </c>
      <c r="Q54" s="3">
        <f>SUM(Q49:Q53)</f>
        <v>0</v>
      </c>
      <c r="R54" s="3">
        <f>SUM(R49:R53)</f>
        <v>0</v>
      </c>
      <c r="S54" s="4"/>
      <c r="T54" s="1445"/>
      <c r="U54" s="635" t="s">
        <v>36</v>
      </c>
      <c r="V54" s="70">
        <f>SUM(V49:V53)</f>
        <v>0</v>
      </c>
      <c r="X54" s="635" t="s">
        <v>36</v>
      </c>
      <c r="Y54" s="70" t="e">
        <f>SUM(Y49:Y53)</f>
        <v>#VALUE!</v>
      </c>
      <c r="AM54" s="1414"/>
      <c r="AN54" s="1425" t="s">
        <v>562</v>
      </c>
      <c r="AO54" s="1425"/>
      <c r="AP54" s="733" t="s">
        <v>376</v>
      </c>
      <c r="AQ54" s="85">
        <f>R54</f>
        <v>0</v>
      </c>
    </row>
    <row r="55" spans="2:43" ht="15.75" thickBot="1">
      <c r="C55" s="57"/>
      <c r="D55" s="57"/>
      <c r="E55" s="58" t="s">
        <v>167</v>
      </c>
      <c r="F55" s="264">
        <f>F33+F35+F38+F42+F45</f>
        <v>0</v>
      </c>
      <c r="G55" s="264">
        <f t="shared" ref="G55:M55" si="44">G33+G35+G38+G42+G45</f>
        <v>0</v>
      </c>
      <c r="H55" s="264">
        <f t="shared" si="44"/>
        <v>0</v>
      </c>
      <c r="I55" s="264">
        <f t="shared" si="44"/>
        <v>0</v>
      </c>
      <c r="J55" s="264">
        <f t="shared" si="44"/>
        <v>0</v>
      </c>
      <c r="K55" s="264">
        <f t="shared" si="44"/>
        <v>0</v>
      </c>
      <c r="L55" s="264">
        <f t="shared" si="44"/>
        <v>0</v>
      </c>
      <c r="M55" s="264">
        <f t="shared" si="44"/>
        <v>0</v>
      </c>
      <c r="AG55" s="288">
        <f>ROUNDUP(SUMPRODUCT(F55:M55,Q37:X37)*90%,-1)</f>
        <v>0</v>
      </c>
      <c r="AN55" s="1410" t="s">
        <v>44</v>
      </c>
      <c r="AO55" s="1411"/>
      <c r="AP55" s="53"/>
      <c r="AQ55" s="85">
        <f>SUM(AQ32:AQ54)</f>
        <v>0</v>
      </c>
    </row>
    <row r="56" spans="2:43">
      <c r="E56" s="1020" t="s">
        <v>703</v>
      </c>
      <c r="F56" s="264">
        <f>-ROUNDUP(SUM(F32:F35,F37:F46)*$W$2/100,-1)</f>
        <v>0</v>
      </c>
      <c r="G56" s="264">
        <f>-ROUNDUP(SUM(G32:G35,G37:G46)*$W$2/100,-1)</f>
        <v>0</v>
      </c>
      <c r="H56" s="264">
        <f t="shared" ref="H56:K56" si="45">-ROUNDUP(SUM(H32:H35,H37:H46)*$W$2/100,-1)</f>
        <v>0</v>
      </c>
      <c r="I56" s="264">
        <f t="shared" si="45"/>
        <v>0</v>
      </c>
      <c r="J56" s="264">
        <f t="shared" si="45"/>
        <v>0</v>
      </c>
      <c r="K56" s="264">
        <f t="shared" si="45"/>
        <v>0</v>
      </c>
      <c r="L56" s="264">
        <f>-ROUNDUP(SUM(L32:L35,L37:L46)*$W$2/100,-1)</f>
        <v>0</v>
      </c>
      <c r="M56" s="264">
        <f>-ROUNDUP(SUM(M32:M35,M37:M46)*$W$2/100,-1)</f>
        <v>0</v>
      </c>
      <c r="O56" s="1430" t="s">
        <v>428</v>
      </c>
      <c r="P56" s="1430"/>
      <c r="X56" s="1430" t="s">
        <v>427</v>
      </c>
      <c r="Y56" s="1430"/>
      <c r="AO56" s="1"/>
      <c r="AP56" s="57"/>
    </row>
    <row r="57" spans="2:43" ht="15.75" thickBot="1">
      <c r="O57" s="83" t="s">
        <v>429</v>
      </c>
      <c r="P57" s="83" t="s">
        <v>206</v>
      </c>
      <c r="Q57" s="83" t="s">
        <v>207</v>
      </c>
      <c r="R57" s="83" t="s">
        <v>448</v>
      </c>
      <c r="S57" s="83" t="s">
        <v>214</v>
      </c>
      <c r="T57" s="83" t="s">
        <v>215</v>
      </c>
      <c r="U57" s="83" t="s">
        <v>216</v>
      </c>
      <c r="V57" s="282" t="s">
        <v>455</v>
      </c>
      <c r="W57" s="261"/>
      <c r="X57" s="83" t="s">
        <v>429</v>
      </c>
      <c r="Y57" s="83" t="s">
        <v>206</v>
      </c>
      <c r="Z57" s="83" t="s">
        <v>207</v>
      </c>
      <c r="AA57" s="83" t="s">
        <v>448</v>
      </c>
      <c r="AB57" s="83" t="s">
        <v>218</v>
      </c>
      <c r="AC57" s="83" t="s">
        <v>215</v>
      </c>
      <c r="AD57" s="280" t="s">
        <v>453</v>
      </c>
      <c r="AE57" s="282" t="s">
        <v>455</v>
      </c>
    </row>
    <row r="58" spans="2:43" ht="15.75" thickBot="1">
      <c r="C58" s="310" t="s">
        <v>479</v>
      </c>
      <c r="D58" s="311"/>
      <c r="E58" s="312"/>
      <c r="F58" s="313"/>
      <c r="G58" s="313"/>
      <c r="H58" s="313"/>
      <c r="I58" s="313"/>
      <c r="J58" s="313"/>
      <c r="K58" s="313"/>
      <c r="L58" s="313"/>
      <c r="M58" s="314"/>
      <c r="O58" s="61" t="str">
        <f>IF(月途中入退所情報!$D8=$B$2,月途中入退所情報!F8,"-")</f>
        <v>-</v>
      </c>
      <c r="P58" s="61" t="str">
        <f>IF(月途中入退所情報!$D8=$B$2,月途中入退所情報!G8,"-")</f>
        <v>-</v>
      </c>
      <c r="Q58" s="61" t="str">
        <f>IF(月途中入退所情報!$D8=$B$2,月途中入退所情報!H8,"-")</f>
        <v>-</v>
      </c>
      <c r="R58" s="61" t="str">
        <f>IF(月途中入退所情報!$D8=$B$2,月途中入退所情報!I8,"-")</f>
        <v>-</v>
      </c>
      <c r="S58" s="61" t="str">
        <f>IF(月途中入退所情報!$D8=$B$2,月途中入退所情報!J8,"-")</f>
        <v>-</v>
      </c>
      <c r="T58" s="84">
        <f>IF($Q58="標準時間",HLOOKUP($P58,$F$5:$I$27,23,FALSE)-SUM($F$10,$F$21:$F$24,$F$26)-HLOOKUP($P58,$F$5:$I$27,16,FALSE)+HLOOKUP($P58,$F$5:$I$29,25,FALSE),IF($Q58="短時間",HLOOKUP($P58,$J$5:$M$27,23,FALSE)-SUM($F$10,$F$21:$F$24,$F$26)-HLOOKUP($P58,$J$5:$M$27,16,FALSE)+HLOOKUP($P58,$J$5:$M$29,25,FALSE),0))+IF(R58="○",加算と減算!$AH$3,0)</f>
        <v>0</v>
      </c>
      <c r="U58" s="85">
        <f t="shared" ref="U58:U77" si="46">IFERROR(ROUNDDOWN(T58*S58/25,-1),0)</f>
        <v>0</v>
      </c>
      <c r="V58" s="262">
        <f>IFERROR(ROUNDDOWN(IF($Q58="標準時間",HLOOKUP($P58,$F$5:$I$28,24,FALSE),IF($Q58="短時間",HLOOKUP($P58,$J$5:$M$28,24,FALSE),0))*S58/25,-1),0)</f>
        <v>0</v>
      </c>
      <c r="W58" s="262"/>
      <c r="X58" s="61" t="str">
        <f>IF(月途中入退所情報!$N8=$B$2,月途中入退所情報!$P8,"-")</f>
        <v>-</v>
      </c>
      <c r="Y58" s="61" t="str">
        <f>IF(月途中入退所情報!$N8=$B$2,月途中入退所情報!$Q8,"-")</f>
        <v>-</v>
      </c>
      <c r="Z58" s="61" t="str">
        <f>IF(月途中入退所情報!$N8=$B$2,月途中入退所情報!$R8,"-")</f>
        <v>-</v>
      </c>
      <c r="AA58" s="61" t="str">
        <f>IF(月途中入退所情報!$N8=$B$2,月途中入退所情報!$S8,"-")</f>
        <v>-</v>
      </c>
      <c r="AB58" s="61" t="str">
        <f>IF(月途中入退所情報!$N8=$B$2,月途中入退所情報!$T8,"-")</f>
        <v>-</v>
      </c>
      <c r="AC58" s="84">
        <f>IF($Z58="標準時間",HLOOKUP($Y58,$F$5:$I$27,23,FALSE)-SUM($F$10,$F$21:$F$24,$F$26)-HLOOKUP($Y58,$F$5:$I$27,16,FALSE)+HLOOKUP($Y58,$F$5:$I$29,25,FALSE),IF($Z58="短時間",HLOOKUP($Y58,$J$5:$M$27,23,FALSE)-SUM($F$10,$F$21:$F$24,$F$26)-HLOOKUP($Y58,$J$5:$M$27,16,FALSE)+HLOOKUP($Y58,$J$5:$M$29,25,FALSE),0))+IF(AA58="○",加算と減算!$AH$3,0)</f>
        <v>0</v>
      </c>
      <c r="AD58" s="85">
        <f t="shared" ref="AD58:AD77" si="47">IFERROR(-ROUNDUP(AC58*AB58/25,-1),0)</f>
        <v>0</v>
      </c>
      <c r="AE58" s="262">
        <f t="shared" ref="AE58:AE77" si="48">IFERROR(-ROUNDUP(IF($Z58="標準時間",HLOOKUP($Y58,$F$5:$I$28,24,FALSE),IF($Z58="短時間",HLOOKUP($Y58,$J$5:$M$28,24,FALSE),0))*AB58/25,-1),0)</f>
        <v>0</v>
      </c>
    </row>
    <row r="59" spans="2:43">
      <c r="C59" s="307"/>
      <c r="D59" s="308"/>
      <c r="E59" s="309"/>
      <c r="F59" s="1417" t="s">
        <v>15</v>
      </c>
      <c r="G59" s="1417"/>
      <c r="H59" s="1417"/>
      <c r="I59" s="1417"/>
      <c r="J59" s="1417" t="s">
        <v>16</v>
      </c>
      <c r="K59" s="1417"/>
      <c r="L59" s="1417"/>
      <c r="M59" s="1417"/>
      <c r="O59" s="61" t="str">
        <f>IF(月途中入退所情報!$D9=$B$2,月途中入退所情報!F9,"-")</f>
        <v>-</v>
      </c>
      <c r="P59" s="61" t="str">
        <f>IF(月途中入退所情報!$D9=$B$2,月途中入退所情報!G9,"-")</f>
        <v>-</v>
      </c>
      <c r="Q59" s="61" t="str">
        <f>IF(月途中入退所情報!$D9=$B$2,月途中入退所情報!H9,"-")</f>
        <v>-</v>
      </c>
      <c r="R59" s="61" t="str">
        <f>IF(月途中入退所情報!$D9=$B$2,月途中入退所情報!I9,"-")</f>
        <v>-</v>
      </c>
      <c r="S59" s="61" t="str">
        <f>IF(月途中入退所情報!$D9=$B$2,月途中入退所情報!J9,"-")</f>
        <v>-</v>
      </c>
      <c r="T59" s="84">
        <f>IF($Q59="標準時間",HLOOKUP($P59,$F$5:$I$27,23,FALSE)-SUM($F$10,$F$21:$F$24,$F$26)-HLOOKUP($P59,$F$5:$I$27,16,FALSE)+HLOOKUP($P59,$F$5:$I$29,25,FALSE),IF($Q59="短時間",HLOOKUP($P59,$J$5:$M$27,23,FALSE)-SUM($F$10,$F$21:$F$24,$F$26)-HLOOKUP($P59,$J$5:$M$27,16,FALSE)+HLOOKUP($P59,$J$5:$M$29,25,FALSE),0))+IF(R59="○",加算と減算!$AH$3,0)</f>
        <v>0</v>
      </c>
      <c r="U59" s="85">
        <f t="shared" si="46"/>
        <v>0</v>
      </c>
      <c r="V59" s="262">
        <f t="shared" ref="V59:V77" si="49">IFERROR(ROUNDDOWN(IF($Q59="標準時間",HLOOKUP($P59,$F$5:$I$28,24,FALSE),IF($Q59="短時間",HLOOKUP($P59,$J$5:$M$28,24,FALSE),0))*S59/25,-1),0)</f>
        <v>0</v>
      </c>
      <c r="W59" s="262"/>
      <c r="X59" s="61" t="str">
        <f>IF(月途中入退所情報!$N9=$B$2,月途中入退所情報!$P9,"-")</f>
        <v>-</v>
      </c>
      <c r="Y59" s="61" t="str">
        <f>IF(月途中入退所情報!$N9=$B$2,月途中入退所情報!$Q9,"-")</f>
        <v>-</v>
      </c>
      <c r="Z59" s="61" t="str">
        <f>IF(月途中入退所情報!$N9=$B$2,月途中入退所情報!$R9,"-")</f>
        <v>-</v>
      </c>
      <c r="AA59" s="61" t="str">
        <f>IF(月途中入退所情報!$N9=$B$2,月途中入退所情報!$S9,"-")</f>
        <v>-</v>
      </c>
      <c r="AB59" s="61" t="str">
        <f>IF(月途中入退所情報!$N9=$B$2,月途中入退所情報!$T9,"-")</f>
        <v>-</v>
      </c>
      <c r="AC59" s="84">
        <f>IF($Z59="標準時間",HLOOKUP($Y59,$F$5:$I$27,23,FALSE)-SUM($F$10,$F$21:$F$24,$F$26)-HLOOKUP($Y59,$F$5:$I$27,16,FALSE)+HLOOKUP($Y59,$F$5:$I$29,25,FALSE),IF($Z59="短時間",HLOOKUP($Y59,$J$5:$M$27,23,FALSE)-SUM($F$10,$F$21:$F$24,$F$26)-HLOOKUP($Y59,$J$5:$M$27,16,FALSE)+HLOOKUP($Y59,$J$5:$M$29,25,FALSE),0))+IF(AA59="○",加算と減算!$AH$3,0)</f>
        <v>0</v>
      </c>
      <c r="AD59" s="85">
        <f t="shared" si="47"/>
        <v>0</v>
      </c>
      <c r="AE59" s="262">
        <f t="shared" si="48"/>
        <v>0</v>
      </c>
    </row>
    <row r="60" spans="2:43">
      <c r="C60" s="307"/>
      <c r="D60" s="308"/>
      <c r="E60" s="309"/>
      <c r="F60" s="369" t="s">
        <v>6</v>
      </c>
      <c r="G60" s="369" t="s">
        <v>7</v>
      </c>
      <c r="H60" s="369" t="s">
        <v>8</v>
      </c>
      <c r="I60" s="369" t="s">
        <v>9</v>
      </c>
      <c r="J60" s="369" t="s">
        <v>6</v>
      </c>
      <c r="K60" s="369" t="s">
        <v>7</v>
      </c>
      <c r="L60" s="369" t="s">
        <v>8</v>
      </c>
      <c r="M60" s="369" t="s">
        <v>9</v>
      </c>
      <c r="O60" s="61" t="str">
        <f>IF(月途中入退所情報!$D10=$B$2,月途中入退所情報!F10,"-")</f>
        <v>-</v>
      </c>
      <c r="P60" s="61" t="str">
        <f>IF(月途中入退所情報!$D10=$B$2,月途中入退所情報!G10,"-")</f>
        <v>-</v>
      </c>
      <c r="Q60" s="61" t="str">
        <f>IF(月途中入退所情報!$D10=$B$2,月途中入退所情報!H10,"-")</f>
        <v>-</v>
      </c>
      <c r="R60" s="61" t="str">
        <f>IF(月途中入退所情報!$D10=$B$2,月途中入退所情報!I10,"-")</f>
        <v>-</v>
      </c>
      <c r="S60" s="61" t="str">
        <f>IF(月途中入退所情報!$D10=$B$2,月途中入退所情報!J10,"-")</f>
        <v>-</v>
      </c>
      <c r="T60" s="84">
        <f>IF($Q60="標準時間",HLOOKUP($P60,$F$5:$I$27,23,FALSE)-SUM($F$10,$F$21:$F$24,$F$26)-HLOOKUP($P60,$F$5:$I$27,16,FALSE)+HLOOKUP($P60,$F$5:$I$29,25,FALSE),IF($Q60="短時間",HLOOKUP($P60,$J$5:$M$27,23,FALSE)-SUM($F$10,$F$21:$F$24,$F$26)-HLOOKUP($P60,$J$5:$M$27,16,FALSE)+HLOOKUP($P60,$J$5:$M$29,25,FALSE),0))+IF(R60="○",加算と減算!$AH$3,0)</f>
        <v>0</v>
      </c>
      <c r="U60" s="85">
        <f t="shared" si="46"/>
        <v>0</v>
      </c>
      <c r="V60" s="262">
        <f t="shared" si="49"/>
        <v>0</v>
      </c>
      <c r="W60" s="262"/>
      <c r="X60" s="61" t="str">
        <f>IF(月途中入退所情報!$N10=$B$2,月途中入退所情報!$P10,"-")</f>
        <v>-</v>
      </c>
      <c r="Y60" s="61" t="str">
        <f>IF(月途中入退所情報!$N10=$B$2,月途中入退所情報!$Q10,"-")</f>
        <v>-</v>
      </c>
      <c r="Z60" s="61" t="str">
        <f>IF(月途中入退所情報!$N10=$B$2,月途中入退所情報!$R10,"-")</f>
        <v>-</v>
      </c>
      <c r="AA60" s="61" t="str">
        <f>IF(月途中入退所情報!$N10=$B$2,月途中入退所情報!$S10,"-")</f>
        <v>-</v>
      </c>
      <c r="AB60" s="61" t="str">
        <f>IF(月途中入退所情報!$N10=$B$2,月途中入退所情報!$T10,"-")</f>
        <v>-</v>
      </c>
      <c r="AC60" s="84">
        <f>IF($Z60="標準時間",HLOOKUP($Y60,$F$5:$I$27,23,FALSE)-SUM($F$10,$F$21:$F$24,$F$26)-HLOOKUP($Y60,$F$5:$I$27,16,FALSE)+HLOOKUP($Y60,$F$5:$I$29,25,FALSE),IF($Z60="短時間",HLOOKUP($Y60,$J$5:$M$27,23,FALSE)-SUM($F$10,$F$21:$F$24,$F$26)-HLOOKUP($Y60,$J$5:$M$27,16,FALSE)+HLOOKUP($Y60,$J$5:$M$29,25,FALSE),0))+IF(AA60="○",加算と減算!$AH$3,0)</f>
        <v>0</v>
      </c>
      <c r="AD60" s="85">
        <f t="shared" si="47"/>
        <v>0</v>
      </c>
      <c r="AE60" s="262">
        <f t="shared" si="48"/>
        <v>0</v>
      </c>
    </row>
    <row r="61" spans="2:43">
      <c r="C61" s="307"/>
      <c r="D61" s="1432" t="s">
        <v>482</v>
      </c>
      <c r="E61" s="320" t="s">
        <v>480</v>
      </c>
      <c r="F61" s="85" t="e">
        <f t="shared" ref="F61:M61" si="50">-ROUNDDOWN((F7+F9+F1)*$S$2%,-1)</f>
        <v>#VALUE!</v>
      </c>
      <c r="G61" s="85" t="e">
        <f t="shared" si="50"/>
        <v>#VALUE!</v>
      </c>
      <c r="H61" s="85" t="e">
        <f t="shared" si="50"/>
        <v>#VALUE!</v>
      </c>
      <c r="I61" s="85" t="e">
        <f t="shared" si="50"/>
        <v>#VALUE!</v>
      </c>
      <c r="J61" s="85" t="e">
        <f t="shared" si="50"/>
        <v>#VALUE!</v>
      </c>
      <c r="K61" s="85" t="e">
        <f t="shared" si="50"/>
        <v>#VALUE!</v>
      </c>
      <c r="L61" s="85" t="e">
        <f t="shared" si="50"/>
        <v>#VALUE!</v>
      </c>
      <c r="M61" s="85" t="e">
        <f t="shared" si="50"/>
        <v>#VALUE!</v>
      </c>
      <c r="O61" s="61" t="str">
        <f>IF(月途中入退所情報!$D11=$B$2,月途中入退所情報!F11,"-")</f>
        <v>-</v>
      </c>
      <c r="P61" s="61" t="str">
        <f>IF(月途中入退所情報!$D11=$B$2,月途中入退所情報!G11,"-")</f>
        <v>-</v>
      </c>
      <c r="Q61" s="61" t="str">
        <f>IF(月途中入退所情報!$D11=$B$2,月途中入退所情報!H11,"-")</f>
        <v>-</v>
      </c>
      <c r="R61" s="61" t="str">
        <f>IF(月途中入退所情報!$D11=$B$2,月途中入退所情報!I11,"-")</f>
        <v>-</v>
      </c>
      <c r="S61" s="61" t="str">
        <f>IF(月途中入退所情報!$D11=$B$2,月途中入退所情報!J11,"-")</f>
        <v>-</v>
      </c>
      <c r="T61" s="84">
        <f>IF($Q61="標準時間",HLOOKUP($P61,$F$5:$I$27,23,FALSE)-SUM($F$10,$F$21:$F$24,$F$26)-HLOOKUP($P61,$F$5:$I$27,16,FALSE)+HLOOKUP($P61,$F$5:$I$29,25,FALSE),IF($Q61="短時間",HLOOKUP($P61,$J$5:$M$27,23,FALSE)-SUM($F$10,$F$21:$F$24,$F$26)-HLOOKUP($P61,$J$5:$M$27,16,FALSE)+HLOOKUP($P61,$J$5:$M$29,25,FALSE),0))+IF(R61="○",加算と減算!$AH$3,0)</f>
        <v>0</v>
      </c>
      <c r="U61" s="85">
        <f t="shared" si="46"/>
        <v>0</v>
      </c>
      <c r="V61" s="262">
        <f t="shared" si="49"/>
        <v>0</v>
      </c>
      <c r="W61" s="262"/>
      <c r="X61" s="61" t="str">
        <f>IF(月途中入退所情報!$N11=$B$2,月途中入退所情報!$P11,"-")</f>
        <v>-</v>
      </c>
      <c r="Y61" s="61" t="str">
        <f>IF(月途中入退所情報!$N11=$B$2,月途中入退所情報!$Q11,"-")</f>
        <v>-</v>
      </c>
      <c r="Z61" s="61" t="str">
        <f>IF(月途中入退所情報!$N11=$B$2,月途中入退所情報!$R11,"-")</f>
        <v>-</v>
      </c>
      <c r="AA61" s="61" t="str">
        <f>IF(月途中入退所情報!$N11=$B$2,月途中入退所情報!$S11,"-")</f>
        <v>-</v>
      </c>
      <c r="AB61" s="61" t="str">
        <f>IF(月途中入退所情報!$N11=$B$2,月途中入退所情報!$T11,"-")</f>
        <v>-</v>
      </c>
      <c r="AC61" s="84">
        <f>IF($Z61="標準時間",HLOOKUP($Y61,$F$5:$I$27,23,FALSE)-SUM($F$10,$F$21:$F$24,$F$26)-HLOOKUP($Y61,$F$5:$I$27,16,FALSE)+HLOOKUP($Y61,$F$5:$I$29,25,FALSE),IF($Z61="短時間",HLOOKUP($Y61,$J$5:$M$27,23,FALSE)-SUM($F$10,$F$21:$F$24,$F$26)-HLOOKUP($Y61,$J$5:$M$27,16,FALSE)+HLOOKUP($Y61,$J$5:$M$29,25,FALSE),0))+IF(AA61="○",加算と減算!$AH$3,0)</f>
        <v>0</v>
      </c>
      <c r="AD61" s="85">
        <f t="shared" si="47"/>
        <v>0</v>
      </c>
      <c r="AE61" s="262">
        <f t="shared" si="48"/>
        <v>0</v>
      </c>
    </row>
    <row r="62" spans="2:43">
      <c r="C62" s="307"/>
      <c r="D62" s="1432"/>
      <c r="E62" s="320" t="s">
        <v>481</v>
      </c>
      <c r="F62" s="85" t="e">
        <f>F61*Q11</f>
        <v>#VALUE!</v>
      </c>
      <c r="G62" s="85" t="e">
        <f t="shared" ref="G62:M62" si="51">G61*R11</f>
        <v>#VALUE!</v>
      </c>
      <c r="H62" s="85" t="e">
        <f t="shared" si="51"/>
        <v>#VALUE!</v>
      </c>
      <c r="I62" s="85" t="e">
        <f t="shared" si="51"/>
        <v>#VALUE!</v>
      </c>
      <c r="J62" s="85" t="e">
        <f t="shared" si="51"/>
        <v>#VALUE!</v>
      </c>
      <c r="K62" s="85" t="e">
        <f t="shared" si="51"/>
        <v>#VALUE!</v>
      </c>
      <c r="L62" s="85" t="e">
        <f t="shared" si="51"/>
        <v>#VALUE!</v>
      </c>
      <c r="M62" s="85" t="e">
        <f t="shared" si="51"/>
        <v>#VALUE!</v>
      </c>
      <c r="O62" s="61" t="str">
        <f>IF(月途中入退所情報!$D12=$B$2,月途中入退所情報!F12,"-")</f>
        <v>-</v>
      </c>
      <c r="P62" s="61" t="str">
        <f>IF(月途中入退所情報!$D12=$B$2,月途中入退所情報!G12,"-")</f>
        <v>-</v>
      </c>
      <c r="Q62" s="61" t="str">
        <f>IF(月途中入退所情報!$D12=$B$2,月途中入退所情報!H12,"-")</f>
        <v>-</v>
      </c>
      <c r="R62" s="61" t="str">
        <f>IF(月途中入退所情報!$D12=$B$2,月途中入退所情報!I12,"-")</f>
        <v>-</v>
      </c>
      <c r="S62" s="61" t="str">
        <f>IF(月途中入退所情報!$D12=$B$2,月途中入退所情報!J12,"-")</f>
        <v>-</v>
      </c>
      <c r="T62" s="84">
        <f>IF($Q62="標準時間",HLOOKUP($P62,$F$5:$I$27,23,FALSE)-SUM($F$10,$F$21:$F$24,$F$26)-HLOOKUP($P62,$F$5:$I$27,16,FALSE)+HLOOKUP($P62,$F$5:$I$29,25,FALSE),IF($Q62="短時間",HLOOKUP($P62,$J$5:$M$27,23,FALSE)-SUM($F$10,$F$21:$F$24,$F$26)-HLOOKUP($P62,$J$5:$M$27,16,FALSE)+HLOOKUP($P62,$J$5:$M$29,25,FALSE),0))+IF(R62="○",加算と減算!$AH$3,0)</f>
        <v>0</v>
      </c>
      <c r="U62" s="85">
        <f t="shared" si="46"/>
        <v>0</v>
      </c>
      <c r="V62" s="262">
        <f t="shared" si="49"/>
        <v>0</v>
      </c>
      <c r="W62" s="262"/>
      <c r="X62" s="61" t="str">
        <f>IF(月途中入退所情報!$N12=$B$2,月途中入退所情報!$P12,"-")</f>
        <v>-</v>
      </c>
      <c r="Y62" s="61" t="str">
        <f>IF(月途中入退所情報!$N12=$B$2,月途中入退所情報!$Q12,"-")</f>
        <v>-</v>
      </c>
      <c r="Z62" s="61" t="str">
        <f>IF(月途中入退所情報!$N12=$B$2,月途中入退所情報!$R12,"-")</f>
        <v>-</v>
      </c>
      <c r="AA62" s="61" t="str">
        <f>IF(月途中入退所情報!$N12=$B$2,月途中入退所情報!$S12,"-")</f>
        <v>-</v>
      </c>
      <c r="AB62" s="61" t="str">
        <f>IF(月途中入退所情報!$N12=$B$2,月途中入退所情報!$T12,"-")</f>
        <v>-</v>
      </c>
      <c r="AC62" s="84">
        <f>IF($Z62="標準時間",HLOOKUP($Y62,$F$5:$I$27,23,FALSE)-SUM($F$10,$F$21:$F$24,$F$26)-HLOOKUP($Y62,$F$5:$I$27,16,FALSE)+HLOOKUP($Y62,$F$5:$I$29,25,FALSE),IF($Z62="短時間",HLOOKUP($Y62,$J$5:$M$27,23,FALSE)-SUM($F$10,$F$21:$F$24,$F$26)-HLOOKUP($Y62,$J$5:$M$27,16,FALSE)+HLOOKUP($Y62,$J$5:$M$29,25,FALSE),0))+IF(AA62="○",加算と減算!$AH$3,0)</f>
        <v>0</v>
      </c>
      <c r="AD62" s="85">
        <f t="shared" si="47"/>
        <v>0</v>
      </c>
      <c r="AE62" s="262">
        <f t="shared" si="48"/>
        <v>0</v>
      </c>
    </row>
    <row r="63" spans="2:43">
      <c r="C63" s="307"/>
      <c r="D63" s="317"/>
      <c r="E63" s="315"/>
      <c r="F63" s="316"/>
      <c r="G63" s="316"/>
      <c r="H63" s="316"/>
      <c r="I63" s="316"/>
      <c r="J63" s="316"/>
      <c r="K63" s="316"/>
      <c r="L63" s="316"/>
      <c r="M63" s="316"/>
      <c r="O63" s="61" t="str">
        <f>IF(月途中入退所情報!$D13=$B$2,月途中入退所情報!F13,"-")</f>
        <v>-</v>
      </c>
      <c r="P63" s="61" t="str">
        <f>IF(月途中入退所情報!$D13=$B$2,月途中入退所情報!G13,"-")</f>
        <v>-</v>
      </c>
      <c r="Q63" s="61" t="str">
        <f>IF(月途中入退所情報!$D13=$B$2,月途中入退所情報!H13,"-")</f>
        <v>-</v>
      </c>
      <c r="R63" s="61" t="str">
        <f>IF(月途中入退所情報!$D13=$B$2,月途中入退所情報!I13,"-")</f>
        <v>-</v>
      </c>
      <c r="S63" s="61" t="str">
        <f>IF(月途中入退所情報!$D13=$B$2,月途中入退所情報!J13,"-")</f>
        <v>-</v>
      </c>
      <c r="T63" s="84">
        <f>IF($Q63="標準時間",HLOOKUP($P63,$F$5:$I$27,23,FALSE)-SUM($F$10,$F$21:$F$24,$F$26)-HLOOKUP($P63,$F$5:$I$27,16,FALSE)+HLOOKUP($P63,$F$5:$I$29,25,FALSE),IF($Q63="短時間",HLOOKUP($P63,$J$5:$M$27,23,FALSE)-SUM($F$10,$F$21:$F$24,$F$26)-HLOOKUP($P63,$J$5:$M$27,16,FALSE)+HLOOKUP($P63,$J$5:$M$29,25,FALSE),0))+IF(R63="○",加算と減算!$AH$3,0)</f>
        <v>0</v>
      </c>
      <c r="U63" s="85">
        <f t="shared" si="46"/>
        <v>0</v>
      </c>
      <c r="V63" s="262">
        <f t="shared" si="49"/>
        <v>0</v>
      </c>
      <c r="W63" s="262"/>
      <c r="X63" s="61" t="str">
        <f>IF(月途中入退所情報!$N13=$B$2,月途中入退所情報!$P13,"-")</f>
        <v>-</v>
      </c>
      <c r="Y63" s="61" t="str">
        <f>IF(月途中入退所情報!$N13=$B$2,月途中入退所情報!$Q13,"-")</f>
        <v>-</v>
      </c>
      <c r="Z63" s="61" t="str">
        <f>IF(月途中入退所情報!$N13=$B$2,月途中入退所情報!$R13,"-")</f>
        <v>-</v>
      </c>
      <c r="AA63" s="61" t="str">
        <f>IF(月途中入退所情報!$N13=$B$2,月途中入退所情報!$S13,"-")</f>
        <v>-</v>
      </c>
      <c r="AB63" s="61" t="str">
        <f>IF(月途中入退所情報!$N13=$B$2,月途中入退所情報!$T13,"-")</f>
        <v>-</v>
      </c>
      <c r="AC63" s="84">
        <f>IF($Z63="標準時間",HLOOKUP($Y63,$F$5:$I$27,23,FALSE)-SUM($F$10,$F$21:$F$24,$F$26)-HLOOKUP($Y63,$F$5:$I$27,16,FALSE)+HLOOKUP($Y63,$F$5:$I$29,25,FALSE),IF($Z63="短時間",HLOOKUP($Y63,$J$5:$M$27,23,FALSE)-SUM($F$10,$F$21:$F$24,$F$26)-HLOOKUP($Y63,$J$5:$M$27,16,FALSE)+HLOOKUP($Y63,$J$5:$M$29,25,FALSE),0))+IF(AA63="○",加算と減算!$AH$3,0)</f>
        <v>0</v>
      </c>
      <c r="AD63" s="85">
        <f t="shared" si="47"/>
        <v>0</v>
      </c>
      <c r="AE63" s="262">
        <f t="shared" si="48"/>
        <v>0</v>
      </c>
    </row>
    <row r="64" spans="2:43">
      <c r="C64" s="307"/>
      <c r="D64" s="308"/>
      <c r="E64" s="309"/>
      <c r="F64" s="369" t="s">
        <v>6</v>
      </c>
      <c r="G64" s="369" t="s">
        <v>7</v>
      </c>
      <c r="H64" s="369" t="s">
        <v>8</v>
      </c>
      <c r="I64" s="369" t="s">
        <v>9</v>
      </c>
      <c r="J64" s="369" t="s">
        <v>6</v>
      </c>
      <c r="K64" s="369" t="s">
        <v>7</v>
      </c>
      <c r="L64" s="369" t="s">
        <v>8</v>
      </c>
      <c r="M64" s="369" t="s">
        <v>9</v>
      </c>
      <c r="O64" s="61" t="str">
        <f>IF(月途中入退所情報!$D14=$B$2,月途中入退所情報!F14,"-")</f>
        <v>-</v>
      </c>
      <c r="P64" s="61" t="str">
        <f>IF(月途中入退所情報!$D14=$B$2,月途中入退所情報!G14,"-")</f>
        <v>-</v>
      </c>
      <c r="Q64" s="61" t="str">
        <f>IF(月途中入退所情報!$D14=$B$2,月途中入退所情報!H14,"-")</f>
        <v>-</v>
      </c>
      <c r="R64" s="61" t="str">
        <f>IF(月途中入退所情報!$D14=$B$2,月途中入退所情報!I14,"-")</f>
        <v>-</v>
      </c>
      <c r="S64" s="61" t="str">
        <f>IF(月途中入退所情報!$D14=$B$2,月途中入退所情報!J14,"-")</f>
        <v>-</v>
      </c>
      <c r="T64" s="84">
        <f>IF($Q64="標準時間",HLOOKUP($P64,$F$5:$I$27,23,FALSE)-SUM($F$10,$F$21:$F$24,$F$26)-HLOOKUP($P64,$F$5:$I$27,16,FALSE)+HLOOKUP($P64,$F$5:$I$29,25,FALSE),IF($Q64="短時間",HLOOKUP($P64,$J$5:$M$27,23,FALSE)-SUM($F$10,$F$21:$F$24,$F$26)-HLOOKUP($P64,$J$5:$M$27,16,FALSE)+HLOOKUP($P64,$J$5:$M$29,25,FALSE),0))+IF(R64="○",加算と減算!$AH$3,0)</f>
        <v>0</v>
      </c>
      <c r="U64" s="85">
        <f t="shared" si="46"/>
        <v>0</v>
      </c>
      <c r="V64" s="262">
        <f t="shared" si="49"/>
        <v>0</v>
      </c>
      <c r="W64" s="262"/>
      <c r="X64" s="61" t="str">
        <f>IF(月途中入退所情報!$N14=$B$2,月途中入退所情報!$P14,"-")</f>
        <v>-</v>
      </c>
      <c r="Y64" s="61" t="str">
        <f>IF(月途中入退所情報!$N14=$B$2,月途中入退所情報!$Q14,"-")</f>
        <v>-</v>
      </c>
      <c r="Z64" s="61" t="str">
        <f>IF(月途中入退所情報!$N14=$B$2,月途中入退所情報!$R14,"-")</f>
        <v>-</v>
      </c>
      <c r="AA64" s="61" t="str">
        <f>IF(月途中入退所情報!$N14=$B$2,月途中入退所情報!$S14,"-")</f>
        <v>-</v>
      </c>
      <c r="AB64" s="61" t="str">
        <f>IF(月途中入退所情報!$N14=$B$2,月途中入退所情報!$T14,"-")</f>
        <v>-</v>
      </c>
      <c r="AC64" s="84">
        <f>IF($Z64="標準時間",HLOOKUP($Y64,$F$5:$I$27,23,FALSE)-SUM($F$10,$F$21:$F$24,$F$26)-HLOOKUP($Y64,$F$5:$I$27,16,FALSE)+HLOOKUP($Y64,$F$5:$I$29,25,FALSE),IF($Z64="短時間",HLOOKUP($Y64,$J$5:$M$27,23,FALSE)-SUM($F$10,$F$21:$F$24,$F$26)-HLOOKUP($Y64,$J$5:$M$27,16,FALSE)+HLOOKUP($Y64,$J$5:$M$29,25,FALSE),0))+IF(AA64="○",加算と減算!$AH$3,0)</f>
        <v>0</v>
      </c>
      <c r="AD64" s="85">
        <f t="shared" si="47"/>
        <v>0</v>
      </c>
      <c r="AE64" s="262">
        <f t="shared" si="48"/>
        <v>0</v>
      </c>
    </row>
    <row r="65" spans="3:31">
      <c r="C65" s="307"/>
      <c r="D65" s="1432" t="s">
        <v>483</v>
      </c>
      <c r="E65" s="320" t="s">
        <v>480</v>
      </c>
      <c r="F65" s="85">
        <f t="shared" ref="F65:M65" si="52">-ROUNDDOWN((F33+F35+F38)*$T$2%,-1)</f>
        <v>0</v>
      </c>
      <c r="G65" s="85">
        <f t="shared" si="52"/>
        <v>0</v>
      </c>
      <c r="H65" s="85">
        <f t="shared" si="52"/>
        <v>0</v>
      </c>
      <c r="I65" s="85">
        <f t="shared" si="52"/>
        <v>0</v>
      </c>
      <c r="J65" s="85">
        <f t="shared" si="52"/>
        <v>0</v>
      </c>
      <c r="K65" s="85">
        <f t="shared" si="52"/>
        <v>0</v>
      </c>
      <c r="L65" s="85">
        <f t="shared" si="52"/>
        <v>0</v>
      </c>
      <c r="M65" s="85">
        <f t="shared" si="52"/>
        <v>0</v>
      </c>
      <c r="O65" s="61" t="str">
        <f>IF(月途中入退所情報!$D15=$B$2,月途中入退所情報!F15,"-")</f>
        <v>-</v>
      </c>
      <c r="P65" s="61" t="str">
        <f>IF(月途中入退所情報!$D15=$B$2,月途中入退所情報!G15,"-")</f>
        <v>-</v>
      </c>
      <c r="Q65" s="61" t="str">
        <f>IF(月途中入退所情報!$D15=$B$2,月途中入退所情報!H15,"-")</f>
        <v>-</v>
      </c>
      <c r="R65" s="61" t="str">
        <f>IF(月途中入退所情報!$D15=$B$2,月途中入退所情報!I15,"-")</f>
        <v>-</v>
      </c>
      <c r="S65" s="61" t="str">
        <f>IF(月途中入退所情報!$D15=$B$2,月途中入退所情報!J15,"-")</f>
        <v>-</v>
      </c>
      <c r="T65" s="84">
        <f>IF($Q65="標準時間",HLOOKUP($P65,$F$5:$I$27,23,FALSE)-SUM($F$10,$F$21:$F$24,$F$26)-HLOOKUP($P65,$F$5:$I$27,16,FALSE)+HLOOKUP($P65,$F$5:$I$29,25,FALSE),IF($Q65="短時間",HLOOKUP($P65,$J$5:$M$27,23,FALSE)-SUM($F$10,$F$21:$F$24,$F$26)-HLOOKUP($P65,$J$5:$M$27,16,FALSE)+HLOOKUP($P65,$J$5:$M$29,25,FALSE),0))+IF(R65="○",加算と減算!$AH$3,0)</f>
        <v>0</v>
      </c>
      <c r="U65" s="85">
        <f t="shared" si="46"/>
        <v>0</v>
      </c>
      <c r="V65" s="262">
        <f t="shared" si="49"/>
        <v>0</v>
      </c>
      <c r="W65" s="262"/>
      <c r="X65" s="61" t="str">
        <f>IF(月途中入退所情報!$N15=$B$2,月途中入退所情報!$P15,"-")</f>
        <v>-</v>
      </c>
      <c r="Y65" s="61" t="str">
        <f>IF(月途中入退所情報!$N15=$B$2,月途中入退所情報!$Q15,"-")</f>
        <v>-</v>
      </c>
      <c r="Z65" s="61" t="str">
        <f>IF(月途中入退所情報!$N15=$B$2,月途中入退所情報!$R15,"-")</f>
        <v>-</v>
      </c>
      <c r="AA65" s="61" t="str">
        <f>IF(月途中入退所情報!$N15=$B$2,月途中入退所情報!$S15,"-")</f>
        <v>-</v>
      </c>
      <c r="AB65" s="61" t="str">
        <f>IF(月途中入退所情報!$N15=$B$2,月途中入退所情報!$T15,"-")</f>
        <v>-</v>
      </c>
      <c r="AC65" s="84">
        <f>IF($Z65="標準時間",HLOOKUP($Y65,$F$5:$I$27,23,FALSE)-SUM($F$10,$F$21:$F$24,$F$26)-HLOOKUP($Y65,$F$5:$I$27,16,FALSE)+HLOOKUP($Y65,$F$5:$I$29,25,FALSE),IF($Z65="短時間",HLOOKUP($Y65,$J$5:$M$27,23,FALSE)-SUM($F$10,$F$21:$F$24,$F$26)-HLOOKUP($Y65,$J$5:$M$27,16,FALSE)+HLOOKUP($Y65,$J$5:$M$29,25,FALSE),0))+IF(AA65="○",加算と減算!$AH$3,0)</f>
        <v>0</v>
      </c>
      <c r="AD65" s="85">
        <f t="shared" si="47"/>
        <v>0</v>
      </c>
      <c r="AE65" s="262">
        <f t="shared" si="48"/>
        <v>0</v>
      </c>
    </row>
    <row r="66" spans="3:31">
      <c r="C66" s="307"/>
      <c r="D66" s="1432"/>
      <c r="E66" s="320" t="s">
        <v>481</v>
      </c>
      <c r="F66" s="85">
        <f>F65*Q37</f>
        <v>0</v>
      </c>
      <c r="G66" s="85">
        <f t="shared" ref="G66:M66" si="53">G65*R37</f>
        <v>0</v>
      </c>
      <c r="H66" s="85">
        <f t="shared" si="53"/>
        <v>0</v>
      </c>
      <c r="I66" s="85">
        <f t="shared" si="53"/>
        <v>0</v>
      </c>
      <c r="J66" s="85">
        <f t="shared" si="53"/>
        <v>0</v>
      </c>
      <c r="K66" s="85">
        <f t="shared" si="53"/>
        <v>0</v>
      </c>
      <c r="L66" s="85">
        <f t="shared" si="53"/>
        <v>0</v>
      </c>
      <c r="M66" s="85">
        <f t="shared" si="53"/>
        <v>0</v>
      </c>
      <c r="O66" s="61" t="str">
        <f>IF(月途中入退所情報!$D16=$B$2,月途中入退所情報!F16,"-")</f>
        <v>-</v>
      </c>
      <c r="P66" s="61" t="str">
        <f>IF(月途中入退所情報!$D16=$B$2,月途中入退所情報!G16,"-")</f>
        <v>-</v>
      </c>
      <c r="Q66" s="61" t="str">
        <f>IF(月途中入退所情報!$D16=$B$2,月途中入退所情報!H16,"-")</f>
        <v>-</v>
      </c>
      <c r="R66" s="61" t="str">
        <f>IF(月途中入退所情報!$D16=$B$2,月途中入退所情報!I16,"-")</f>
        <v>-</v>
      </c>
      <c r="S66" s="61" t="str">
        <f>IF(月途中入退所情報!$D16=$B$2,月途中入退所情報!J16,"-")</f>
        <v>-</v>
      </c>
      <c r="T66" s="84">
        <f>IF($Q66="標準時間",HLOOKUP($P66,$F$5:$I$27,23,FALSE)-SUM($F$10,$F$21:$F$24,$F$26)-HLOOKUP($P66,$F$5:$I$27,16,FALSE)+HLOOKUP($P66,$F$5:$I$29,25,FALSE),IF($Q66="短時間",HLOOKUP($P66,$J$5:$M$27,23,FALSE)-SUM($F$10,$F$21:$F$24,$F$26)-HLOOKUP($P66,$J$5:$M$27,16,FALSE)+HLOOKUP($P66,$J$5:$M$29,25,FALSE),0))+IF(R66="○",加算と減算!$AH$3,0)</f>
        <v>0</v>
      </c>
      <c r="U66" s="85">
        <f t="shared" si="46"/>
        <v>0</v>
      </c>
      <c r="V66" s="262">
        <f t="shared" si="49"/>
        <v>0</v>
      </c>
      <c r="W66" s="262"/>
      <c r="X66" s="61" t="str">
        <f>IF(月途中入退所情報!$N16=$B$2,月途中入退所情報!$P16,"-")</f>
        <v>-</v>
      </c>
      <c r="Y66" s="61" t="str">
        <f>IF(月途中入退所情報!$N16=$B$2,月途中入退所情報!$Q16,"-")</f>
        <v>-</v>
      </c>
      <c r="Z66" s="61" t="str">
        <f>IF(月途中入退所情報!$N16=$B$2,月途中入退所情報!$R16,"-")</f>
        <v>-</v>
      </c>
      <c r="AA66" s="61" t="str">
        <f>IF(月途中入退所情報!$N16=$B$2,月途中入退所情報!$S16,"-")</f>
        <v>-</v>
      </c>
      <c r="AB66" s="61" t="str">
        <f>IF(月途中入退所情報!$N16=$B$2,月途中入退所情報!$T16,"-")</f>
        <v>-</v>
      </c>
      <c r="AC66" s="84">
        <f>IF($Z66="標準時間",HLOOKUP($Y66,$F$5:$I$27,23,FALSE)-SUM($F$10,$F$21:$F$24,$F$26)-HLOOKUP($Y66,$F$5:$I$27,16,FALSE)+HLOOKUP($Y66,$F$5:$I$29,25,FALSE),IF($Z66="短時間",HLOOKUP($Y66,$J$5:$M$27,23,FALSE)-SUM($F$10,$F$21:$F$24,$F$26)-HLOOKUP($Y66,$J$5:$M$27,16,FALSE)+HLOOKUP($Y66,$J$5:$M$29,25,FALSE),0))+IF(AA66="○",加算と減算!$AH$3,0)</f>
        <v>0</v>
      </c>
      <c r="AD66" s="85">
        <f t="shared" si="47"/>
        <v>0</v>
      </c>
      <c r="AE66" s="262">
        <f t="shared" si="48"/>
        <v>0</v>
      </c>
    </row>
    <row r="67" spans="3:31" ht="15.75" thickBot="1">
      <c r="C67" s="307"/>
      <c r="D67" s="317"/>
      <c r="E67" s="315"/>
      <c r="F67" s="316"/>
      <c r="G67" s="316"/>
      <c r="H67" s="316"/>
      <c r="I67" s="316"/>
      <c r="J67" s="316"/>
      <c r="K67" s="316"/>
      <c r="L67" s="316"/>
      <c r="M67" s="316"/>
      <c r="O67" s="61" t="str">
        <f>IF(月途中入退所情報!$D17=$B$2,月途中入退所情報!F17,"-")</f>
        <v>-</v>
      </c>
      <c r="P67" s="61" t="str">
        <f>IF(月途中入退所情報!$D17=$B$2,月途中入退所情報!G17,"-")</f>
        <v>-</v>
      </c>
      <c r="Q67" s="61" t="str">
        <f>IF(月途中入退所情報!$D17=$B$2,月途中入退所情報!H17,"-")</f>
        <v>-</v>
      </c>
      <c r="R67" s="61" t="str">
        <f>IF(月途中入退所情報!$D17=$B$2,月途中入退所情報!I17,"-")</f>
        <v>-</v>
      </c>
      <c r="S67" s="61" t="str">
        <f>IF(月途中入退所情報!$D17=$B$2,月途中入退所情報!J17,"-")</f>
        <v>-</v>
      </c>
      <c r="T67" s="84">
        <f>IF($Q67="標準時間",HLOOKUP($P67,$F$5:$I$27,23,FALSE)-SUM($F$10,$F$21:$F$24,$F$26)-HLOOKUP($P67,$F$5:$I$27,16,FALSE)+HLOOKUP($P67,$F$5:$I$29,25,FALSE),IF($Q67="短時間",HLOOKUP($P67,$J$5:$M$27,23,FALSE)-SUM($F$10,$F$21:$F$24,$F$26)-HLOOKUP($P67,$J$5:$M$27,16,FALSE)+HLOOKUP($P67,$J$5:$M$29,25,FALSE),0))+IF(R67="○",加算と減算!$AH$3,0)</f>
        <v>0</v>
      </c>
      <c r="U67" s="85">
        <f t="shared" si="46"/>
        <v>0</v>
      </c>
      <c r="V67" s="262">
        <f t="shared" si="49"/>
        <v>0</v>
      </c>
      <c r="W67" s="262"/>
      <c r="X67" s="61" t="str">
        <f>IF(月途中入退所情報!$N17=$B$2,月途中入退所情報!$P17,"-")</f>
        <v>-</v>
      </c>
      <c r="Y67" s="61" t="str">
        <f>IF(月途中入退所情報!$N17=$B$2,月途中入退所情報!$Q17,"-")</f>
        <v>-</v>
      </c>
      <c r="Z67" s="61" t="str">
        <f>IF(月途中入退所情報!$N17=$B$2,月途中入退所情報!$R17,"-")</f>
        <v>-</v>
      </c>
      <c r="AA67" s="61" t="str">
        <f>IF(月途中入退所情報!$N17=$B$2,月途中入退所情報!$S17,"-")</f>
        <v>-</v>
      </c>
      <c r="AB67" s="61" t="str">
        <f>IF(月途中入退所情報!$N17=$B$2,月途中入退所情報!$T17,"-")</f>
        <v>-</v>
      </c>
      <c r="AC67" s="84">
        <f>IF($Z67="標準時間",HLOOKUP($Y67,$F$5:$I$27,23,FALSE)-SUM($F$10,$F$21:$F$24,$F$26)-HLOOKUP($Y67,$F$5:$I$27,16,FALSE)+HLOOKUP($Y67,$F$5:$I$29,25,FALSE),IF($Z67="短時間",HLOOKUP($Y67,$J$5:$M$27,23,FALSE)-SUM($F$10,$F$21:$F$24,$F$26)-HLOOKUP($Y67,$J$5:$M$27,16,FALSE)+HLOOKUP($Y67,$J$5:$M$29,25,FALSE),0))+IF(AA67="○",加算と減算!$AH$3,0)</f>
        <v>0</v>
      </c>
      <c r="AD67" s="85">
        <f t="shared" si="47"/>
        <v>0</v>
      </c>
      <c r="AE67" s="262">
        <f t="shared" si="48"/>
        <v>0</v>
      </c>
    </row>
    <row r="68" spans="3:31" ht="15.75" thickBot="1">
      <c r="D68" s="1433" t="s">
        <v>484</v>
      </c>
      <c r="E68" s="1434"/>
      <c r="F68" s="321" t="e">
        <f>F62+F66</f>
        <v>#VALUE!</v>
      </c>
      <c r="G68" s="321" t="e">
        <f t="shared" ref="G68:M68" si="54">G62+G66</f>
        <v>#VALUE!</v>
      </c>
      <c r="H68" s="321" t="e">
        <f t="shared" si="54"/>
        <v>#VALUE!</v>
      </c>
      <c r="I68" s="321" t="e">
        <f t="shared" si="54"/>
        <v>#VALUE!</v>
      </c>
      <c r="J68" s="321" t="e">
        <f t="shared" si="54"/>
        <v>#VALUE!</v>
      </c>
      <c r="K68" s="321" t="e">
        <f t="shared" si="54"/>
        <v>#VALUE!</v>
      </c>
      <c r="L68" s="321" t="e">
        <f t="shared" si="54"/>
        <v>#VALUE!</v>
      </c>
      <c r="M68" s="322" t="e">
        <f t="shared" si="54"/>
        <v>#VALUE!</v>
      </c>
      <c r="O68" s="61" t="str">
        <f>IF(月途中入退所情報!$D18=$B$2,月途中入退所情報!F18,"-")</f>
        <v>-</v>
      </c>
      <c r="P68" s="61" t="str">
        <f>IF(月途中入退所情報!$D18=$B$2,月途中入退所情報!G18,"-")</f>
        <v>-</v>
      </c>
      <c r="Q68" s="61" t="str">
        <f>IF(月途中入退所情報!$D18=$B$2,月途中入退所情報!H18,"-")</f>
        <v>-</v>
      </c>
      <c r="R68" s="61" t="str">
        <f>IF(月途中入退所情報!$D18=$B$2,月途中入退所情報!I18,"-")</f>
        <v>-</v>
      </c>
      <c r="S68" s="61" t="str">
        <f>IF(月途中入退所情報!$D18=$B$2,月途中入退所情報!J18,"-")</f>
        <v>-</v>
      </c>
      <c r="T68" s="84">
        <f>IF($Q68="標準時間",HLOOKUP($P68,$F$5:$I$27,23,FALSE)-SUM($F$10,$F$21:$F$24,$F$26)-HLOOKUP($P68,$F$5:$I$27,16,FALSE)+HLOOKUP($P68,$F$5:$I$29,25,FALSE),IF($Q68="短時間",HLOOKUP($P68,$J$5:$M$27,23,FALSE)-SUM($F$10,$F$21:$F$24,$F$26)-HLOOKUP($P68,$J$5:$M$27,16,FALSE)+HLOOKUP($P68,$J$5:$M$29,25,FALSE),0))+IF(R68="○",加算と減算!$AH$3,0)</f>
        <v>0</v>
      </c>
      <c r="U68" s="85">
        <f t="shared" si="46"/>
        <v>0</v>
      </c>
      <c r="V68" s="262">
        <f t="shared" si="49"/>
        <v>0</v>
      </c>
      <c r="W68" s="262"/>
      <c r="X68" s="61" t="str">
        <f>IF(月途中入退所情報!$N18=$B$2,月途中入退所情報!$P18,"-")</f>
        <v>-</v>
      </c>
      <c r="Y68" s="61" t="str">
        <f>IF(月途中入退所情報!$N18=$B$2,月途中入退所情報!$Q18,"-")</f>
        <v>-</v>
      </c>
      <c r="Z68" s="61" t="str">
        <f>IF(月途中入退所情報!$N18=$B$2,月途中入退所情報!$R18,"-")</f>
        <v>-</v>
      </c>
      <c r="AA68" s="61" t="str">
        <f>IF(月途中入退所情報!$N18=$B$2,月途中入退所情報!$S18,"-")</f>
        <v>-</v>
      </c>
      <c r="AB68" s="61" t="str">
        <f>IF(月途中入退所情報!$N18=$B$2,月途中入退所情報!$T18,"-")</f>
        <v>-</v>
      </c>
      <c r="AC68" s="84">
        <f>IF($Z68="標準時間",HLOOKUP($Y68,$F$5:$I$27,23,FALSE)-SUM($F$10,$F$21:$F$24,$F$26)-HLOOKUP($Y68,$F$5:$I$27,16,FALSE)+HLOOKUP($Y68,$F$5:$I$29,25,FALSE),IF($Z68="短時間",HLOOKUP($Y68,$J$5:$M$27,23,FALSE)-SUM($F$10,$F$21:$F$24,$F$26)-HLOOKUP($Y68,$J$5:$M$27,16,FALSE)+HLOOKUP($Y68,$J$5:$M$29,25,FALSE),0))+IF(AA68="○",加算と減算!$AH$3,0)</f>
        <v>0</v>
      </c>
      <c r="AD68" s="85">
        <f t="shared" si="47"/>
        <v>0</v>
      </c>
      <c r="AE68" s="262">
        <f t="shared" si="48"/>
        <v>0</v>
      </c>
    </row>
    <row r="69" spans="3:31" ht="15.75" thickBot="1">
      <c r="D69" s="1435"/>
      <c r="E69" s="1436"/>
      <c r="F69" s="1437" t="e">
        <f>SUM(F68:M68)</f>
        <v>#VALUE!</v>
      </c>
      <c r="G69" s="1438"/>
      <c r="H69" s="1438"/>
      <c r="I69" s="1438"/>
      <c r="J69" s="1438"/>
      <c r="K69" s="1438"/>
      <c r="L69" s="1438"/>
      <c r="M69" s="1439"/>
      <c r="O69" s="61" t="str">
        <f>IF(月途中入退所情報!$D19=$B$2,月途中入退所情報!F19,"-")</f>
        <v>-</v>
      </c>
      <c r="P69" s="61" t="str">
        <f>IF(月途中入退所情報!$D19=$B$2,月途中入退所情報!G19,"-")</f>
        <v>-</v>
      </c>
      <c r="Q69" s="61" t="str">
        <f>IF(月途中入退所情報!$D19=$B$2,月途中入退所情報!H19,"-")</f>
        <v>-</v>
      </c>
      <c r="R69" s="61" t="str">
        <f>IF(月途中入退所情報!$D19=$B$2,月途中入退所情報!I19,"-")</f>
        <v>-</v>
      </c>
      <c r="S69" s="61" t="str">
        <f>IF(月途中入退所情報!$D19=$B$2,月途中入退所情報!J19,"-")</f>
        <v>-</v>
      </c>
      <c r="T69" s="84">
        <f>IF($Q69="標準時間",HLOOKUP($P69,$F$5:$I$27,23,FALSE)-SUM($F$10,$F$21:$F$24,$F$26)-HLOOKUP($P69,$F$5:$I$27,16,FALSE)+HLOOKUP($P69,$F$5:$I$29,25,FALSE),IF($Q69="短時間",HLOOKUP($P69,$J$5:$M$27,23,FALSE)-SUM($F$10,$F$21:$F$24,$F$26)-HLOOKUP($P69,$J$5:$M$27,16,FALSE)+HLOOKUP($P69,$J$5:$M$29,25,FALSE),0))+IF(R69="○",加算と減算!$AH$3,0)</f>
        <v>0</v>
      </c>
      <c r="U69" s="85">
        <f t="shared" si="46"/>
        <v>0</v>
      </c>
      <c r="V69" s="262">
        <f t="shared" si="49"/>
        <v>0</v>
      </c>
      <c r="W69" s="262"/>
      <c r="X69" s="61" t="str">
        <f>IF(月途中入退所情報!$N19=$B$2,月途中入退所情報!$P19,"-")</f>
        <v>-</v>
      </c>
      <c r="Y69" s="61" t="str">
        <f>IF(月途中入退所情報!$N19=$B$2,月途中入退所情報!$Q19,"-")</f>
        <v>-</v>
      </c>
      <c r="Z69" s="61" t="str">
        <f>IF(月途中入退所情報!$N19=$B$2,月途中入退所情報!$R19,"-")</f>
        <v>-</v>
      </c>
      <c r="AA69" s="61" t="str">
        <f>IF(月途中入退所情報!$N19=$B$2,月途中入退所情報!$S19,"-")</f>
        <v>-</v>
      </c>
      <c r="AB69" s="61" t="str">
        <f>IF(月途中入退所情報!$N19=$B$2,月途中入退所情報!$T19,"-")</f>
        <v>-</v>
      </c>
      <c r="AC69" s="84">
        <f>IF($Z69="標準時間",HLOOKUP($Y69,$F$5:$I$27,23,FALSE)-SUM($F$10,$F$21:$F$24,$F$26)-HLOOKUP($Y69,$F$5:$I$27,16,FALSE)+HLOOKUP($Y69,$F$5:$I$29,25,FALSE),IF($Z69="短時間",HLOOKUP($Y69,$J$5:$M$27,23,FALSE)-SUM($F$10,$F$21:$F$24,$F$26)-HLOOKUP($Y69,$J$5:$M$27,16,FALSE)+HLOOKUP($Y69,$J$5:$M$29,25,FALSE),0))+IF(AA69="○",加算と減算!$AH$3,0)</f>
        <v>0</v>
      </c>
      <c r="AD69" s="85">
        <f t="shared" si="47"/>
        <v>0</v>
      </c>
      <c r="AE69" s="262">
        <f t="shared" si="48"/>
        <v>0</v>
      </c>
    </row>
    <row r="70" spans="3:31">
      <c r="O70" s="61" t="str">
        <f>IF(月途中入退所情報!$D20=$B$2,月途中入退所情報!F20,"-")</f>
        <v>-</v>
      </c>
      <c r="P70" s="61" t="str">
        <f>IF(月途中入退所情報!$D20=$B$2,月途中入退所情報!G20,"-")</f>
        <v>-</v>
      </c>
      <c r="Q70" s="61" t="str">
        <f>IF(月途中入退所情報!$D20=$B$2,月途中入退所情報!H20,"-")</f>
        <v>-</v>
      </c>
      <c r="R70" s="61" t="str">
        <f>IF(月途中入退所情報!$D20=$B$2,月途中入退所情報!I20,"-")</f>
        <v>-</v>
      </c>
      <c r="S70" s="61" t="str">
        <f>IF(月途中入退所情報!$D20=$B$2,月途中入退所情報!J20,"-")</f>
        <v>-</v>
      </c>
      <c r="T70" s="84">
        <f>IF($Q70="標準時間",HLOOKUP($P70,$F$5:$I$27,23,FALSE)-SUM($F$10,$F$21:$F$24,$F$26)-HLOOKUP($P70,$F$5:$I$27,16,FALSE)+HLOOKUP($P70,$F$5:$I$29,25,FALSE),IF($Q70="短時間",HLOOKUP($P70,$J$5:$M$27,23,FALSE)-SUM($F$10,$F$21:$F$24,$F$26)-HLOOKUP($P70,$J$5:$M$27,16,FALSE)+HLOOKUP($P70,$J$5:$M$29,25,FALSE),0))+IF(R70="○",加算と減算!$AH$3,0)</f>
        <v>0</v>
      </c>
      <c r="U70" s="85">
        <f t="shared" si="46"/>
        <v>0</v>
      </c>
      <c r="V70" s="262">
        <f t="shared" si="49"/>
        <v>0</v>
      </c>
      <c r="W70" s="262"/>
      <c r="X70" s="61" t="str">
        <f>IF(月途中入退所情報!$N20=$B$2,月途中入退所情報!$P20,"-")</f>
        <v>-</v>
      </c>
      <c r="Y70" s="61" t="str">
        <f>IF(月途中入退所情報!$N20=$B$2,月途中入退所情報!$Q20,"-")</f>
        <v>-</v>
      </c>
      <c r="Z70" s="61" t="str">
        <f>IF(月途中入退所情報!$N20=$B$2,月途中入退所情報!$R20,"-")</f>
        <v>-</v>
      </c>
      <c r="AA70" s="61" t="str">
        <f>IF(月途中入退所情報!$N20=$B$2,月途中入退所情報!$S20,"-")</f>
        <v>-</v>
      </c>
      <c r="AB70" s="61" t="str">
        <f>IF(月途中入退所情報!$N20=$B$2,月途中入退所情報!$T20,"-")</f>
        <v>-</v>
      </c>
      <c r="AC70" s="84">
        <f>IF($Z70="標準時間",HLOOKUP($Y70,$F$5:$I$27,23,FALSE)-SUM($F$10,$F$21:$F$24,$F$26)-HLOOKUP($Y70,$F$5:$I$27,16,FALSE)+HLOOKUP($Y70,$F$5:$I$29,25,FALSE),IF($Z70="短時間",HLOOKUP($Y70,$J$5:$M$27,23,FALSE)-SUM($F$10,$F$21:$F$24,$F$26)-HLOOKUP($Y70,$J$5:$M$27,16,FALSE)+HLOOKUP($Y70,$J$5:$M$29,25,FALSE),0))+IF(AA70="○",加算と減算!$AH$3,0)</f>
        <v>0</v>
      </c>
      <c r="AD70" s="85">
        <f t="shared" si="47"/>
        <v>0</v>
      </c>
      <c r="AE70" s="262">
        <f t="shared" si="48"/>
        <v>0</v>
      </c>
    </row>
    <row r="71" spans="3:31">
      <c r="O71" s="61" t="str">
        <f>IF(月途中入退所情報!$D21=$B$2,月途中入退所情報!F21,"-")</f>
        <v>-</v>
      </c>
      <c r="P71" s="61" t="str">
        <f>IF(月途中入退所情報!$D21=$B$2,月途中入退所情報!G21,"-")</f>
        <v>-</v>
      </c>
      <c r="Q71" s="61" t="str">
        <f>IF(月途中入退所情報!$D21=$B$2,月途中入退所情報!H21,"-")</f>
        <v>-</v>
      </c>
      <c r="R71" s="61" t="str">
        <f>IF(月途中入退所情報!$D21=$B$2,月途中入退所情報!I21,"-")</f>
        <v>-</v>
      </c>
      <c r="S71" s="61" t="str">
        <f>IF(月途中入退所情報!$D21=$B$2,月途中入退所情報!J21,"-")</f>
        <v>-</v>
      </c>
      <c r="T71" s="84">
        <f>IF($Q71="標準時間",HLOOKUP($P71,$F$5:$I$27,23,FALSE)-SUM($F$10,$F$21:$F$24,$F$26)-HLOOKUP($P71,$F$5:$I$27,16,FALSE)+HLOOKUP($P71,$F$5:$I$29,25,FALSE),IF($Q71="短時間",HLOOKUP($P71,$J$5:$M$27,23,FALSE)-SUM($F$10,$F$21:$F$24,$F$26)-HLOOKUP($P71,$J$5:$M$27,16,FALSE)+HLOOKUP($P71,$J$5:$M$29,25,FALSE),0))+IF(R71="○",加算と減算!$AH$3,0)</f>
        <v>0</v>
      </c>
      <c r="U71" s="85">
        <f t="shared" si="46"/>
        <v>0</v>
      </c>
      <c r="V71" s="262">
        <f t="shared" si="49"/>
        <v>0</v>
      </c>
      <c r="W71" s="262"/>
      <c r="X71" s="61" t="str">
        <f>IF(月途中入退所情報!$N21=$B$2,月途中入退所情報!$P21,"-")</f>
        <v>-</v>
      </c>
      <c r="Y71" s="61" t="str">
        <f>IF(月途中入退所情報!$N21=$B$2,月途中入退所情報!$Q21,"-")</f>
        <v>-</v>
      </c>
      <c r="Z71" s="61" t="str">
        <f>IF(月途中入退所情報!$N21=$B$2,月途中入退所情報!$R21,"-")</f>
        <v>-</v>
      </c>
      <c r="AA71" s="61" t="str">
        <f>IF(月途中入退所情報!$N21=$B$2,月途中入退所情報!$S21,"-")</f>
        <v>-</v>
      </c>
      <c r="AB71" s="61" t="str">
        <f>IF(月途中入退所情報!$N21=$B$2,月途中入退所情報!$T21,"-")</f>
        <v>-</v>
      </c>
      <c r="AC71" s="84">
        <f>IF($Z71="標準時間",HLOOKUP($Y71,$F$5:$I$27,23,FALSE)-SUM($F$10,$F$21:$F$24,$F$26)-HLOOKUP($Y71,$F$5:$I$27,16,FALSE)+HLOOKUP($Y71,$F$5:$I$29,25,FALSE),IF($Z71="短時間",HLOOKUP($Y71,$J$5:$M$27,23,FALSE)-SUM($F$10,$F$21:$F$24,$F$26)-HLOOKUP($Y71,$J$5:$M$27,16,FALSE)+HLOOKUP($Y71,$J$5:$M$29,25,FALSE),0))+IF(AA71="○",加算と減算!$AH$3,0)</f>
        <v>0</v>
      </c>
      <c r="AD71" s="85">
        <f t="shared" si="47"/>
        <v>0</v>
      </c>
      <c r="AE71" s="262">
        <f t="shared" si="48"/>
        <v>0</v>
      </c>
    </row>
    <row r="72" spans="3:31">
      <c r="O72" s="61" t="str">
        <f>IF(月途中入退所情報!$D22=$B$2,月途中入退所情報!F22,"-")</f>
        <v>-</v>
      </c>
      <c r="P72" s="61" t="str">
        <f>IF(月途中入退所情報!$D22=$B$2,月途中入退所情報!G22,"-")</f>
        <v>-</v>
      </c>
      <c r="Q72" s="61" t="str">
        <f>IF(月途中入退所情報!$D22=$B$2,月途中入退所情報!H22,"-")</f>
        <v>-</v>
      </c>
      <c r="R72" s="61" t="str">
        <f>IF(月途中入退所情報!$D22=$B$2,月途中入退所情報!I22,"-")</f>
        <v>-</v>
      </c>
      <c r="S72" s="61" t="str">
        <f>IF(月途中入退所情報!$D22=$B$2,月途中入退所情報!J22,"-")</f>
        <v>-</v>
      </c>
      <c r="T72" s="84">
        <f>IF($Q72="標準時間",HLOOKUP($P72,$F$5:$I$27,23,FALSE)-SUM($F$10,$F$21:$F$24,$F$26)-HLOOKUP($P72,$F$5:$I$27,16,FALSE)+HLOOKUP($P72,$F$5:$I$29,25,FALSE),IF($Q72="短時間",HLOOKUP($P72,$J$5:$M$27,23,FALSE)-SUM($F$10,$F$21:$F$24,$F$26)-HLOOKUP($P72,$J$5:$M$27,16,FALSE)+HLOOKUP($P72,$J$5:$M$29,25,FALSE),0))+IF(R72="○",加算と減算!$AH$3,0)</f>
        <v>0</v>
      </c>
      <c r="U72" s="85">
        <f t="shared" si="46"/>
        <v>0</v>
      </c>
      <c r="V72" s="262">
        <f t="shared" si="49"/>
        <v>0</v>
      </c>
      <c r="W72" s="262"/>
      <c r="X72" s="61" t="str">
        <f>IF(月途中入退所情報!$N22=$B$2,月途中入退所情報!$P22,"-")</f>
        <v>-</v>
      </c>
      <c r="Y72" s="61" t="str">
        <f>IF(月途中入退所情報!$N22=$B$2,月途中入退所情報!$Q22,"-")</f>
        <v>-</v>
      </c>
      <c r="Z72" s="61" t="str">
        <f>IF(月途中入退所情報!$N22=$B$2,月途中入退所情報!$R22,"-")</f>
        <v>-</v>
      </c>
      <c r="AA72" s="61" t="str">
        <f>IF(月途中入退所情報!$N22=$B$2,月途中入退所情報!$S22,"-")</f>
        <v>-</v>
      </c>
      <c r="AB72" s="61" t="str">
        <f>IF(月途中入退所情報!$N22=$B$2,月途中入退所情報!$T22,"-")</f>
        <v>-</v>
      </c>
      <c r="AC72" s="84">
        <f>IF($Z72="標準時間",HLOOKUP($Y72,$F$5:$I$27,23,FALSE)-SUM($F$10,$F$21:$F$24,$F$26)-HLOOKUP($Y72,$F$5:$I$27,16,FALSE)+HLOOKUP($Y72,$F$5:$I$29,25,FALSE),IF($Z72="短時間",HLOOKUP($Y72,$J$5:$M$27,23,FALSE)-SUM($F$10,$F$21:$F$24,$F$26)-HLOOKUP($Y72,$J$5:$M$27,16,FALSE)+HLOOKUP($Y72,$J$5:$M$29,25,FALSE),0))+IF(AA72="○",加算と減算!$AH$3,0)</f>
        <v>0</v>
      </c>
      <c r="AD72" s="85">
        <f t="shared" si="47"/>
        <v>0</v>
      </c>
      <c r="AE72" s="262">
        <f t="shared" si="48"/>
        <v>0</v>
      </c>
    </row>
    <row r="73" spans="3:31">
      <c r="O73" s="61" t="str">
        <f>IF(月途中入退所情報!$D23=$B$2,月途中入退所情報!F23,"-")</f>
        <v>-</v>
      </c>
      <c r="P73" s="61" t="str">
        <f>IF(月途中入退所情報!$D23=$B$2,月途中入退所情報!G23,"-")</f>
        <v>-</v>
      </c>
      <c r="Q73" s="61" t="str">
        <f>IF(月途中入退所情報!$D23=$B$2,月途中入退所情報!H23,"-")</f>
        <v>-</v>
      </c>
      <c r="R73" s="61" t="str">
        <f>IF(月途中入退所情報!$D23=$B$2,月途中入退所情報!I23,"-")</f>
        <v>-</v>
      </c>
      <c r="S73" s="61" t="str">
        <f>IF(月途中入退所情報!$D23=$B$2,月途中入退所情報!J23,"-")</f>
        <v>-</v>
      </c>
      <c r="T73" s="84">
        <f>IF($Q73="標準時間",HLOOKUP($P73,$F$5:$I$27,23,FALSE)-SUM($F$10,$F$21:$F$24,$F$26)-HLOOKUP($P73,$F$5:$I$27,16,FALSE)+HLOOKUP($P73,$F$5:$I$29,25,FALSE),IF($Q73="短時間",HLOOKUP($P73,$J$5:$M$27,23,FALSE)-SUM($F$10,$F$21:$F$24,$F$26)-HLOOKUP($P73,$J$5:$M$27,16,FALSE)+HLOOKUP($P73,$J$5:$M$29,25,FALSE),0))+IF(R73="○",加算と減算!$AH$3,0)</f>
        <v>0</v>
      </c>
      <c r="U73" s="85">
        <f t="shared" si="46"/>
        <v>0</v>
      </c>
      <c r="V73" s="262">
        <f t="shared" si="49"/>
        <v>0</v>
      </c>
      <c r="W73" s="262"/>
      <c r="X73" s="61" t="str">
        <f>IF(月途中入退所情報!$N23=$B$2,月途中入退所情報!$P23,"-")</f>
        <v>-</v>
      </c>
      <c r="Y73" s="61" t="str">
        <f>IF(月途中入退所情報!$N23=$B$2,月途中入退所情報!$Q23,"-")</f>
        <v>-</v>
      </c>
      <c r="Z73" s="61" t="str">
        <f>IF(月途中入退所情報!$N23=$B$2,月途中入退所情報!$R23,"-")</f>
        <v>-</v>
      </c>
      <c r="AA73" s="61" t="str">
        <f>IF(月途中入退所情報!$N23=$B$2,月途中入退所情報!$S23,"-")</f>
        <v>-</v>
      </c>
      <c r="AB73" s="61" t="str">
        <f>IF(月途中入退所情報!$N23=$B$2,月途中入退所情報!$T23,"-")</f>
        <v>-</v>
      </c>
      <c r="AC73" s="84">
        <f>IF($Z73="標準時間",HLOOKUP($Y73,$F$5:$I$27,23,FALSE)-SUM($F$10,$F$21:$F$24,$F$26)-HLOOKUP($Y73,$F$5:$I$27,16,FALSE)+HLOOKUP($Y73,$F$5:$I$29,25,FALSE),IF($Z73="短時間",HLOOKUP($Y73,$J$5:$M$27,23,FALSE)-SUM($F$10,$F$21:$F$24,$F$26)-HLOOKUP($Y73,$J$5:$M$27,16,FALSE)+HLOOKUP($Y73,$J$5:$M$29,25,FALSE),0))+IF(AA73="○",加算と減算!$AH$3,0)</f>
        <v>0</v>
      </c>
      <c r="AD73" s="85">
        <f t="shared" si="47"/>
        <v>0</v>
      </c>
      <c r="AE73" s="262">
        <f t="shared" si="48"/>
        <v>0</v>
      </c>
    </row>
    <row r="74" spans="3:31">
      <c r="O74" s="61" t="str">
        <f>IF(月途中入退所情報!$D24=$B$2,月途中入退所情報!F24,"-")</f>
        <v>-</v>
      </c>
      <c r="P74" s="61" t="str">
        <f>IF(月途中入退所情報!$D24=$B$2,月途中入退所情報!G24,"-")</f>
        <v>-</v>
      </c>
      <c r="Q74" s="61" t="str">
        <f>IF(月途中入退所情報!$D24=$B$2,月途中入退所情報!H24,"-")</f>
        <v>-</v>
      </c>
      <c r="R74" s="61" t="str">
        <f>IF(月途中入退所情報!$D24=$B$2,月途中入退所情報!I24,"-")</f>
        <v>-</v>
      </c>
      <c r="S74" s="61" t="str">
        <f>IF(月途中入退所情報!$D24=$B$2,月途中入退所情報!J24,"-")</f>
        <v>-</v>
      </c>
      <c r="T74" s="84">
        <f>IF($Q74="標準時間",HLOOKUP($P74,$F$5:$I$27,23,FALSE)-SUM($F$10,$F$21:$F$24,$F$26)-HLOOKUP($P74,$F$5:$I$27,16,FALSE)+HLOOKUP($P74,$F$5:$I$29,25,FALSE),IF($Q74="短時間",HLOOKUP($P74,$J$5:$M$27,23,FALSE)-SUM($F$10,$F$21:$F$24,$F$26)-HLOOKUP($P74,$J$5:$M$27,16,FALSE)+HLOOKUP($P74,$J$5:$M$29,25,FALSE),0))+IF(R74="○",加算と減算!$AH$3,0)</f>
        <v>0</v>
      </c>
      <c r="U74" s="85">
        <f t="shared" si="46"/>
        <v>0</v>
      </c>
      <c r="V74" s="262">
        <f t="shared" si="49"/>
        <v>0</v>
      </c>
      <c r="W74" s="262"/>
      <c r="X74" s="61" t="str">
        <f>IF(月途中入退所情報!$N24=$B$2,月途中入退所情報!$P24,"-")</f>
        <v>-</v>
      </c>
      <c r="Y74" s="61" t="str">
        <f>IF(月途中入退所情報!$N24=$B$2,月途中入退所情報!$Q24,"-")</f>
        <v>-</v>
      </c>
      <c r="Z74" s="61" t="str">
        <f>IF(月途中入退所情報!$N24=$B$2,月途中入退所情報!$R24,"-")</f>
        <v>-</v>
      </c>
      <c r="AA74" s="61" t="str">
        <f>IF(月途中入退所情報!$N24=$B$2,月途中入退所情報!$S24,"-")</f>
        <v>-</v>
      </c>
      <c r="AB74" s="61" t="str">
        <f>IF(月途中入退所情報!$N24=$B$2,月途中入退所情報!$T24,"-")</f>
        <v>-</v>
      </c>
      <c r="AC74" s="84">
        <f>IF($Z74="標準時間",HLOOKUP($Y74,$F$5:$I$27,23,FALSE)-SUM($F$10,$F$21:$F$24,$F$26)-HLOOKUP($Y74,$F$5:$I$27,16,FALSE)+HLOOKUP($Y74,$F$5:$I$29,25,FALSE),IF($Z74="短時間",HLOOKUP($Y74,$J$5:$M$27,23,FALSE)-SUM($F$10,$F$21:$F$24,$F$26)-HLOOKUP($Y74,$J$5:$M$27,16,FALSE)+HLOOKUP($Y74,$J$5:$M$29,25,FALSE),0))+IF(AA74="○",加算と減算!$AH$3,0)</f>
        <v>0</v>
      </c>
      <c r="AD74" s="85">
        <f t="shared" si="47"/>
        <v>0</v>
      </c>
      <c r="AE74" s="262">
        <f t="shared" si="48"/>
        <v>0</v>
      </c>
    </row>
    <row r="75" spans="3:31">
      <c r="O75" s="61" t="str">
        <f>IF(月途中入退所情報!$D25=$B$2,月途中入退所情報!F25,"-")</f>
        <v>-</v>
      </c>
      <c r="P75" s="61" t="str">
        <f>IF(月途中入退所情報!$D25=$B$2,月途中入退所情報!G25,"-")</f>
        <v>-</v>
      </c>
      <c r="Q75" s="61" t="str">
        <f>IF(月途中入退所情報!$D25=$B$2,月途中入退所情報!H25,"-")</f>
        <v>-</v>
      </c>
      <c r="R75" s="61" t="str">
        <f>IF(月途中入退所情報!$D25=$B$2,月途中入退所情報!I25,"-")</f>
        <v>-</v>
      </c>
      <c r="S75" s="61" t="str">
        <f>IF(月途中入退所情報!$D25=$B$2,月途中入退所情報!J25,"-")</f>
        <v>-</v>
      </c>
      <c r="T75" s="84">
        <f>IF($Q75="標準時間",HLOOKUP($P75,$F$5:$I$27,23,FALSE)-SUM($F$10,$F$21:$F$24,$F$26)-HLOOKUP($P75,$F$5:$I$27,16,FALSE)+HLOOKUP($P75,$F$5:$I$29,25,FALSE),IF($Q75="短時間",HLOOKUP($P75,$J$5:$M$27,23,FALSE)-SUM($F$10,$F$21:$F$24,$F$26)-HLOOKUP($P75,$J$5:$M$27,16,FALSE)+HLOOKUP($P75,$J$5:$M$29,25,FALSE),0))+IF(R75="○",加算と減算!$AH$3,0)</f>
        <v>0</v>
      </c>
      <c r="U75" s="85">
        <f t="shared" si="46"/>
        <v>0</v>
      </c>
      <c r="V75" s="262">
        <f t="shared" si="49"/>
        <v>0</v>
      </c>
      <c r="W75" s="262"/>
      <c r="X75" s="61" t="str">
        <f>IF(月途中入退所情報!$N25=$B$2,月途中入退所情報!$P25,"-")</f>
        <v>-</v>
      </c>
      <c r="Y75" s="61" t="str">
        <f>IF(月途中入退所情報!$N25=$B$2,月途中入退所情報!$Q25,"-")</f>
        <v>-</v>
      </c>
      <c r="Z75" s="61" t="str">
        <f>IF(月途中入退所情報!$N25=$B$2,月途中入退所情報!$R25,"-")</f>
        <v>-</v>
      </c>
      <c r="AA75" s="61" t="str">
        <f>IF(月途中入退所情報!$N25=$B$2,月途中入退所情報!$S25,"-")</f>
        <v>-</v>
      </c>
      <c r="AB75" s="61" t="str">
        <f>IF(月途中入退所情報!$N25=$B$2,月途中入退所情報!$T25,"-")</f>
        <v>-</v>
      </c>
      <c r="AC75" s="84">
        <f>IF($Z75="標準時間",HLOOKUP($Y75,$F$5:$I$27,23,FALSE)-SUM($F$10,$F$21:$F$24,$F$26)-HLOOKUP($Y75,$F$5:$I$27,16,FALSE)+HLOOKUP($Y75,$F$5:$I$29,25,FALSE),IF($Z75="短時間",HLOOKUP($Y75,$J$5:$M$27,23,FALSE)-SUM($F$10,$F$21:$F$24,$F$26)-HLOOKUP($Y75,$J$5:$M$27,16,FALSE)+HLOOKUP($Y75,$J$5:$M$29,25,FALSE),0))+IF(AA75="○",加算と減算!$AH$3,0)</f>
        <v>0</v>
      </c>
      <c r="AD75" s="85">
        <f t="shared" si="47"/>
        <v>0</v>
      </c>
      <c r="AE75" s="262">
        <f t="shared" si="48"/>
        <v>0</v>
      </c>
    </row>
    <row r="76" spans="3:31">
      <c r="O76" s="61" t="str">
        <f>IF(月途中入退所情報!$D26=$B$2,月途中入退所情報!F26,"-")</f>
        <v>-</v>
      </c>
      <c r="P76" s="61" t="str">
        <f>IF(月途中入退所情報!$D26=$B$2,月途中入退所情報!G26,"-")</f>
        <v>-</v>
      </c>
      <c r="Q76" s="61" t="str">
        <f>IF(月途中入退所情報!$D26=$B$2,月途中入退所情報!H26,"-")</f>
        <v>-</v>
      </c>
      <c r="R76" s="61" t="str">
        <f>IF(月途中入退所情報!$D26=$B$2,月途中入退所情報!I26,"-")</f>
        <v>-</v>
      </c>
      <c r="S76" s="61" t="str">
        <f>IF(月途中入退所情報!$D26=$B$2,月途中入退所情報!J26,"-")</f>
        <v>-</v>
      </c>
      <c r="T76" s="84">
        <f>IF($Q76="標準時間",HLOOKUP($P76,$F$5:$I$27,23,FALSE)-SUM($F$10,$F$21:$F$24,$F$26)-HLOOKUP($P76,$F$5:$I$27,16,FALSE)+HLOOKUP($P76,$F$5:$I$29,25,FALSE),IF($Q76="短時間",HLOOKUP($P76,$J$5:$M$27,23,FALSE)-SUM($F$10,$F$21:$F$24,$F$26)-HLOOKUP($P76,$J$5:$M$27,16,FALSE)+HLOOKUP($P76,$J$5:$M$29,25,FALSE),0))+IF(R76="○",加算と減算!$AH$3,0)</f>
        <v>0</v>
      </c>
      <c r="U76" s="85">
        <f t="shared" si="46"/>
        <v>0</v>
      </c>
      <c r="V76" s="262">
        <f t="shared" si="49"/>
        <v>0</v>
      </c>
      <c r="W76" s="262"/>
      <c r="X76" s="61" t="str">
        <f>IF(月途中入退所情報!$N26=$B$2,月途中入退所情報!$P26,"-")</f>
        <v>-</v>
      </c>
      <c r="Y76" s="61" t="str">
        <f>IF(月途中入退所情報!$N26=$B$2,月途中入退所情報!$Q26,"-")</f>
        <v>-</v>
      </c>
      <c r="Z76" s="61" t="str">
        <f>IF(月途中入退所情報!$N26=$B$2,月途中入退所情報!$R26,"-")</f>
        <v>-</v>
      </c>
      <c r="AA76" s="61" t="str">
        <f>IF(月途中入退所情報!$N26=$B$2,月途中入退所情報!$S26,"-")</f>
        <v>-</v>
      </c>
      <c r="AB76" s="61" t="str">
        <f>IF(月途中入退所情報!$N26=$B$2,月途中入退所情報!$T26,"-")</f>
        <v>-</v>
      </c>
      <c r="AC76" s="84">
        <f>IF($Z76="標準時間",HLOOKUP($Y76,$F$5:$I$27,23,FALSE)-SUM($F$10,$F$21:$F$24,$F$26)-HLOOKUP($Y76,$F$5:$I$27,16,FALSE)+HLOOKUP($Y76,$F$5:$I$29,25,FALSE),IF($Z76="短時間",HLOOKUP($Y76,$J$5:$M$27,23,FALSE)-SUM($F$10,$F$21:$F$24,$F$26)-HLOOKUP($Y76,$J$5:$M$27,16,FALSE)+HLOOKUP($Y76,$J$5:$M$29,25,FALSE),0))+IF(AA76="○",加算と減算!$AH$3,0)</f>
        <v>0</v>
      </c>
      <c r="AD76" s="85">
        <f t="shared" si="47"/>
        <v>0</v>
      </c>
      <c r="AE76" s="262">
        <f t="shared" si="48"/>
        <v>0</v>
      </c>
    </row>
    <row r="77" spans="3:31">
      <c r="O77" s="61" t="str">
        <f>IF(月途中入退所情報!$D27=$B$2,月途中入退所情報!F27,"-")</f>
        <v>-</v>
      </c>
      <c r="P77" s="61" t="str">
        <f>IF(月途中入退所情報!$D27=$B$2,月途中入退所情報!G27,"-")</f>
        <v>-</v>
      </c>
      <c r="Q77" s="61" t="str">
        <f>IF(月途中入退所情報!$D27=$B$2,月途中入退所情報!H27,"-")</f>
        <v>-</v>
      </c>
      <c r="R77" s="61" t="str">
        <f>IF(月途中入退所情報!$D27=$B$2,月途中入退所情報!I27,"-")</f>
        <v>-</v>
      </c>
      <c r="S77" s="61" t="str">
        <f>IF(月途中入退所情報!$D27=$B$2,月途中入退所情報!J27,"-")</f>
        <v>-</v>
      </c>
      <c r="T77" s="84">
        <f>IF($Q77="標準時間",HLOOKUP($P77,$F$5:$I$27,23,FALSE)-SUM($F$10,$F$21:$F$24,$F$26)-HLOOKUP($P77,$F$5:$I$27,16,FALSE)+HLOOKUP($P77,$F$5:$I$29,25,FALSE),IF($Q77="短時間",HLOOKUP($P77,$J$5:$M$27,23,FALSE)-SUM($F$10,$F$21:$F$24,$F$26)-HLOOKUP($P77,$J$5:$M$27,16,FALSE)+HLOOKUP($P77,$J$5:$M$29,25,FALSE),0))+IF(R77="○",加算と減算!$AH$3,0)</f>
        <v>0</v>
      </c>
      <c r="U77" s="85">
        <f t="shared" si="46"/>
        <v>0</v>
      </c>
      <c r="V77" s="262">
        <f t="shared" si="49"/>
        <v>0</v>
      </c>
      <c r="W77" s="262"/>
      <c r="X77" s="61" t="str">
        <f>IF(月途中入退所情報!$N27=$B$2,月途中入退所情報!$P27,"-")</f>
        <v>-</v>
      </c>
      <c r="Y77" s="61" t="str">
        <f>IF(月途中入退所情報!$N27=$B$2,月途中入退所情報!$Q27,"-")</f>
        <v>-</v>
      </c>
      <c r="Z77" s="61" t="str">
        <f>IF(月途中入退所情報!$N27=$B$2,月途中入退所情報!$R27,"-")</f>
        <v>-</v>
      </c>
      <c r="AA77" s="61" t="str">
        <f>IF(月途中入退所情報!$N27=$B$2,月途中入退所情報!$S27,"-")</f>
        <v>-</v>
      </c>
      <c r="AB77" s="61" t="str">
        <f>IF(月途中入退所情報!$N27=$B$2,月途中入退所情報!$T27,"-")</f>
        <v>-</v>
      </c>
      <c r="AC77" s="84">
        <f>IF($Z77="標準時間",HLOOKUP($Y77,$F$5:$I$27,23,FALSE)-SUM($F$10,$F$21:$F$24,$F$26)-HLOOKUP($Y77,$F$5:$I$27,16,FALSE)+HLOOKUP($Y77,$F$5:$I$29,25,FALSE),IF($Z77="短時間",HLOOKUP($Y77,$J$5:$M$27,23,FALSE)-SUM($F$10,$F$21:$F$24,$F$26)-HLOOKUP($Y77,$J$5:$M$27,16,FALSE)+HLOOKUP($Y77,$J$5:$M$29,25,FALSE),0))+IF(AA77="○",加算と減算!$AH$3,0)</f>
        <v>0</v>
      </c>
      <c r="AD77" s="85">
        <f t="shared" si="47"/>
        <v>0</v>
      </c>
      <c r="AE77" s="262">
        <f t="shared" si="48"/>
        <v>0</v>
      </c>
    </row>
    <row r="78" spans="3:31">
      <c r="T78" s="86" t="s">
        <v>36</v>
      </c>
      <c r="U78" s="85">
        <f>SUM(U58:U77)</f>
        <v>0</v>
      </c>
      <c r="V78" s="262">
        <f>SUM(V58:V77)</f>
        <v>0</v>
      </c>
      <c r="W78" s="262"/>
      <c r="AC78" s="86" t="s">
        <v>36</v>
      </c>
      <c r="AD78" s="85">
        <f>SUM(AD58:AD77)</f>
        <v>0</v>
      </c>
      <c r="AE78" s="264">
        <f>SUM(AE58:AE77)</f>
        <v>0</v>
      </c>
    </row>
    <row r="79" spans="3:31">
      <c r="O79" s="1430" t="s">
        <v>430</v>
      </c>
      <c r="P79" s="1430"/>
      <c r="X79" s="385" t="s">
        <v>431</v>
      </c>
      <c r="Y79" s="385"/>
    </row>
    <row r="80" spans="3:31">
      <c r="O80" s="83" t="s">
        <v>429</v>
      </c>
      <c r="P80" s="83" t="s">
        <v>206</v>
      </c>
      <c r="Q80" s="83" t="s">
        <v>207</v>
      </c>
      <c r="R80" s="83" t="s">
        <v>448</v>
      </c>
      <c r="S80" s="83" t="s">
        <v>214</v>
      </c>
      <c r="T80" s="83" t="s">
        <v>215</v>
      </c>
      <c r="U80" s="83" t="s">
        <v>216</v>
      </c>
      <c r="V80" s="282" t="s">
        <v>455</v>
      </c>
      <c r="W80" s="261"/>
      <c r="X80" s="83" t="s">
        <v>429</v>
      </c>
      <c r="Y80" s="83" t="s">
        <v>206</v>
      </c>
      <c r="Z80" s="83" t="s">
        <v>207</v>
      </c>
      <c r="AA80" s="83" t="s">
        <v>448</v>
      </c>
      <c r="AB80" s="83" t="s">
        <v>218</v>
      </c>
      <c r="AC80" s="83" t="s">
        <v>215</v>
      </c>
      <c r="AD80" s="280" t="s">
        <v>453</v>
      </c>
      <c r="AE80" s="282" t="s">
        <v>455</v>
      </c>
    </row>
    <row r="81" spans="15:31">
      <c r="O81" s="61" t="str">
        <f>IF(月途中入退所情報!$D31=$B$2,月途中入退所情報!F31,"-")</f>
        <v>-</v>
      </c>
      <c r="P81" s="61" t="str">
        <f>IF(月途中入退所情報!$D31=$B$2,月途中入退所情報!G31,"-")</f>
        <v>-</v>
      </c>
      <c r="Q81" s="61" t="str">
        <f>IF(月途中入退所情報!$D31=$B$2,月途中入退所情報!H31,"-")</f>
        <v>-</v>
      </c>
      <c r="R81" s="61" t="str">
        <f>IF(月途中入退所情報!$D31=$B$2,月途中入退所情報!I31,"-")</f>
        <v>-</v>
      </c>
      <c r="S81" s="61" t="str">
        <f>IF(月途中入退所情報!$D31=$B$2,月途中入退所情報!J31,"-")</f>
        <v>-</v>
      </c>
      <c r="T81" s="84">
        <f>IF($Q81="標準時間",HLOOKUP($P81,$F$31:$I$54,24,FALSE)-SUM($F$10,$F$21:$F$24,$F$26)-HLOOKUP($P81,$F$31:$I$54,17,FALSE)+HLOOKUP($P81,$F$31:$I$56,26,FALSE),IF($Q81="短時間",HLOOKUP($P81,$J$31:$M$54,24,FALSE)-SUM($F$10,$F$21:$F$24,$F$26)-HLOOKUP($P81,$J$31:$M$54,17,FALSE)+HLOOKUP($P81,$J$31:$M$56,26,FALSE),0))+IF(R81="○",加算と減算!$AH$3,0)</f>
        <v>0</v>
      </c>
      <c r="U81" s="85">
        <f t="shared" ref="U81:U100" si="55">IFERROR(ROUNDDOWN(T81*S81/25,-1),0)</f>
        <v>0</v>
      </c>
      <c r="V81" s="262">
        <f>IFERROR(ROUNDDOWN(IF($Q81="標準時間",HLOOKUP($P81,$F$31:$I$55,25,FALSE),IF($Q81="短時間",HLOOKUP($P81,$J$31:$M$55,25,FALSE),0))*S81/25,-1),0)</f>
        <v>0</v>
      </c>
      <c r="W81" s="262"/>
      <c r="X81" s="61" t="str">
        <f>IF(月途中入退所情報!$N31=$B$2,月途中入退所情報!$P31,"-")</f>
        <v>-</v>
      </c>
      <c r="Y81" s="61" t="str">
        <f>IF(月途中入退所情報!$N31=$B$2,月途中入退所情報!$Q31,"-")</f>
        <v>-</v>
      </c>
      <c r="Z81" s="61" t="str">
        <f>IF(月途中入退所情報!$N31=$B$2,月途中入退所情報!$R31,"-")</f>
        <v>-</v>
      </c>
      <c r="AA81" s="61" t="str">
        <f>IF(月途中入退所情報!$N31=$B$2,月途中入退所情報!$S31,"-")</f>
        <v>-</v>
      </c>
      <c r="AB81" s="61" t="str">
        <f>IF(月途中入退所情報!$N31=$B$2,月途中入退所情報!$T31,"-")</f>
        <v>-</v>
      </c>
      <c r="AC81" s="84">
        <f>IF($Z81="標準時間",HLOOKUP($Y81,$F$31:$I$54,24,FALSE)-SUM($F$10,$F$21:$F$24,$F$26)-HLOOKUP($Y81,$F$31:$I$54,17,FALSE)+HLOOKUP($Y81,$F$31:$I$56,26,FALSE),IF($Z81="短時間",HLOOKUP($Y81,$J$31:$M$54,24,FALSE)-SUM($F$10,$F$21:$F$24,$F$26)-HLOOKUP($Y81,$J$31:$M$54,17,FALSE)+HLOOKUP($Y81,$J$31:$M$56,26,FALSE),0))+IF(AA81="○",加算と減算!$AH$3,0)</f>
        <v>0</v>
      </c>
      <c r="AD81" s="85">
        <f t="shared" ref="AD81:AD100" si="56">IFERROR(-ROUNDUP(AC81*AB81/25,-1),0)</f>
        <v>0</v>
      </c>
      <c r="AE81" s="262">
        <f t="shared" ref="AE81:AE100" si="57">IFERROR(-ROUNDUP(IF($Z81="標準時間",HLOOKUP($Y81,$F$31:$I$55,25,FALSE),IF($Z81="短時間",HLOOKUP($Y81,$J$31:$M$55,25,FALSE),0))*AB81/25,-1),0)</f>
        <v>0</v>
      </c>
    </row>
    <row r="82" spans="15:31">
      <c r="O82" s="61" t="str">
        <f>IF(月途中入退所情報!$D32=$B$2,月途中入退所情報!F32,"-")</f>
        <v>-</v>
      </c>
      <c r="P82" s="61" t="str">
        <f>IF(月途中入退所情報!$D32=$B$2,月途中入退所情報!G32,"-")</f>
        <v>-</v>
      </c>
      <c r="Q82" s="61" t="str">
        <f>IF(月途中入退所情報!$D32=$B$2,月途中入退所情報!H32,"-")</f>
        <v>-</v>
      </c>
      <c r="R82" s="61" t="str">
        <f>IF(月途中入退所情報!$D32=$B$2,月途中入退所情報!I32,"-")</f>
        <v>-</v>
      </c>
      <c r="S82" s="61" t="str">
        <f>IF(月途中入退所情報!$D32=$B$2,月途中入退所情報!J32,"-")</f>
        <v>-</v>
      </c>
      <c r="T82" s="84">
        <f>IF($Q82="標準時間",HLOOKUP($P82,$F$31:$I$54,24,FALSE)-SUM($F$10,$F$21:$F$24,$F$26)-HLOOKUP($P82,$F$31:$I$54,17,FALSE)+HLOOKUP($P82,$F$31:$I$56,26,FALSE),IF($Q82="短時間",HLOOKUP($P82,$J$31:$M$54,24,FALSE)-SUM($F$10,$F$21:$F$24,$F$26)-HLOOKUP($P82,$J$31:$M$54,17,FALSE)+HLOOKUP($P82,$J$31:$M$56,26,FALSE),0))+IF(R82="○",加算と減算!$AH$3,0)</f>
        <v>0</v>
      </c>
      <c r="U82" s="85">
        <f t="shared" si="55"/>
        <v>0</v>
      </c>
      <c r="V82" s="262">
        <f t="shared" ref="V82:V100" si="58">IFERROR(ROUNDDOWN(IF($Q82="標準時間",HLOOKUP($P82,$F$31:$I$55,25,FALSE),IF($Q82="短時間",HLOOKUP($P82,$J$31:$M$55,25,FALSE),0))*S82/25,-1),0)</f>
        <v>0</v>
      </c>
      <c r="W82" s="262"/>
      <c r="X82" s="61" t="str">
        <f>IF(月途中入退所情報!$N32=$B$2,月途中入退所情報!$P32,"-")</f>
        <v>-</v>
      </c>
      <c r="Y82" s="61" t="str">
        <f>IF(月途中入退所情報!$N32=$B$2,月途中入退所情報!$Q32,"-")</f>
        <v>-</v>
      </c>
      <c r="Z82" s="61" t="str">
        <f>IF(月途中入退所情報!$N32=$B$2,月途中入退所情報!$R32,"-")</f>
        <v>-</v>
      </c>
      <c r="AA82" s="61" t="str">
        <f>IF(月途中入退所情報!$N32=$B$2,月途中入退所情報!$S32,"-")</f>
        <v>-</v>
      </c>
      <c r="AB82" s="61" t="str">
        <f>IF(月途中入退所情報!$N32=$B$2,月途中入退所情報!$T32,"-")</f>
        <v>-</v>
      </c>
      <c r="AC82" s="84">
        <f>IF($Z82="標準時間",HLOOKUP($Y82,$F$31:$I$54,24,FALSE)-SUM($F$10,$F$21:$F$24,$F$26)-HLOOKUP($Y82,$F$31:$I$54,17,FALSE)+HLOOKUP($Y82,$F$31:$I$56,26,FALSE),IF($Z82="短時間",HLOOKUP($Y82,$J$31:$M$54,24,FALSE)-SUM($F$10,$F$21:$F$24,$F$26)-HLOOKUP($Y82,$J$31:$M$54,17,FALSE)+HLOOKUP($Y82,$J$31:$M$56,26,FALSE),0))+IF(AA82="○",加算と減算!$AH$3,0)</f>
        <v>0</v>
      </c>
      <c r="AD82" s="85">
        <f t="shared" si="56"/>
        <v>0</v>
      </c>
      <c r="AE82" s="262">
        <f t="shared" si="57"/>
        <v>0</v>
      </c>
    </row>
    <row r="83" spans="15:31">
      <c r="O83" s="61" t="str">
        <f>IF(月途中入退所情報!$D33=$B$2,月途中入退所情報!F33,"-")</f>
        <v>-</v>
      </c>
      <c r="P83" s="61" t="str">
        <f>IF(月途中入退所情報!$D33=$B$2,月途中入退所情報!G33,"-")</f>
        <v>-</v>
      </c>
      <c r="Q83" s="61" t="str">
        <f>IF(月途中入退所情報!$D33=$B$2,月途中入退所情報!H33,"-")</f>
        <v>-</v>
      </c>
      <c r="R83" s="61" t="str">
        <f>IF(月途中入退所情報!$D33=$B$2,月途中入退所情報!I33,"-")</f>
        <v>-</v>
      </c>
      <c r="S83" s="61" t="str">
        <f>IF(月途中入退所情報!$D33=$B$2,月途中入退所情報!J33,"-")</f>
        <v>-</v>
      </c>
      <c r="T83" s="84">
        <f>IF($Q83="標準時間",HLOOKUP($P83,$F$31:$I$54,24,FALSE)-SUM($F$10,$F$21:$F$24,$F$26)-HLOOKUP($P83,$F$31:$I$54,17,FALSE)+HLOOKUP($P83,$F$31:$I$56,26,FALSE),IF($Q83="短時間",HLOOKUP($P83,$J$31:$M$54,24,FALSE)-SUM($F$10,$F$21:$F$24,$F$26)-HLOOKUP($P83,$J$31:$M$54,17,FALSE)+HLOOKUP($P83,$J$31:$M$56,26,FALSE),0))+IF(R83="○",加算と減算!$AH$3,0)</f>
        <v>0</v>
      </c>
      <c r="U83" s="85">
        <f t="shared" si="55"/>
        <v>0</v>
      </c>
      <c r="V83" s="262">
        <f t="shared" si="58"/>
        <v>0</v>
      </c>
      <c r="W83" s="262"/>
      <c r="X83" s="61" t="str">
        <f>IF(月途中入退所情報!$N33=$B$2,月途中入退所情報!$P33,"-")</f>
        <v>-</v>
      </c>
      <c r="Y83" s="61" t="str">
        <f>IF(月途中入退所情報!$N33=$B$2,月途中入退所情報!$Q33,"-")</f>
        <v>-</v>
      </c>
      <c r="Z83" s="61" t="str">
        <f>IF(月途中入退所情報!$N33=$B$2,月途中入退所情報!$R33,"-")</f>
        <v>-</v>
      </c>
      <c r="AA83" s="61" t="str">
        <f>IF(月途中入退所情報!$N33=$B$2,月途中入退所情報!$S33,"-")</f>
        <v>-</v>
      </c>
      <c r="AB83" s="61" t="str">
        <f>IF(月途中入退所情報!$N33=$B$2,月途中入退所情報!$T33,"-")</f>
        <v>-</v>
      </c>
      <c r="AC83" s="84">
        <f>IF($Z83="標準時間",HLOOKUP($Y83,$F$31:$I$54,24,FALSE)-SUM($F$10,$F$21:$F$24,$F$26)-HLOOKUP($Y83,$F$31:$I$54,17,FALSE)+HLOOKUP($Y83,$F$31:$I$56,26,FALSE),IF($Z83="短時間",HLOOKUP($Y83,$J$31:$M$54,24,FALSE)-SUM($F$10,$F$21:$F$24,$F$26)-HLOOKUP($Y83,$J$31:$M$54,17,FALSE)+HLOOKUP($Y83,$J$31:$M$56,26,FALSE),0))+IF(AA83="○",加算と減算!$AH$3,0)</f>
        <v>0</v>
      </c>
      <c r="AD83" s="85">
        <f t="shared" si="56"/>
        <v>0</v>
      </c>
      <c r="AE83" s="262">
        <f t="shared" si="57"/>
        <v>0</v>
      </c>
    </row>
    <row r="84" spans="15:31">
      <c r="O84" s="61" t="str">
        <f>IF(月途中入退所情報!$D34=$B$2,月途中入退所情報!F34,"-")</f>
        <v>-</v>
      </c>
      <c r="P84" s="61" t="str">
        <f>IF(月途中入退所情報!$D34=$B$2,月途中入退所情報!G34,"-")</f>
        <v>-</v>
      </c>
      <c r="Q84" s="61" t="str">
        <f>IF(月途中入退所情報!$D34=$B$2,月途中入退所情報!H34,"-")</f>
        <v>-</v>
      </c>
      <c r="R84" s="61" t="str">
        <f>IF(月途中入退所情報!$D34=$B$2,月途中入退所情報!I34,"-")</f>
        <v>-</v>
      </c>
      <c r="S84" s="61" t="str">
        <f>IF(月途中入退所情報!$D34=$B$2,月途中入退所情報!J34,"-")</f>
        <v>-</v>
      </c>
      <c r="T84" s="84">
        <f>IF($Q84="標準時間",HLOOKUP($P84,$F$31:$I$54,24,FALSE)-SUM($F$10,$F$21:$F$24,$F$26)-HLOOKUP($P84,$F$31:$I$54,17,FALSE)+HLOOKUP($P84,$F$31:$I$56,26,FALSE),IF($Q84="短時間",HLOOKUP($P84,$J$31:$M$54,24,FALSE)-SUM($F$10,$F$21:$F$24,$F$26)-HLOOKUP($P84,$J$31:$M$54,17,FALSE)+HLOOKUP($P84,$J$31:$M$56,26,FALSE),0))+IF(R84="○",加算と減算!$AH$3,0)</f>
        <v>0</v>
      </c>
      <c r="U84" s="85">
        <f t="shared" si="55"/>
        <v>0</v>
      </c>
      <c r="V84" s="262">
        <f t="shared" si="58"/>
        <v>0</v>
      </c>
      <c r="W84" s="262"/>
      <c r="X84" s="61" t="str">
        <f>IF(月途中入退所情報!$N34=$B$2,月途中入退所情報!$P34,"-")</f>
        <v>-</v>
      </c>
      <c r="Y84" s="61" t="str">
        <f>IF(月途中入退所情報!$N34=$B$2,月途中入退所情報!$Q34,"-")</f>
        <v>-</v>
      </c>
      <c r="Z84" s="61" t="str">
        <f>IF(月途中入退所情報!$N34=$B$2,月途中入退所情報!$R34,"-")</f>
        <v>-</v>
      </c>
      <c r="AA84" s="61" t="str">
        <f>IF(月途中入退所情報!$N34=$B$2,月途中入退所情報!$S34,"-")</f>
        <v>-</v>
      </c>
      <c r="AB84" s="61" t="str">
        <f>IF(月途中入退所情報!$N34=$B$2,月途中入退所情報!$T34,"-")</f>
        <v>-</v>
      </c>
      <c r="AC84" s="84">
        <f>IF($Z84="標準時間",HLOOKUP($Y84,$F$31:$I$54,24,FALSE)-SUM($F$10,$F$21:$F$24,$F$26)-HLOOKUP($Y84,$F$31:$I$54,17,FALSE)+HLOOKUP($Y84,$F$31:$I$56,26,FALSE),IF($Z84="短時間",HLOOKUP($Y84,$J$31:$M$54,24,FALSE)-SUM($F$10,$F$21:$F$24,$F$26)-HLOOKUP($Y84,$J$31:$M$54,17,FALSE)+HLOOKUP($Y84,$J$31:$M$56,26,FALSE),0))+IF(AA84="○",加算と減算!$AH$3,0)</f>
        <v>0</v>
      </c>
      <c r="AD84" s="85">
        <f t="shared" si="56"/>
        <v>0</v>
      </c>
      <c r="AE84" s="262">
        <f t="shared" si="57"/>
        <v>0</v>
      </c>
    </row>
    <row r="85" spans="15:31">
      <c r="O85" s="61" t="str">
        <f>IF(月途中入退所情報!$D35=$B$2,月途中入退所情報!F35,"-")</f>
        <v>-</v>
      </c>
      <c r="P85" s="61" t="str">
        <f>IF(月途中入退所情報!$D35=$B$2,月途中入退所情報!G35,"-")</f>
        <v>-</v>
      </c>
      <c r="Q85" s="61" t="str">
        <f>IF(月途中入退所情報!$D35=$B$2,月途中入退所情報!H35,"-")</f>
        <v>-</v>
      </c>
      <c r="R85" s="61" t="str">
        <f>IF(月途中入退所情報!$D35=$B$2,月途中入退所情報!I35,"-")</f>
        <v>-</v>
      </c>
      <c r="S85" s="61" t="str">
        <f>IF(月途中入退所情報!$D35=$B$2,月途中入退所情報!J35,"-")</f>
        <v>-</v>
      </c>
      <c r="T85" s="84">
        <f>IF($Q85="標準時間",HLOOKUP($P85,$F$31:$I$54,24,FALSE)-SUM($F$10,$F$21:$F$24,$F$26)-HLOOKUP($P85,$F$31:$I$54,17,FALSE)+HLOOKUP($P85,$F$31:$I$56,26,FALSE),IF($Q85="短時間",HLOOKUP($P85,$J$31:$M$54,24,FALSE)-SUM($F$10,$F$21:$F$24,$F$26)-HLOOKUP($P85,$J$31:$M$54,17,FALSE)+HLOOKUP($P85,$J$31:$M$56,26,FALSE),0))+IF(R85="○",加算と減算!$AH$3,0)</f>
        <v>0</v>
      </c>
      <c r="U85" s="85">
        <f t="shared" si="55"/>
        <v>0</v>
      </c>
      <c r="V85" s="262">
        <f t="shared" si="58"/>
        <v>0</v>
      </c>
      <c r="W85" s="262"/>
      <c r="X85" s="61" t="str">
        <f>IF(月途中入退所情報!$N35=$B$2,月途中入退所情報!$P35,"-")</f>
        <v>-</v>
      </c>
      <c r="Y85" s="61" t="str">
        <f>IF(月途中入退所情報!$N35=$B$2,月途中入退所情報!$Q35,"-")</f>
        <v>-</v>
      </c>
      <c r="Z85" s="61" t="str">
        <f>IF(月途中入退所情報!$N35=$B$2,月途中入退所情報!$R35,"-")</f>
        <v>-</v>
      </c>
      <c r="AA85" s="61" t="str">
        <f>IF(月途中入退所情報!$N35=$B$2,月途中入退所情報!$S35,"-")</f>
        <v>-</v>
      </c>
      <c r="AB85" s="61" t="str">
        <f>IF(月途中入退所情報!$N35=$B$2,月途中入退所情報!$T35,"-")</f>
        <v>-</v>
      </c>
      <c r="AC85" s="84">
        <f>IF($Z85="標準時間",HLOOKUP($Y85,$F$31:$I$54,24,FALSE)-SUM($F$10,$F$21:$F$24,$F$26)-HLOOKUP($Y85,$F$31:$I$54,17,FALSE)+HLOOKUP($Y85,$F$31:$I$56,26,FALSE),IF($Z85="短時間",HLOOKUP($Y85,$J$31:$M$54,24,FALSE)-SUM($F$10,$F$21:$F$24,$F$26)-HLOOKUP($Y85,$J$31:$M$54,17,FALSE)+HLOOKUP($Y85,$J$31:$M$56,26,FALSE),0))+IF(AA85="○",加算と減算!$AH$3,0)</f>
        <v>0</v>
      </c>
      <c r="AD85" s="85">
        <f t="shared" si="56"/>
        <v>0</v>
      </c>
      <c r="AE85" s="262">
        <f t="shared" si="57"/>
        <v>0</v>
      </c>
    </row>
    <row r="86" spans="15:31">
      <c r="O86" s="61" t="str">
        <f>IF(月途中入退所情報!$D36=$B$2,月途中入退所情報!F36,"-")</f>
        <v>-</v>
      </c>
      <c r="P86" s="61" t="str">
        <f>IF(月途中入退所情報!$D36=$B$2,月途中入退所情報!G36,"-")</f>
        <v>-</v>
      </c>
      <c r="Q86" s="61" t="str">
        <f>IF(月途中入退所情報!$D36=$B$2,月途中入退所情報!H36,"-")</f>
        <v>-</v>
      </c>
      <c r="R86" s="61" t="str">
        <f>IF(月途中入退所情報!$D36=$B$2,月途中入退所情報!I36,"-")</f>
        <v>-</v>
      </c>
      <c r="S86" s="61" t="str">
        <f>IF(月途中入退所情報!$D36=$B$2,月途中入退所情報!J36,"-")</f>
        <v>-</v>
      </c>
      <c r="T86" s="84">
        <f>IF($Q86="標準時間",HLOOKUP($P86,$F$31:$I$54,24,FALSE)-SUM($F$10,$F$21:$F$24,$F$26)-HLOOKUP($P86,$F$31:$I$54,17,FALSE)+HLOOKUP($P86,$F$31:$I$56,26,FALSE),IF($Q86="短時間",HLOOKUP($P86,$J$31:$M$54,24,FALSE)-SUM($F$10,$F$21:$F$24,$F$26)-HLOOKUP($P86,$J$31:$M$54,17,FALSE)+HLOOKUP($P86,$J$31:$M$56,26,FALSE),0))+IF(R86="○",加算と減算!$AH$3,0)</f>
        <v>0</v>
      </c>
      <c r="U86" s="85">
        <f t="shared" si="55"/>
        <v>0</v>
      </c>
      <c r="V86" s="262">
        <f t="shared" si="58"/>
        <v>0</v>
      </c>
      <c r="W86" s="262"/>
      <c r="X86" s="61" t="str">
        <f>IF(月途中入退所情報!$N36=$B$2,月途中入退所情報!$P36,"-")</f>
        <v>-</v>
      </c>
      <c r="Y86" s="61" t="str">
        <f>IF(月途中入退所情報!$N36=$B$2,月途中入退所情報!$Q36,"-")</f>
        <v>-</v>
      </c>
      <c r="Z86" s="61" t="str">
        <f>IF(月途中入退所情報!$N36=$B$2,月途中入退所情報!$R36,"-")</f>
        <v>-</v>
      </c>
      <c r="AA86" s="61" t="str">
        <f>IF(月途中入退所情報!$N36=$B$2,月途中入退所情報!$S36,"-")</f>
        <v>-</v>
      </c>
      <c r="AB86" s="61" t="str">
        <f>IF(月途中入退所情報!$N36=$B$2,月途中入退所情報!$T36,"-")</f>
        <v>-</v>
      </c>
      <c r="AC86" s="84">
        <f>IF($Z86="標準時間",HLOOKUP($Y86,$F$31:$I$54,24,FALSE)-SUM($F$10,$F$21:$F$24,$F$26)-HLOOKUP($Y86,$F$31:$I$54,17,FALSE)+HLOOKUP($Y86,$F$31:$I$56,26,FALSE),IF($Z86="短時間",HLOOKUP($Y86,$J$31:$M$54,24,FALSE)-SUM($F$10,$F$21:$F$24,$F$26)-HLOOKUP($Y86,$J$31:$M$54,17,FALSE)+HLOOKUP($Y86,$J$31:$M$56,26,FALSE),0))+IF(AA86="○",加算と減算!$AH$3,0)</f>
        <v>0</v>
      </c>
      <c r="AD86" s="85">
        <f t="shared" si="56"/>
        <v>0</v>
      </c>
      <c r="AE86" s="262">
        <f t="shared" si="57"/>
        <v>0</v>
      </c>
    </row>
    <row r="87" spans="15:31">
      <c r="O87" s="61" t="str">
        <f>IF(月途中入退所情報!$D37=$B$2,月途中入退所情報!F37,"-")</f>
        <v>-</v>
      </c>
      <c r="P87" s="61" t="str">
        <f>IF(月途中入退所情報!$D37=$B$2,月途中入退所情報!G37,"-")</f>
        <v>-</v>
      </c>
      <c r="Q87" s="61" t="str">
        <f>IF(月途中入退所情報!$D37=$B$2,月途中入退所情報!H37,"-")</f>
        <v>-</v>
      </c>
      <c r="R87" s="61" t="str">
        <f>IF(月途中入退所情報!$D37=$B$2,月途中入退所情報!I37,"-")</f>
        <v>-</v>
      </c>
      <c r="S87" s="61" t="str">
        <f>IF(月途中入退所情報!$D37=$B$2,月途中入退所情報!J37,"-")</f>
        <v>-</v>
      </c>
      <c r="T87" s="84">
        <f>IF($Q87="標準時間",HLOOKUP($P87,$F$31:$I$54,24,FALSE)-SUM($F$10,$F$21:$F$24,$F$26)-HLOOKUP($P87,$F$31:$I$54,17,FALSE)+HLOOKUP($P87,$F$31:$I$56,26,FALSE),IF($Q87="短時間",HLOOKUP($P87,$J$31:$M$54,24,FALSE)-SUM($F$10,$F$21:$F$24,$F$26)-HLOOKUP($P87,$J$31:$M$54,17,FALSE)+HLOOKUP($P87,$J$31:$M$56,26,FALSE),0))+IF(R87="○",加算と減算!$AH$3,0)</f>
        <v>0</v>
      </c>
      <c r="U87" s="85">
        <f t="shared" si="55"/>
        <v>0</v>
      </c>
      <c r="V87" s="262">
        <f t="shared" si="58"/>
        <v>0</v>
      </c>
      <c r="W87" s="262"/>
      <c r="X87" s="61" t="str">
        <f>IF(月途中入退所情報!$N37=$B$2,月途中入退所情報!$P37,"-")</f>
        <v>-</v>
      </c>
      <c r="Y87" s="61" t="str">
        <f>IF(月途中入退所情報!$N37=$B$2,月途中入退所情報!$Q37,"-")</f>
        <v>-</v>
      </c>
      <c r="Z87" s="61" t="str">
        <f>IF(月途中入退所情報!$N37=$B$2,月途中入退所情報!$R37,"-")</f>
        <v>-</v>
      </c>
      <c r="AA87" s="61" t="str">
        <f>IF(月途中入退所情報!$N37=$B$2,月途中入退所情報!$S37,"-")</f>
        <v>-</v>
      </c>
      <c r="AB87" s="61" t="str">
        <f>IF(月途中入退所情報!$N37=$B$2,月途中入退所情報!$T37,"-")</f>
        <v>-</v>
      </c>
      <c r="AC87" s="84">
        <f>IF($Z87="標準時間",HLOOKUP($Y87,$F$31:$I$54,24,FALSE)-SUM($F$10,$F$21:$F$24,$F$26)-HLOOKUP($Y87,$F$31:$I$54,17,FALSE)+HLOOKUP($Y87,$F$31:$I$56,26,FALSE),IF($Z87="短時間",HLOOKUP($Y87,$J$31:$M$54,24,FALSE)-SUM($F$10,$F$21:$F$24,$F$26)-HLOOKUP($Y87,$J$31:$M$54,17,FALSE)+HLOOKUP($Y87,$J$31:$M$56,26,FALSE),0))+IF(AA87="○",加算と減算!$AH$3,0)</f>
        <v>0</v>
      </c>
      <c r="AD87" s="85">
        <f t="shared" si="56"/>
        <v>0</v>
      </c>
      <c r="AE87" s="262">
        <f t="shared" si="57"/>
        <v>0</v>
      </c>
    </row>
    <row r="88" spans="15:31">
      <c r="O88" s="61" t="str">
        <f>IF(月途中入退所情報!$D38=$B$2,月途中入退所情報!F38,"-")</f>
        <v>-</v>
      </c>
      <c r="P88" s="61" t="str">
        <f>IF(月途中入退所情報!$D38=$B$2,月途中入退所情報!G38,"-")</f>
        <v>-</v>
      </c>
      <c r="Q88" s="61" t="str">
        <f>IF(月途中入退所情報!$D38=$B$2,月途中入退所情報!H38,"-")</f>
        <v>-</v>
      </c>
      <c r="R88" s="61" t="str">
        <f>IF(月途中入退所情報!$D38=$B$2,月途中入退所情報!I38,"-")</f>
        <v>-</v>
      </c>
      <c r="S88" s="61" t="str">
        <f>IF(月途中入退所情報!$D38=$B$2,月途中入退所情報!J38,"-")</f>
        <v>-</v>
      </c>
      <c r="T88" s="84">
        <f>IF($Q88="標準時間",HLOOKUP($P88,$F$31:$I$54,24,FALSE)-SUM($F$10,$F$21:$F$24,$F$26)-HLOOKUP($P88,$F$31:$I$54,17,FALSE)+HLOOKUP($P88,$F$31:$I$56,26,FALSE),IF($Q88="短時間",HLOOKUP($P88,$J$31:$M$54,24,FALSE)-SUM($F$10,$F$21:$F$24,$F$26)-HLOOKUP($P88,$J$31:$M$54,17,FALSE)+HLOOKUP($P88,$J$31:$M$56,26,FALSE),0))+IF(R88="○",加算と減算!$AH$3,0)</f>
        <v>0</v>
      </c>
      <c r="U88" s="85">
        <f t="shared" si="55"/>
        <v>0</v>
      </c>
      <c r="V88" s="262">
        <f t="shared" si="58"/>
        <v>0</v>
      </c>
      <c r="W88" s="262"/>
      <c r="X88" s="61" t="str">
        <f>IF(月途中入退所情報!$N38=$B$2,月途中入退所情報!$P38,"-")</f>
        <v>-</v>
      </c>
      <c r="Y88" s="61" t="str">
        <f>IF(月途中入退所情報!$N38=$B$2,月途中入退所情報!$Q38,"-")</f>
        <v>-</v>
      </c>
      <c r="Z88" s="61" t="str">
        <f>IF(月途中入退所情報!$N38=$B$2,月途中入退所情報!$R38,"-")</f>
        <v>-</v>
      </c>
      <c r="AA88" s="61" t="str">
        <f>IF(月途中入退所情報!$N38=$B$2,月途中入退所情報!$S38,"-")</f>
        <v>-</v>
      </c>
      <c r="AB88" s="61" t="str">
        <f>IF(月途中入退所情報!$N38=$B$2,月途中入退所情報!$T38,"-")</f>
        <v>-</v>
      </c>
      <c r="AC88" s="84">
        <f>IF($Z88="標準時間",HLOOKUP($Y88,$F$31:$I$54,24,FALSE)-SUM($F$10,$F$21:$F$24,$F$26)-HLOOKUP($Y88,$F$31:$I$54,17,FALSE)+HLOOKUP($Y88,$F$31:$I$56,26,FALSE),IF($Z88="短時間",HLOOKUP($Y88,$J$31:$M$54,24,FALSE)-SUM($F$10,$F$21:$F$24,$F$26)-HLOOKUP($Y88,$J$31:$M$54,17,FALSE)+HLOOKUP($Y88,$J$31:$M$56,26,FALSE),0))+IF(AA88="○",加算と減算!$AH$3,0)</f>
        <v>0</v>
      </c>
      <c r="AD88" s="85">
        <f t="shared" si="56"/>
        <v>0</v>
      </c>
      <c r="AE88" s="262">
        <f t="shared" si="57"/>
        <v>0</v>
      </c>
    </row>
    <row r="89" spans="15:31">
      <c r="O89" s="61" t="str">
        <f>IF(月途中入退所情報!$D39=$B$2,月途中入退所情報!F39,"-")</f>
        <v>-</v>
      </c>
      <c r="P89" s="61" t="str">
        <f>IF(月途中入退所情報!$D39=$B$2,月途中入退所情報!G39,"-")</f>
        <v>-</v>
      </c>
      <c r="Q89" s="61" t="str">
        <f>IF(月途中入退所情報!$D39=$B$2,月途中入退所情報!H39,"-")</f>
        <v>-</v>
      </c>
      <c r="R89" s="61" t="str">
        <f>IF(月途中入退所情報!$D39=$B$2,月途中入退所情報!I39,"-")</f>
        <v>-</v>
      </c>
      <c r="S89" s="61" t="str">
        <f>IF(月途中入退所情報!$D39=$B$2,月途中入退所情報!J39,"-")</f>
        <v>-</v>
      </c>
      <c r="T89" s="84">
        <f>IF($Q89="標準時間",HLOOKUP($P89,$F$31:$I$54,24,FALSE)-SUM($F$10,$F$21:$F$24,$F$26)-HLOOKUP($P89,$F$31:$I$54,17,FALSE)+HLOOKUP($P89,$F$31:$I$56,26,FALSE),IF($Q89="短時間",HLOOKUP($P89,$J$31:$M$54,24,FALSE)-SUM($F$10,$F$21:$F$24,$F$26)-HLOOKUP($P89,$J$31:$M$54,17,FALSE)+HLOOKUP($P89,$J$31:$M$56,26,FALSE),0))+IF(R89="○",加算と減算!$AH$3,0)</f>
        <v>0</v>
      </c>
      <c r="U89" s="85">
        <f t="shared" si="55"/>
        <v>0</v>
      </c>
      <c r="V89" s="262">
        <f t="shared" si="58"/>
        <v>0</v>
      </c>
      <c r="W89" s="262"/>
      <c r="X89" s="61" t="str">
        <f>IF(月途中入退所情報!$N39=$B$2,月途中入退所情報!$P39,"-")</f>
        <v>-</v>
      </c>
      <c r="Y89" s="61" t="str">
        <f>IF(月途中入退所情報!$N39=$B$2,月途中入退所情報!$Q39,"-")</f>
        <v>-</v>
      </c>
      <c r="Z89" s="61" t="str">
        <f>IF(月途中入退所情報!$N39=$B$2,月途中入退所情報!$R39,"-")</f>
        <v>-</v>
      </c>
      <c r="AA89" s="61" t="str">
        <f>IF(月途中入退所情報!$N39=$B$2,月途中入退所情報!$S39,"-")</f>
        <v>-</v>
      </c>
      <c r="AB89" s="61" t="str">
        <f>IF(月途中入退所情報!$N39=$B$2,月途中入退所情報!$T39,"-")</f>
        <v>-</v>
      </c>
      <c r="AC89" s="84">
        <f>IF($Z89="標準時間",HLOOKUP($Y89,$F$31:$I$54,24,FALSE)-SUM($F$10,$F$21:$F$24,$F$26)-HLOOKUP($Y89,$F$31:$I$54,17,FALSE)+HLOOKUP($Y89,$F$31:$I$56,26,FALSE),IF($Z89="短時間",HLOOKUP($Y89,$J$31:$M$54,24,FALSE)-SUM($F$10,$F$21:$F$24,$F$26)-HLOOKUP($Y89,$J$31:$M$54,17,FALSE)+HLOOKUP($Y89,$J$31:$M$56,26,FALSE),0))+IF(AA89="○",加算と減算!$AH$3,0)</f>
        <v>0</v>
      </c>
      <c r="AD89" s="85">
        <f t="shared" si="56"/>
        <v>0</v>
      </c>
      <c r="AE89" s="262">
        <f t="shared" si="57"/>
        <v>0</v>
      </c>
    </row>
    <row r="90" spans="15:31">
      <c r="O90" s="61" t="str">
        <f>IF(月途中入退所情報!$D40=$B$2,月途中入退所情報!F40,"-")</f>
        <v>-</v>
      </c>
      <c r="P90" s="61" t="str">
        <f>IF(月途中入退所情報!$D40=$B$2,月途中入退所情報!G40,"-")</f>
        <v>-</v>
      </c>
      <c r="Q90" s="61" t="str">
        <f>IF(月途中入退所情報!$D40=$B$2,月途中入退所情報!H40,"-")</f>
        <v>-</v>
      </c>
      <c r="R90" s="61" t="str">
        <f>IF(月途中入退所情報!$D40=$B$2,月途中入退所情報!I40,"-")</f>
        <v>-</v>
      </c>
      <c r="S90" s="61" t="str">
        <f>IF(月途中入退所情報!$D40=$B$2,月途中入退所情報!J40,"-")</f>
        <v>-</v>
      </c>
      <c r="T90" s="84">
        <f>IF($Q90="標準時間",HLOOKUP($P90,$F$31:$I$54,24,FALSE)-SUM($F$10,$F$21:$F$24,$F$26)-HLOOKUP($P90,$F$31:$I$54,17,FALSE)+HLOOKUP($P90,$F$31:$I$56,26,FALSE),IF($Q90="短時間",HLOOKUP($P90,$J$31:$M$54,24,FALSE)-SUM($F$10,$F$21:$F$24,$F$26)-HLOOKUP($P90,$J$31:$M$54,17,FALSE)+HLOOKUP($P90,$J$31:$M$56,26,FALSE),0))+IF(R90="○",加算と減算!$AH$3,0)</f>
        <v>0</v>
      </c>
      <c r="U90" s="85">
        <f t="shared" si="55"/>
        <v>0</v>
      </c>
      <c r="V90" s="262">
        <f t="shared" si="58"/>
        <v>0</v>
      </c>
      <c r="W90" s="262"/>
      <c r="X90" s="61" t="str">
        <f>IF(月途中入退所情報!$N40=$B$2,月途中入退所情報!$P40,"-")</f>
        <v>-</v>
      </c>
      <c r="Y90" s="61" t="str">
        <f>IF(月途中入退所情報!$N40=$B$2,月途中入退所情報!$Q40,"-")</f>
        <v>-</v>
      </c>
      <c r="Z90" s="61" t="str">
        <f>IF(月途中入退所情報!$N40=$B$2,月途中入退所情報!$R40,"-")</f>
        <v>-</v>
      </c>
      <c r="AA90" s="61" t="str">
        <f>IF(月途中入退所情報!$N40=$B$2,月途中入退所情報!$S40,"-")</f>
        <v>-</v>
      </c>
      <c r="AB90" s="61" t="str">
        <f>IF(月途中入退所情報!$N40=$B$2,月途中入退所情報!$T40,"-")</f>
        <v>-</v>
      </c>
      <c r="AC90" s="84">
        <f>IF($Z90="標準時間",HLOOKUP($Y90,$F$31:$I$54,24,FALSE)-SUM($F$10,$F$21:$F$24,$F$26)-HLOOKUP($Y90,$F$31:$I$54,17,FALSE)+HLOOKUP($Y90,$F$31:$I$56,26,FALSE),IF($Z90="短時間",HLOOKUP($Y90,$J$31:$M$54,24,FALSE)-SUM($F$10,$F$21:$F$24,$F$26)-HLOOKUP($Y90,$J$31:$M$54,17,FALSE)+HLOOKUP($Y90,$J$31:$M$56,26,FALSE),0))+IF(AA90="○",加算と減算!$AH$3,0)</f>
        <v>0</v>
      </c>
      <c r="AD90" s="85">
        <f t="shared" si="56"/>
        <v>0</v>
      </c>
      <c r="AE90" s="262">
        <f t="shared" si="57"/>
        <v>0</v>
      </c>
    </row>
    <row r="91" spans="15:31">
      <c r="O91" s="61" t="str">
        <f>IF(月途中入退所情報!$D41=$B$2,月途中入退所情報!F41,"-")</f>
        <v>-</v>
      </c>
      <c r="P91" s="61" t="str">
        <f>IF(月途中入退所情報!$D41=$B$2,月途中入退所情報!G41,"-")</f>
        <v>-</v>
      </c>
      <c r="Q91" s="61" t="str">
        <f>IF(月途中入退所情報!$D41=$B$2,月途中入退所情報!H41,"-")</f>
        <v>-</v>
      </c>
      <c r="R91" s="61" t="str">
        <f>IF(月途中入退所情報!$D41=$B$2,月途中入退所情報!I41,"-")</f>
        <v>-</v>
      </c>
      <c r="S91" s="61" t="str">
        <f>IF(月途中入退所情報!$D41=$B$2,月途中入退所情報!J41,"-")</f>
        <v>-</v>
      </c>
      <c r="T91" s="84">
        <f>IF($Q91="標準時間",HLOOKUP($P91,$F$31:$I$54,24,FALSE)-SUM($F$10,$F$21:$F$24,$F$26)-HLOOKUP($P91,$F$31:$I$54,17,FALSE)+HLOOKUP($P91,$F$31:$I$56,26,FALSE),IF($Q91="短時間",HLOOKUP($P91,$J$31:$M$54,24,FALSE)-SUM($F$10,$F$21:$F$24,$F$26)-HLOOKUP($P91,$J$31:$M$54,17,FALSE)+HLOOKUP($P91,$J$31:$M$56,26,FALSE),0))+IF(R91="○",加算と減算!$AH$3,0)</f>
        <v>0</v>
      </c>
      <c r="U91" s="85">
        <f t="shared" si="55"/>
        <v>0</v>
      </c>
      <c r="V91" s="262">
        <f t="shared" si="58"/>
        <v>0</v>
      </c>
      <c r="W91" s="262"/>
      <c r="X91" s="61" t="str">
        <f>IF(月途中入退所情報!$N41=$B$2,月途中入退所情報!$P41,"-")</f>
        <v>-</v>
      </c>
      <c r="Y91" s="61" t="str">
        <f>IF(月途中入退所情報!$N41=$B$2,月途中入退所情報!$Q41,"-")</f>
        <v>-</v>
      </c>
      <c r="Z91" s="61" t="str">
        <f>IF(月途中入退所情報!$N41=$B$2,月途中入退所情報!$R41,"-")</f>
        <v>-</v>
      </c>
      <c r="AA91" s="61" t="str">
        <f>IF(月途中入退所情報!$N41=$B$2,月途中入退所情報!$S41,"-")</f>
        <v>-</v>
      </c>
      <c r="AB91" s="61" t="str">
        <f>IF(月途中入退所情報!$N41=$B$2,月途中入退所情報!$T41,"-")</f>
        <v>-</v>
      </c>
      <c r="AC91" s="84">
        <f>IF($Z91="標準時間",HLOOKUP($Y91,$F$31:$I$54,24,FALSE)-SUM($F$10,$F$21:$F$24,$F$26)-HLOOKUP($Y91,$F$31:$I$54,17,FALSE)+HLOOKUP($Y91,$F$31:$I$56,26,FALSE),IF($Z91="短時間",HLOOKUP($Y91,$J$31:$M$54,24,FALSE)-SUM($F$10,$F$21:$F$24,$F$26)-HLOOKUP($Y91,$J$31:$M$54,17,FALSE)+HLOOKUP($Y91,$J$31:$M$56,26,FALSE),0))+IF(AA91="○",加算と減算!$AH$3,0)</f>
        <v>0</v>
      </c>
      <c r="AD91" s="85">
        <f t="shared" si="56"/>
        <v>0</v>
      </c>
      <c r="AE91" s="262">
        <f t="shared" si="57"/>
        <v>0</v>
      </c>
    </row>
    <row r="92" spans="15:31">
      <c r="O92" s="61" t="str">
        <f>IF(月途中入退所情報!$D42=$B$2,月途中入退所情報!F42,"-")</f>
        <v>-</v>
      </c>
      <c r="P92" s="61" t="str">
        <f>IF(月途中入退所情報!$D42=$B$2,月途中入退所情報!G42,"-")</f>
        <v>-</v>
      </c>
      <c r="Q92" s="61" t="str">
        <f>IF(月途中入退所情報!$D42=$B$2,月途中入退所情報!H42,"-")</f>
        <v>-</v>
      </c>
      <c r="R92" s="61" t="str">
        <f>IF(月途中入退所情報!$D42=$B$2,月途中入退所情報!I42,"-")</f>
        <v>-</v>
      </c>
      <c r="S92" s="61" t="str">
        <f>IF(月途中入退所情報!$D42=$B$2,月途中入退所情報!J42,"-")</f>
        <v>-</v>
      </c>
      <c r="T92" s="84">
        <f>IF($Q92="標準時間",HLOOKUP($P92,$F$31:$I$54,24,FALSE)-SUM($F$10,$F$21:$F$24,$F$26)-HLOOKUP($P92,$F$31:$I$54,17,FALSE)+HLOOKUP($P92,$F$31:$I$56,26,FALSE),IF($Q92="短時間",HLOOKUP($P92,$J$31:$M$54,24,FALSE)-SUM($F$10,$F$21:$F$24,$F$26)-HLOOKUP($P92,$J$31:$M$54,17,FALSE)+HLOOKUP($P92,$J$31:$M$56,26,FALSE),0))+IF(R92="○",加算と減算!$AH$3,0)</f>
        <v>0</v>
      </c>
      <c r="U92" s="85">
        <f t="shared" si="55"/>
        <v>0</v>
      </c>
      <c r="V92" s="262">
        <f t="shared" si="58"/>
        <v>0</v>
      </c>
      <c r="W92" s="262"/>
      <c r="X92" s="61" t="str">
        <f>IF(月途中入退所情報!$N42=$B$2,月途中入退所情報!$P42,"-")</f>
        <v>-</v>
      </c>
      <c r="Y92" s="61" t="str">
        <f>IF(月途中入退所情報!$N42=$B$2,月途中入退所情報!$Q42,"-")</f>
        <v>-</v>
      </c>
      <c r="Z92" s="61" t="str">
        <f>IF(月途中入退所情報!$N42=$B$2,月途中入退所情報!$R42,"-")</f>
        <v>-</v>
      </c>
      <c r="AA92" s="61" t="str">
        <f>IF(月途中入退所情報!$N42=$B$2,月途中入退所情報!$S42,"-")</f>
        <v>-</v>
      </c>
      <c r="AB92" s="61" t="str">
        <f>IF(月途中入退所情報!$N42=$B$2,月途中入退所情報!$T42,"-")</f>
        <v>-</v>
      </c>
      <c r="AC92" s="84">
        <f>IF($Z92="標準時間",HLOOKUP($Y92,$F$31:$I$54,24,FALSE)-SUM($F$10,$F$21:$F$24,$F$26)-HLOOKUP($Y92,$F$31:$I$54,17,FALSE)+HLOOKUP($Y92,$F$31:$I$56,26,FALSE),IF($Z92="短時間",HLOOKUP($Y92,$J$31:$M$54,24,FALSE)-SUM($F$10,$F$21:$F$24,$F$26)-HLOOKUP($Y92,$J$31:$M$54,17,FALSE)+HLOOKUP($Y92,$J$31:$M$56,26,FALSE),0))+IF(AA92="○",加算と減算!$AH$3,0)</f>
        <v>0</v>
      </c>
      <c r="AD92" s="85">
        <f t="shared" si="56"/>
        <v>0</v>
      </c>
      <c r="AE92" s="262">
        <f t="shared" si="57"/>
        <v>0</v>
      </c>
    </row>
    <row r="93" spans="15:31">
      <c r="O93" s="61" t="str">
        <f>IF(月途中入退所情報!$D43=$B$2,月途中入退所情報!F43,"-")</f>
        <v>-</v>
      </c>
      <c r="P93" s="61" t="str">
        <f>IF(月途中入退所情報!$D43=$B$2,月途中入退所情報!G43,"-")</f>
        <v>-</v>
      </c>
      <c r="Q93" s="61" t="str">
        <f>IF(月途中入退所情報!$D43=$B$2,月途中入退所情報!H43,"-")</f>
        <v>-</v>
      </c>
      <c r="R93" s="61" t="str">
        <f>IF(月途中入退所情報!$D43=$B$2,月途中入退所情報!I43,"-")</f>
        <v>-</v>
      </c>
      <c r="S93" s="61" t="str">
        <f>IF(月途中入退所情報!$D43=$B$2,月途中入退所情報!J43,"-")</f>
        <v>-</v>
      </c>
      <c r="T93" s="84">
        <f>IF($Q93="標準時間",HLOOKUP($P93,$F$31:$I$54,24,FALSE)-SUM($F$10,$F$21:$F$24,$F$26)-HLOOKUP($P93,$F$31:$I$54,17,FALSE)+HLOOKUP($P93,$F$31:$I$56,26,FALSE),IF($Q93="短時間",HLOOKUP($P93,$J$31:$M$54,24,FALSE)-SUM($F$10,$F$21:$F$24,$F$26)-HLOOKUP($P93,$J$31:$M$54,17,FALSE)+HLOOKUP($P93,$J$31:$M$56,26,FALSE),0))+IF(R93="○",加算と減算!$AH$3,0)</f>
        <v>0</v>
      </c>
      <c r="U93" s="85">
        <f t="shared" si="55"/>
        <v>0</v>
      </c>
      <c r="V93" s="262">
        <f t="shared" si="58"/>
        <v>0</v>
      </c>
      <c r="W93" s="262"/>
      <c r="X93" s="61" t="str">
        <f>IF(月途中入退所情報!$N43=$B$2,月途中入退所情報!$P43,"-")</f>
        <v>-</v>
      </c>
      <c r="Y93" s="61" t="str">
        <f>IF(月途中入退所情報!$N43=$B$2,月途中入退所情報!$Q43,"-")</f>
        <v>-</v>
      </c>
      <c r="Z93" s="61" t="str">
        <f>IF(月途中入退所情報!$N43=$B$2,月途中入退所情報!$R43,"-")</f>
        <v>-</v>
      </c>
      <c r="AA93" s="61" t="str">
        <f>IF(月途中入退所情報!$N43=$B$2,月途中入退所情報!$S43,"-")</f>
        <v>-</v>
      </c>
      <c r="AB93" s="61" t="str">
        <f>IF(月途中入退所情報!$N43=$B$2,月途中入退所情報!$T43,"-")</f>
        <v>-</v>
      </c>
      <c r="AC93" s="84">
        <f>IF($Z93="標準時間",HLOOKUP($Y93,$F$31:$I$54,24,FALSE)-SUM($F$10,$F$21:$F$24,$F$26)-HLOOKUP($Y93,$F$31:$I$54,17,FALSE)+HLOOKUP($Y93,$F$31:$I$56,26,FALSE),IF($Z93="短時間",HLOOKUP($Y93,$J$31:$M$54,24,FALSE)-SUM($F$10,$F$21:$F$24,$F$26)-HLOOKUP($Y93,$J$31:$M$54,17,FALSE)+HLOOKUP($Y93,$J$31:$M$56,26,FALSE),0))+IF(AA93="○",加算と減算!$AH$3,0)</f>
        <v>0</v>
      </c>
      <c r="AD93" s="85">
        <f t="shared" si="56"/>
        <v>0</v>
      </c>
      <c r="AE93" s="262">
        <f t="shared" si="57"/>
        <v>0</v>
      </c>
    </row>
    <row r="94" spans="15:31">
      <c r="O94" s="61" t="str">
        <f>IF(月途中入退所情報!$D44=$B$2,月途中入退所情報!F44,"-")</f>
        <v>-</v>
      </c>
      <c r="P94" s="61" t="str">
        <f>IF(月途中入退所情報!$D44=$B$2,月途中入退所情報!G44,"-")</f>
        <v>-</v>
      </c>
      <c r="Q94" s="61" t="str">
        <f>IF(月途中入退所情報!$D44=$B$2,月途中入退所情報!H44,"-")</f>
        <v>-</v>
      </c>
      <c r="R94" s="61" t="str">
        <f>IF(月途中入退所情報!$D44=$B$2,月途中入退所情報!I44,"-")</f>
        <v>-</v>
      </c>
      <c r="S94" s="61" t="str">
        <f>IF(月途中入退所情報!$D44=$B$2,月途中入退所情報!J44,"-")</f>
        <v>-</v>
      </c>
      <c r="T94" s="84">
        <f>IF($Q94="標準時間",HLOOKUP($P94,$F$31:$I$54,24,FALSE)-SUM($F$10,$F$21:$F$24,$F$26)-HLOOKUP($P94,$F$31:$I$54,17,FALSE)+HLOOKUP($P94,$F$31:$I$56,26,FALSE),IF($Q94="短時間",HLOOKUP($P94,$J$31:$M$54,24,FALSE)-SUM($F$10,$F$21:$F$24,$F$26)-HLOOKUP($P94,$J$31:$M$54,17,FALSE)+HLOOKUP($P94,$J$31:$M$56,26,FALSE),0))+IF(R94="○",加算と減算!$AH$3,0)</f>
        <v>0</v>
      </c>
      <c r="U94" s="85">
        <f t="shared" si="55"/>
        <v>0</v>
      </c>
      <c r="V94" s="262">
        <f t="shared" si="58"/>
        <v>0</v>
      </c>
      <c r="W94" s="262"/>
      <c r="X94" s="61" t="str">
        <f>IF(月途中入退所情報!$N44=$B$2,月途中入退所情報!$P44,"-")</f>
        <v>-</v>
      </c>
      <c r="Y94" s="61" t="str">
        <f>IF(月途中入退所情報!$N44=$B$2,月途中入退所情報!$Q44,"-")</f>
        <v>-</v>
      </c>
      <c r="Z94" s="61" t="str">
        <f>IF(月途中入退所情報!$N44=$B$2,月途中入退所情報!$R44,"-")</f>
        <v>-</v>
      </c>
      <c r="AA94" s="61" t="str">
        <f>IF(月途中入退所情報!$N44=$B$2,月途中入退所情報!$S44,"-")</f>
        <v>-</v>
      </c>
      <c r="AB94" s="61" t="str">
        <f>IF(月途中入退所情報!$N44=$B$2,月途中入退所情報!$T44,"-")</f>
        <v>-</v>
      </c>
      <c r="AC94" s="84">
        <f>IF($Z94="標準時間",HLOOKUP($Y94,$F$31:$I$54,24,FALSE)-SUM($F$10,$F$21:$F$24,$F$26)-HLOOKUP($Y94,$F$31:$I$54,17,FALSE)+HLOOKUP($Y94,$F$31:$I$56,26,FALSE),IF($Z94="短時間",HLOOKUP($Y94,$J$31:$M$54,24,FALSE)-SUM($F$10,$F$21:$F$24,$F$26)-HLOOKUP($Y94,$J$31:$M$54,17,FALSE)+HLOOKUP($Y94,$J$31:$M$56,26,FALSE),0))+IF(AA94="○",加算と減算!$AH$3,0)</f>
        <v>0</v>
      </c>
      <c r="AD94" s="85">
        <f t="shared" si="56"/>
        <v>0</v>
      </c>
      <c r="AE94" s="262">
        <f t="shared" si="57"/>
        <v>0</v>
      </c>
    </row>
    <row r="95" spans="15:31">
      <c r="O95" s="61" t="str">
        <f>IF(月途中入退所情報!$D45=$B$2,月途中入退所情報!F45,"-")</f>
        <v>-</v>
      </c>
      <c r="P95" s="61" t="str">
        <f>IF(月途中入退所情報!$D45=$B$2,月途中入退所情報!G45,"-")</f>
        <v>-</v>
      </c>
      <c r="Q95" s="61" t="str">
        <f>IF(月途中入退所情報!$D45=$B$2,月途中入退所情報!H45,"-")</f>
        <v>-</v>
      </c>
      <c r="R95" s="61" t="str">
        <f>IF(月途中入退所情報!$D45=$B$2,月途中入退所情報!I45,"-")</f>
        <v>-</v>
      </c>
      <c r="S95" s="61" t="str">
        <f>IF(月途中入退所情報!$D45=$B$2,月途中入退所情報!J45,"-")</f>
        <v>-</v>
      </c>
      <c r="T95" s="84">
        <f>IF($Q95="標準時間",HLOOKUP($P95,$F$31:$I$54,24,FALSE)-SUM($F$10,$F$21:$F$24,$F$26)-HLOOKUP($P95,$F$31:$I$54,17,FALSE)+HLOOKUP($P95,$F$31:$I$56,26,FALSE),IF($Q95="短時間",HLOOKUP($P95,$J$31:$M$54,24,FALSE)-SUM($F$10,$F$21:$F$24,$F$26)-HLOOKUP($P95,$J$31:$M$54,17,FALSE)+HLOOKUP($P95,$J$31:$M$56,26,FALSE),0))+IF(R95="○",加算と減算!$AH$3,0)</f>
        <v>0</v>
      </c>
      <c r="U95" s="85">
        <f t="shared" si="55"/>
        <v>0</v>
      </c>
      <c r="V95" s="262">
        <f t="shared" si="58"/>
        <v>0</v>
      </c>
      <c r="W95" s="262"/>
      <c r="X95" s="61" t="str">
        <f>IF(月途中入退所情報!$N45=$B$2,月途中入退所情報!$P45,"-")</f>
        <v>-</v>
      </c>
      <c r="Y95" s="61" t="str">
        <f>IF(月途中入退所情報!$N45=$B$2,月途中入退所情報!$Q45,"-")</f>
        <v>-</v>
      </c>
      <c r="Z95" s="61" t="str">
        <f>IF(月途中入退所情報!$N45=$B$2,月途中入退所情報!$R45,"-")</f>
        <v>-</v>
      </c>
      <c r="AA95" s="61" t="str">
        <f>IF(月途中入退所情報!$N45=$B$2,月途中入退所情報!$S45,"-")</f>
        <v>-</v>
      </c>
      <c r="AB95" s="61" t="str">
        <f>IF(月途中入退所情報!$N45=$B$2,月途中入退所情報!$T45,"-")</f>
        <v>-</v>
      </c>
      <c r="AC95" s="84">
        <f>IF($Z95="標準時間",HLOOKUP($Y95,$F$31:$I$54,24,FALSE)-SUM($F$10,$F$21:$F$24,$F$26)-HLOOKUP($Y95,$F$31:$I$54,17,FALSE)+HLOOKUP($Y95,$F$31:$I$56,26,FALSE),IF($Z95="短時間",HLOOKUP($Y95,$J$31:$M$54,24,FALSE)-SUM($F$10,$F$21:$F$24,$F$26)-HLOOKUP($Y95,$J$31:$M$54,17,FALSE)+HLOOKUP($Y95,$J$31:$M$56,26,FALSE),0))+IF(AA95="○",加算と減算!$AH$3,0)</f>
        <v>0</v>
      </c>
      <c r="AD95" s="85">
        <f t="shared" si="56"/>
        <v>0</v>
      </c>
      <c r="AE95" s="262">
        <f t="shared" si="57"/>
        <v>0</v>
      </c>
    </row>
    <row r="96" spans="15:31">
      <c r="O96" s="61" t="str">
        <f>IF(月途中入退所情報!$D46=$B$2,月途中入退所情報!F46,"-")</f>
        <v>-</v>
      </c>
      <c r="P96" s="61" t="str">
        <f>IF(月途中入退所情報!$D46=$B$2,月途中入退所情報!G46,"-")</f>
        <v>-</v>
      </c>
      <c r="Q96" s="61" t="str">
        <f>IF(月途中入退所情報!$D46=$B$2,月途中入退所情報!H46,"-")</f>
        <v>-</v>
      </c>
      <c r="R96" s="61" t="str">
        <f>IF(月途中入退所情報!$D46=$B$2,月途中入退所情報!I46,"-")</f>
        <v>-</v>
      </c>
      <c r="S96" s="61" t="str">
        <f>IF(月途中入退所情報!$D46=$B$2,月途中入退所情報!J46,"-")</f>
        <v>-</v>
      </c>
      <c r="T96" s="84">
        <f>IF($Q96="標準時間",HLOOKUP($P96,$F$31:$I$54,24,FALSE)-SUM($F$10,$F$21:$F$24,$F$26)-HLOOKUP($P96,$F$31:$I$54,17,FALSE)+HLOOKUP($P96,$F$31:$I$56,26,FALSE),IF($Q96="短時間",HLOOKUP($P96,$J$31:$M$54,24,FALSE)-SUM($F$10,$F$21:$F$24,$F$26)-HLOOKUP($P96,$J$31:$M$54,17,FALSE)+HLOOKUP($P96,$J$31:$M$56,26,FALSE),0))+IF(R96="○",加算と減算!$AH$3,0)</f>
        <v>0</v>
      </c>
      <c r="U96" s="85">
        <f t="shared" si="55"/>
        <v>0</v>
      </c>
      <c r="V96" s="262">
        <f t="shared" si="58"/>
        <v>0</v>
      </c>
      <c r="W96" s="262"/>
      <c r="X96" s="61" t="str">
        <f>IF(月途中入退所情報!$N46=$B$2,月途中入退所情報!$P46,"-")</f>
        <v>-</v>
      </c>
      <c r="Y96" s="61" t="str">
        <f>IF(月途中入退所情報!$N46=$B$2,月途中入退所情報!$Q46,"-")</f>
        <v>-</v>
      </c>
      <c r="Z96" s="61" t="str">
        <f>IF(月途中入退所情報!$N46=$B$2,月途中入退所情報!$R46,"-")</f>
        <v>-</v>
      </c>
      <c r="AA96" s="61" t="str">
        <f>IF(月途中入退所情報!$N46=$B$2,月途中入退所情報!$S46,"-")</f>
        <v>-</v>
      </c>
      <c r="AB96" s="61" t="str">
        <f>IF(月途中入退所情報!$N46=$B$2,月途中入退所情報!$T46,"-")</f>
        <v>-</v>
      </c>
      <c r="AC96" s="84">
        <f>IF($Z96="標準時間",HLOOKUP($Y96,$F$31:$I$54,24,FALSE)-SUM($F$10,$F$21:$F$24,$F$26)-HLOOKUP($Y96,$F$31:$I$54,17,FALSE)+HLOOKUP($Y96,$F$31:$I$56,26,FALSE),IF($Z96="短時間",HLOOKUP($Y96,$J$31:$M$54,24,FALSE)-SUM($F$10,$F$21:$F$24,$F$26)-HLOOKUP($Y96,$J$31:$M$54,17,FALSE)+HLOOKUP($Y96,$J$31:$M$56,26,FALSE),0))+IF(AA96="○",加算と減算!$AH$3,0)</f>
        <v>0</v>
      </c>
      <c r="AD96" s="85">
        <f t="shared" si="56"/>
        <v>0</v>
      </c>
      <c r="AE96" s="262">
        <f t="shared" si="57"/>
        <v>0</v>
      </c>
    </row>
    <row r="97" spans="15:31">
      <c r="O97" s="61" t="str">
        <f>IF(月途中入退所情報!$D47=$B$2,月途中入退所情報!F47,"-")</f>
        <v>-</v>
      </c>
      <c r="P97" s="61" t="str">
        <f>IF(月途中入退所情報!$D47=$B$2,月途中入退所情報!G47,"-")</f>
        <v>-</v>
      </c>
      <c r="Q97" s="61" t="str">
        <f>IF(月途中入退所情報!$D47=$B$2,月途中入退所情報!H47,"-")</f>
        <v>-</v>
      </c>
      <c r="R97" s="61" t="str">
        <f>IF(月途中入退所情報!$D47=$B$2,月途中入退所情報!I47,"-")</f>
        <v>-</v>
      </c>
      <c r="S97" s="61" t="str">
        <f>IF(月途中入退所情報!$D47=$B$2,月途中入退所情報!J47,"-")</f>
        <v>-</v>
      </c>
      <c r="T97" s="84">
        <f>IF($Q97="標準時間",HLOOKUP($P97,$F$31:$I$54,24,FALSE)-SUM($F$10,$F$21:$F$24,$F$26)-HLOOKUP($P97,$F$31:$I$54,17,FALSE)+HLOOKUP($P97,$F$31:$I$56,26,FALSE),IF($Q97="短時間",HLOOKUP($P97,$J$31:$M$54,24,FALSE)-SUM($F$10,$F$21:$F$24,$F$26)-HLOOKUP($P97,$J$31:$M$54,17,FALSE)+HLOOKUP($P97,$J$31:$M$56,26,FALSE),0))+IF(R97="○",加算と減算!$AH$3,0)</f>
        <v>0</v>
      </c>
      <c r="U97" s="85">
        <f t="shared" si="55"/>
        <v>0</v>
      </c>
      <c r="V97" s="262">
        <f t="shared" si="58"/>
        <v>0</v>
      </c>
      <c r="W97" s="262"/>
      <c r="X97" s="61" t="str">
        <f>IF(月途中入退所情報!$N47=$B$2,月途中入退所情報!$P47,"-")</f>
        <v>-</v>
      </c>
      <c r="Y97" s="61" t="str">
        <f>IF(月途中入退所情報!$N47=$B$2,月途中入退所情報!$Q47,"-")</f>
        <v>-</v>
      </c>
      <c r="Z97" s="61" t="str">
        <f>IF(月途中入退所情報!$N47=$B$2,月途中入退所情報!$R47,"-")</f>
        <v>-</v>
      </c>
      <c r="AA97" s="61" t="str">
        <f>IF(月途中入退所情報!$N47=$B$2,月途中入退所情報!$S47,"-")</f>
        <v>-</v>
      </c>
      <c r="AB97" s="61" t="str">
        <f>IF(月途中入退所情報!$N47=$B$2,月途中入退所情報!$T47,"-")</f>
        <v>-</v>
      </c>
      <c r="AC97" s="84">
        <f>IF($Z97="標準時間",HLOOKUP($Y97,$F$31:$I$54,24,FALSE)-SUM($F$10,$F$21:$F$24,$F$26)-HLOOKUP($Y97,$F$31:$I$54,17,FALSE)+HLOOKUP($Y97,$F$31:$I$56,26,FALSE),IF($Z97="短時間",HLOOKUP($Y97,$J$31:$M$54,24,FALSE)-SUM($F$10,$F$21:$F$24,$F$26)-HLOOKUP($Y97,$J$31:$M$54,17,FALSE)+HLOOKUP($Y97,$J$31:$M$56,26,FALSE),0))+IF(AA97="○",加算と減算!$AH$3,0)</f>
        <v>0</v>
      </c>
      <c r="AD97" s="85">
        <f t="shared" si="56"/>
        <v>0</v>
      </c>
      <c r="AE97" s="262">
        <f t="shared" si="57"/>
        <v>0</v>
      </c>
    </row>
    <row r="98" spans="15:31">
      <c r="O98" s="61" t="str">
        <f>IF(月途中入退所情報!$D48=$B$2,月途中入退所情報!F48,"-")</f>
        <v>-</v>
      </c>
      <c r="P98" s="61" t="str">
        <f>IF(月途中入退所情報!$D48=$B$2,月途中入退所情報!G48,"-")</f>
        <v>-</v>
      </c>
      <c r="Q98" s="61" t="str">
        <f>IF(月途中入退所情報!$D48=$B$2,月途中入退所情報!H48,"-")</f>
        <v>-</v>
      </c>
      <c r="R98" s="61" t="str">
        <f>IF(月途中入退所情報!$D48=$B$2,月途中入退所情報!I48,"-")</f>
        <v>-</v>
      </c>
      <c r="S98" s="61" t="str">
        <f>IF(月途中入退所情報!$D48=$B$2,月途中入退所情報!J48,"-")</f>
        <v>-</v>
      </c>
      <c r="T98" s="84">
        <f>IF($Q98="標準時間",HLOOKUP($P98,$F$31:$I$54,24,FALSE)-SUM($F$10,$F$21:$F$24,$F$26)-HLOOKUP($P98,$F$31:$I$54,17,FALSE)+HLOOKUP($P98,$F$31:$I$56,26,FALSE),IF($Q98="短時間",HLOOKUP($P98,$J$31:$M$54,24,FALSE)-SUM($F$10,$F$21:$F$24,$F$26)-HLOOKUP($P98,$J$31:$M$54,17,FALSE)+HLOOKUP($P98,$J$31:$M$56,26,FALSE),0))+IF(R98="○",加算と減算!$AH$3,0)</f>
        <v>0</v>
      </c>
      <c r="U98" s="85">
        <f t="shared" si="55"/>
        <v>0</v>
      </c>
      <c r="V98" s="262">
        <f t="shared" si="58"/>
        <v>0</v>
      </c>
      <c r="W98" s="262"/>
      <c r="X98" s="61" t="str">
        <f>IF(月途中入退所情報!$N48=$B$2,月途中入退所情報!$P48,"-")</f>
        <v>-</v>
      </c>
      <c r="Y98" s="61" t="str">
        <f>IF(月途中入退所情報!$N48=$B$2,月途中入退所情報!$Q48,"-")</f>
        <v>-</v>
      </c>
      <c r="Z98" s="61" t="str">
        <f>IF(月途中入退所情報!$N48=$B$2,月途中入退所情報!$R48,"-")</f>
        <v>-</v>
      </c>
      <c r="AA98" s="61" t="str">
        <f>IF(月途中入退所情報!$N48=$B$2,月途中入退所情報!$S48,"-")</f>
        <v>-</v>
      </c>
      <c r="AB98" s="61" t="str">
        <f>IF(月途中入退所情報!$N48=$B$2,月途中入退所情報!$T48,"-")</f>
        <v>-</v>
      </c>
      <c r="AC98" s="84">
        <f>IF($Z98="標準時間",HLOOKUP($Y98,$F$31:$I$54,24,FALSE)-SUM($F$10,$F$21:$F$24,$F$26)-HLOOKUP($Y98,$F$31:$I$54,17,FALSE)+HLOOKUP($Y98,$F$31:$I$56,26,FALSE),IF($Z98="短時間",HLOOKUP($Y98,$J$31:$M$54,24,FALSE)-SUM($F$10,$F$21:$F$24,$F$26)-HLOOKUP($Y98,$J$31:$M$54,17,FALSE)+HLOOKUP($Y98,$J$31:$M$56,26,FALSE),0))+IF(AA98="○",加算と減算!$AH$3,0)</f>
        <v>0</v>
      </c>
      <c r="AD98" s="85">
        <f t="shared" si="56"/>
        <v>0</v>
      </c>
      <c r="AE98" s="262">
        <f t="shared" si="57"/>
        <v>0</v>
      </c>
    </row>
    <row r="99" spans="15:31">
      <c r="O99" s="61" t="str">
        <f>IF(月途中入退所情報!$D49=$B$2,月途中入退所情報!F49,"-")</f>
        <v>-</v>
      </c>
      <c r="P99" s="61" t="str">
        <f>IF(月途中入退所情報!$D49=$B$2,月途中入退所情報!G49,"-")</f>
        <v>-</v>
      </c>
      <c r="Q99" s="61" t="str">
        <f>IF(月途中入退所情報!$D49=$B$2,月途中入退所情報!H49,"-")</f>
        <v>-</v>
      </c>
      <c r="R99" s="61" t="str">
        <f>IF(月途中入退所情報!$D49=$B$2,月途中入退所情報!I49,"-")</f>
        <v>-</v>
      </c>
      <c r="S99" s="61" t="str">
        <f>IF(月途中入退所情報!$D49=$B$2,月途中入退所情報!J49,"-")</f>
        <v>-</v>
      </c>
      <c r="T99" s="84">
        <f>IF($Q99="標準時間",HLOOKUP($P99,$F$31:$I$54,24,FALSE)-SUM($F$10,$F$21:$F$24,$F$26)-HLOOKUP($P99,$F$31:$I$54,17,FALSE)+HLOOKUP($P99,$F$31:$I$56,26,FALSE),IF($Q99="短時間",HLOOKUP($P99,$J$31:$M$54,24,FALSE)-SUM($F$10,$F$21:$F$24,$F$26)-HLOOKUP($P99,$J$31:$M$54,17,FALSE)+HLOOKUP($P99,$J$31:$M$56,26,FALSE),0))+IF(R99="○",加算と減算!$AH$3,0)</f>
        <v>0</v>
      </c>
      <c r="U99" s="85">
        <f t="shared" si="55"/>
        <v>0</v>
      </c>
      <c r="V99" s="262">
        <f t="shared" si="58"/>
        <v>0</v>
      </c>
      <c r="W99" s="262"/>
      <c r="X99" s="61" t="str">
        <f>IF(月途中入退所情報!$N49=$B$2,月途中入退所情報!$P49,"-")</f>
        <v>-</v>
      </c>
      <c r="Y99" s="61" t="str">
        <f>IF(月途中入退所情報!$N49=$B$2,月途中入退所情報!$Q49,"-")</f>
        <v>-</v>
      </c>
      <c r="Z99" s="61" t="str">
        <f>IF(月途中入退所情報!$N49=$B$2,月途中入退所情報!$R49,"-")</f>
        <v>-</v>
      </c>
      <c r="AA99" s="61" t="str">
        <f>IF(月途中入退所情報!$N49=$B$2,月途中入退所情報!$S49,"-")</f>
        <v>-</v>
      </c>
      <c r="AB99" s="61" t="str">
        <f>IF(月途中入退所情報!$N49=$B$2,月途中入退所情報!$T49,"-")</f>
        <v>-</v>
      </c>
      <c r="AC99" s="84">
        <f>IF($Z99="標準時間",HLOOKUP($Y99,$F$31:$I$54,24,FALSE)-SUM($F$10,$F$21:$F$24,$F$26)-HLOOKUP($Y99,$F$31:$I$54,17,FALSE)+HLOOKUP($Y99,$F$31:$I$56,26,FALSE),IF($Z99="短時間",HLOOKUP($Y99,$J$31:$M$54,24,FALSE)-SUM($F$10,$F$21:$F$24,$F$26)-HLOOKUP($Y99,$J$31:$M$54,17,FALSE)+HLOOKUP($Y99,$J$31:$M$56,26,FALSE),0))+IF(AA99="○",加算と減算!$AH$3,0)</f>
        <v>0</v>
      </c>
      <c r="AD99" s="85">
        <f t="shared" si="56"/>
        <v>0</v>
      </c>
      <c r="AE99" s="262">
        <f t="shared" si="57"/>
        <v>0</v>
      </c>
    </row>
    <row r="100" spans="15:31">
      <c r="O100" s="61" t="str">
        <f>IF(月途中入退所情報!$D50=$B$2,月途中入退所情報!F50,"-")</f>
        <v>-</v>
      </c>
      <c r="P100" s="61" t="str">
        <f>IF(月途中入退所情報!$D50=$B$2,月途中入退所情報!G50,"-")</f>
        <v>-</v>
      </c>
      <c r="Q100" s="61" t="str">
        <f>IF(月途中入退所情報!$D50=$B$2,月途中入退所情報!H50,"-")</f>
        <v>-</v>
      </c>
      <c r="R100" s="61" t="str">
        <f>IF(月途中入退所情報!$D50=$B$2,月途中入退所情報!I50,"-")</f>
        <v>-</v>
      </c>
      <c r="S100" s="61" t="str">
        <f>IF(月途中入退所情報!$D50=$B$2,月途中入退所情報!J50,"-")</f>
        <v>-</v>
      </c>
      <c r="T100" s="84">
        <f>IF($Q100="標準時間",HLOOKUP($P100,$F$31:$I$54,24,FALSE)-SUM($F$10,$F$21:$F$24,$F$26)-HLOOKUP($P100,$F$31:$I$54,17,FALSE)+HLOOKUP($P100,$F$31:$I$56,26,FALSE),IF($Q100="短時間",HLOOKUP($P100,$J$31:$M$54,24,FALSE)-SUM($F$10,$F$21:$F$24,$F$26)-HLOOKUP($P100,$J$31:$M$54,17,FALSE)+HLOOKUP($P100,$J$31:$M$56,26,FALSE),0))+IF(R100="○",加算と減算!$AH$3,0)</f>
        <v>0</v>
      </c>
      <c r="U100" s="85">
        <f t="shared" si="55"/>
        <v>0</v>
      </c>
      <c r="V100" s="262">
        <f t="shared" si="58"/>
        <v>0</v>
      </c>
      <c r="W100" s="262"/>
      <c r="X100" s="61" t="str">
        <f>IF(月途中入退所情報!$N50=$B$2,月途中入退所情報!$P50,"-")</f>
        <v>-</v>
      </c>
      <c r="Y100" s="61" t="str">
        <f>IF(月途中入退所情報!$N50=$B$2,月途中入退所情報!$Q50,"-")</f>
        <v>-</v>
      </c>
      <c r="Z100" s="61" t="str">
        <f>IF(月途中入退所情報!$N50=$B$2,月途中入退所情報!$R50,"-")</f>
        <v>-</v>
      </c>
      <c r="AA100" s="61" t="str">
        <f>IF(月途中入退所情報!$N50=$B$2,月途中入退所情報!$S50,"-")</f>
        <v>-</v>
      </c>
      <c r="AB100" s="61" t="str">
        <f>IF(月途中入退所情報!$N50=$B$2,月途中入退所情報!$T50,"-")</f>
        <v>-</v>
      </c>
      <c r="AC100" s="84">
        <f>IF($Z100="標準時間",HLOOKUP($Y100,$F$31:$I$54,24,FALSE)-SUM($F$10,$F$21:$F$24,$F$26)-HLOOKUP($Y100,$F$31:$I$54,17,FALSE)+HLOOKUP($Y100,$F$31:$I$56,26,FALSE),IF($Z100="短時間",HLOOKUP($Y100,$J$31:$M$54,24,FALSE)-SUM($F$10,$F$21:$F$24,$F$26)-HLOOKUP($Y100,$J$31:$M$54,17,FALSE)+HLOOKUP($Y100,$J$31:$M$56,26,FALSE),0))+IF(AA100="○",加算と減算!$AH$3,0)</f>
        <v>0</v>
      </c>
      <c r="AD100" s="85">
        <f t="shared" si="56"/>
        <v>0</v>
      </c>
      <c r="AE100" s="262">
        <f t="shared" si="57"/>
        <v>0</v>
      </c>
    </row>
    <row r="101" spans="15:31">
      <c r="T101" s="86" t="s">
        <v>36</v>
      </c>
      <c r="U101" s="85">
        <f>SUM(U81:U100)</f>
        <v>0</v>
      </c>
      <c r="V101" s="262">
        <f>SUM(V81:V100)</f>
        <v>0</v>
      </c>
      <c r="W101" s="262"/>
      <c r="AC101" s="86" t="s">
        <v>36</v>
      </c>
      <c r="AD101" s="85">
        <f>SUM(AD81:AD100)</f>
        <v>0</v>
      </c>
      <c r="AE101" s="264">
        <f>SUM(AE81:AE100)</f>
        <v>0</v>
      </c>
    </row>
  </sheetData>
  <sheetProtection algorithmName="SHA-512" hashValue="uzvF+ehJct3wjVzbvOoyd5+RXOSkC0ez+B/XWx4tLktG6dvqUKTnWTw/F1aYqt8HzSh2eJIdoLoiiIQyvia+Zw==" saltValue="K5ZRjmnQjOyL8Q8IxIpsuA==" spinCount="100000" sheet="1" objects="1" scenarios="1"/>
  <mergeCells count="89">
    <mergeCell ref="B2:D2"/>
    <mergeCell ref="B4:B27"/>
    <mergeCell ref="C4:D5"/>
    <mergeCell ref="E4:E5"/>
    <mergeCell ref="F4:I4"/>
    <mergeCell ref="C17:C20"/>
    <mergeCell ref="C21:C26"/>
    <mergeCell ref="D15:D16"/>
    <mergeCell ref="D17:D18"/>
    <mergeCell ref="C8:C16"/>
    <mergeCell ref="U4:X4"/>
    <mergeCell ref="Y4:Y5"/>
    <mergeCell ref="C6:D7"/>
    <mergeCell ref="D8:D9"/>
    <mergeCell ref="D11:D12"/>
    <mergeCell ref="J4:M4"/>
    <mergeCell ref="O4:O11"/>
    <mergeCell ref="P4:P5"/>
    <mergeCell ref="Q4:T4"/>
    <mergeCell ref="O13:O20"/>
    <mergeCell ref="P13:P14"/>
    <mergeCell ref="Q13:T13"/>
    <mergeCell ref="U13:X13"/>
    <mergeCell ref="Y13:Y14"/>
    <mergeCell ref="O22:O28"/>
    <mergeCell ref="T22:T28"/>
    <mergeCell ref="C27:D27"/>
    <mergeCell ref="B30:B54"/>
    <mergeCell ref="C30:D31"/>
    <mergeCell ref="E30:E31"/>
    <mergeCell ref="F30:I30"/>
    <mergeCell ref="J30:M30"/>
    <mergeCell ref="O30:O37"/>
    <mergeCell ref="P30:P31"/>
    <mergeCell ref="Q30:T30"/>
    <mergeCell ref="C48:C53"/>
    <mergeCell ref="O48:O54"/>
    <mergeCell ref="T48:T54"/>
    <mergeCell ref="U30:X30"/>
    <mergeCell ref="Y30:Y31"/>
    <mergeCell ref="C32:D33"/>
    <mergeCell ref="C34:C42"/>
    <mergeCell ref="D34:D35"/>
    <mergeCell ref="D37:D38"/>
    <mergeCell ref="O39:O46"/>
    <mergeCell ref="P39:P40"/>
    <mergeCell ref="Q39:T39"/>
    <mergeCell ref="Y39:Y40"/>
    <mergeCell ref="D41:D42"/>
    <mergeCell ref="C43:C47"/>
    <mergeCell ref="D44:D45"/>
    <mergeCell ref="U39:X39"/>
    <mergeCell ref="O79:P79"/>
    <mergeCell ref="X48:Y48"/>
    <mergeCell ref="C54:D54"/>
    <mergeCell ref="O56:P56"/>
    <mergeCell ref="X56:Y56"/>
    <mergeCell ref="F59:I59"/>
    <mergeCell ref="J59:M59"/>
    <mergeCell ref="D61:D62"/>
    <mergeCell ref="D65:D66"/>
    <mergeCell ref="D68:E69"/>
    <mergeCell ref="F69:M69"/>
    <mergeCell ref="AM4:AM27"/>
    <mergeCell ref="AN4:AO5"/>
    <mergeCell ref="AP4:AP5"/>
    <mergeCell ref="AN6:AO7"/>
    <mergeCell ref="AN8:AN16"/>
    <mergeCell ref="AO8:AO9"/>
    <mergeCell ref="AO11:AO12"/>
    <mergeCell ref="AO15:AO16"/>
    <mergeCell ref="AN17:AN20"/>
    <mergeCell ref="AO17:AO18"/>
    <mergeCell ref="AN21:AN26"/>
    <mergeCell ref="AN27:AO27"/>
    <mergeCell ref="AN55:AO55"/>
    <mergeCell ref="AN28:AO28"/>
    <mergeCell ref="AM30:AM54"/>
    <mergeCell ref="AN30:AO31"/>
    <mergeCell ref="AP30:AP31"/>
    <mergeCell ref="AN32:AO33"/>
    <mergeCell ref="AN34:AN42"/>
    <mergeCell ref="AO34:AO35"/>
    <mergeCell ref="AO37:AO38"/>
    <mergeCell ref="AO41:AO42"/>
    <mergeCell ref="AN43:AN47"/>
    <mergeCell ref="AO44:AO45"/>
    <mergeCell ref="AN48:AN53"/>
    <mergeCell ref="AN54:AO54"/>
  </mergeCells>
  <phoneticPr fontId="2"/>
  <pageMargins left="0.7" right="0.7" top="0.75" bottom="0.75" header="0.3" footer="0.3"/>
  <pageSetup paperSize="9"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80F34-0951-4B5D-BB2F-AC64938D4F1F}">
  <sheetPr>
    <tabColor theme="1"/>
  </sheetPr>
  <dimension ref="B1:AQ101"/>
  <sheetViews>
    <sheetView view="pageBreakPreview" zoomScale="85" zoomScaleNormal="55" zoomScaleSheetLayoutView="85" workbookViewId="0">
      <pane ySplit="5" topLeftCell="A6" activePane="bottomLeft" state="frozen"/>
      <selection activeCell="V65" sqref="V65"/>
      <selection pane="bottomLeft" activeCell="A6" sqref="A6"/>
    </sheetView>
  </sheetViews>
  <sheetFormatPr defaultColWidth="8.75" defaultRowHeight="15"/>
  <cols>
    <col min="1" max="1" width="1" style="2" customWidth="1"/>
    <col min="2" max="3" width="2.75" style="2" customWidth="1"/>
    <col min="4" max="4" width="16.5" style="1" customWidth="1"/>
    <col min="5" max="5" width="8.25" style="57" customWidth="1"/>
    <col min="6" max="13" width="7.25" style="2" customWidth="1"/>
    <col min="14" max="14" width="1" style="2" customWidth="1"/>
    <col min="15" max="16" width="8.625" style="2" customWidth="1"/>
    <col min="17" max="25" width="9.75" style="2" customWidth="1"/>
    <col min="26" max="27" width="8.75" style="2" customWidth="1"/>
    <col min="28" max="31" width="8.875" style="2" customWidth="1"/>
    <col min="32" max="38" width="8.75" style="2"/>
    <col min="39" max="40" width="3.875" style="2" bestFit="1" customWidth="1"/>
    <col min="41" max="41" width="16.5" style="2" bestFit="1" customWidth="1"/>
    <col min="42" max="42" width="8.75" style="2"/>
    <col min="43" max="43" width="9.375" style="264" bestFit="1" customWidth="1"/>
    <col min="44" max="16384" width="8.75" style="2"/>
  </cols>
  <sheetData>
    <row r="1" spans="2:43" ht="4.9000000000000004" customHeight="1" thickBot="1">
      <c r="F1" s="57"/>
      <c r="G1" s="57"/>
      <c r="H1" s="57"/>
      <c r="I1" s="57"/>
      <c r="J1" s="57"/>
      <c r="K1" s="57"/>
      <c r="L1" s="57"/>
      <c r="M1" s="57"/>
    </row>
    <row r="2" spans="2:43" ht="15.75" thickBot="1">
      <c r="B2" s="1450">
        <v>8</v>
      </c>
      <c r="C2" s="1451"/>
      <c r="D2" s="1452"/>
      <c r="E2" s="2"/>
      <c r="F2" s="55" t="s">
        <v>183</v>
      </c>
      <c r="G2" s="72">
        <f>児童数!O12</f>
        <v>0</v>
      </c>
      <c r="H2" s="73" t="s">
        <v>184</v>
      </c>
      <c r="I2" s="72">
        <f>児童数!AB12</f>
        <v>0</v>
      </c>
      <c r="J2" s="73" t="s">
        <v>182</v>
      </c>
      <c r="K2" s="72">
        <f>G2+I2</f>
        <v>0</v>
      </c>
      <c r="L2" s="62"/>
      <c r="N2" s="1"/>
      <c r="O2" s="55" t="s">
        <v>192</v>
      </c>
      <c r="P2" s="78">
        <f>IF(基本情報!E5="",0,基本情報!G10)</f>
        <v>0</v>
      </c>
      <c r="Q2" s="77" t="s">
        <v>11</v>
      </c>
      <c r="R2" s="55" t="s">
        <v>202</v>
      </c>
      <c r="S2" s="257">
        <f>IF(基本情報!E12="１日",単価表!BB11,IF(基本情報!E12="２日",単価表!BC11,IF(基本情報!E12="３日",単価表!BD11,IF(基本情報!E12="全て",単価表!BE11,0))))*100</f>
        <v>0</v>
      </c>
      <c r="T2" s="258">
        <f>IF(基本情報!E12="１日",単価表!BB27,IF(基本情報!E12="２日",単価表!BC27,IF(基本情報!E12="３日",単価表!BD27,IF(基本情報!E12="全て",単価表!BE27,0))))*100</f>
        <v>0</v>
      </c>
      <c r="U2" s="55" t="s">
        <v>198</v>
      </c>
      <c r="V2" s="257">
        <f>IF(基本情報!E14="該当",定員超過減算率!C2,0)</f>
        <v>0</v>
      </c>
      <c r="W2" s="258">
        <f>IF(基本情報!E14="該当",定員超過減算率!C3,0)</f>
        <v>0</v>
      </c>
      <c r="X2" s="55"/>
      <c r="Y2" s="55"/>
      <c r="AC2" s="1" t="s">
        <v>206</v>
      </c>
      <c r="AD2" s="1" t="s">
        <v>207</v>
      </c>
    </row>
    <row r="3" spans="2:43" ht="6" customHeight="1">
      <c r="K3" s="1"/>
    </row>
    <row r="4" spans="2:43" ht="15" customHeight="1">
      <c r="B4" s="1426" t="s">
        <v>181</v>
      </c>
      <c r="C4" s="1429"/>
      <c r="D4" s="1429"/>
      <c r="E4" s="1416" t="s">
        <v>172</v>
      </c>
      <c r="F4" s="1418" t="s">
        <v>15</v>
      </c>
      <c r="G4" s="1418"/>
      <c r="H4" s="1418"/>
      <c r="I4" s="1418"/>
      <c r="J4" s="1418" t="s">
        <v>16</v>
      </c>
      <c r="K4" s="1418"/>
      <c r="L4" s="1418"/>
      <c r="M4" s="1418"/>
      <c r="O4" s="1449" t="s">
        <v>40</v>
      </c>
      <c r="P4" s="1446" t="s">
        <v>171</v>
      </c>
      <c r="Q4" s="1440" t="s">
        <v>15</v>
      </c>
      <c r="R4" s="1440"/>
      <c r="S4" s="1440"/>
      <c r="T4" s="1440"/>
      <c r="U4" s="1440" t="s">
        <v>16</v>
      </c>
      <c r="V4" s="1440"/>
      <c r="W4" s="1440"/>
      <c r="X4" s="1440"/>
      <c r="Y4" s="1441" t="s">
        <v>177</v>
      </c>
      <c r="Z4" s="11"/>
      <c r="AA4" s="1"/>
      <c r="AM4" s="1426" t="s">
        <v>181</v>
      </c>
      <c r="AN4" s="1429"/>
      <c r="AO4" s="1429"/>
      <c r="AP4" s="1416" t="s">
        <v>172</v>
      </c>
      <c r="AQ4" s="85"/>
    </row>
    <row r="5" spans="2:43" s="1" customFormat="1">
      <c r="B5" s="1427"/>
      <c r="C5" s="1429"/>
      <c r="D5" s="1429"/>
      <c r="E5" s="1417"/>
      <c r="F5" s="370" t="s">
        <v>6</v>
      </c>
      <c r="G5" s="370" t="s">
        <v>7</v>
      </c>
      <c r="H5" s="370" t="s">
        <v>8</v>
      </c>
      <c r="I5" s="370" t="s">
        <v>9</v>
      </c>
      <c r="J5" s="370" t="s">
        <v>6</v>
      </c>
      <c r="K5" s="370" t="s">
        <v>7</v>
      </c>
      <c r="L5" s="370" t="s">
        <v>8</v>
      </c>
      <c r="M5" s="370" t="s">
        <v>9</v>
      </c>
      <c r="O5" s="1444"/>
      <c r="P5" s="1446"/>
      <c r="Q5" s="368" t="s">
        <v>6</v>
      </c>
      <c r="R5" s="368" t="s">
        <v>7</v>
      </c>
      <c r="S5" s="368" t="s">
        <v>8</v>
      </c>
      <c r="T5" s="368" t="s">
        <v>9</v>
      </c>
      <c r="U5" s="368" t="s">
        <v>6</v>
      </c>
      <c r="V5" s="368" t="s">
        <v>7</v>
      </c>
      <c r="W5" s="368" t="s">
        <v>8</v>
      </c>
      <c r="X5" s="368" t="s">
        <v>9</v>
      </c>
      <c r="Y5" s="1442"/>
      <c r="Z5" s="11"/>
      <c r="AC5" s="1" t="s">
        <v>6</v>
      </c>
      <c r="AD5" s="1" t="s">
        <v>212</v>
      </c>
      <c r="AM5" s="1427"/>
      <c r="AN5" s="1429"/>
      <c r="AO5" s="1429"/>
      <c r="AP5" s="1417"/>
      <c r="AQ5" s="85"/>
    </row>
    <row r="6" spans="2:43" s="1" customFormat="1">
      <c r="B6" s="1427"/>
      <c r="C6" s="1418" t="s">
        <v>17</v>
      </c>
      <c r="D6" s="1418"/>
      <c r="E6" s="53" t="s">
        <v>169</v>
      </c>
      <c r="F6" s="3" t="e">
        <f>単価表!AV7</f>
        <v>#VALUE!</v>
      </c>
      <c r="G6" s="3" t="e">
        <f>単価表!AV9</f>
        <v>#VALUE!</v>
      </c>
      <c r="H6" s="3" t="e">
        <f>単価表!AV11</f>
        <v>#VALUE!</v>
      </c>
      <c r="I6" s="3" t="e">
        <f>単価表!AV13</f>
        <v>#VALUE!</v>
      </c>
      <c r="J6" s="3" t="e">
        <f>単価表!AW7</f>
        <v>#VALUE!</v>
      </c>
      <c r="K6" s="3" t="e">
        <f>単価表!AW9</f>
        <v>#VALUE!</v>
      </c>
      <c r="L6" s="3" t="e">
        <f>単価表!AW11</f>
        <v>#VALUE!</v>
      </c>
      <c r="M6" s="3" t="e">
        <f>単価表!AW13</f>
        <v>#VALUE!</v>
      </c>
      <c r="O6" s="1444"/>
      <c r="P6" s="630">
        <f>基本情報!E17</f>
        <v>0</v>
      </c>
      <c r="Q6" s="3">
        <f>児童数!E26</f>
        <v>0</v>
      </c>
      <c r="R6" s="3">
        <f>児童数!F26</f>
        <v>0</v>
      </c>
      <c r="S6" s="3">
        <f>児童数!G26</f>
        <v>0</v>
      </c>
      <c r="T6" s="3">
        <f>児童数!H26</f>
        <v>0</v>
      </c>
      <c r="U6" s="3">
        <f>児童数!J26</f>
        <v>0</v>
      </c>
      <c r="V6" s="3">
        <f>児童数!K26</f>
        <v>0</v>
      </c>
      <c r="W6" s="3">
        <f>児童数!L26</f>
        <v>0</v>
      </c>
      <c r="X6" s="3">
        <f>児童数!M26</f>
        <v>0</v>
      </c>
      <c r="Y6" s="64">
        <f>SUM(Q6:X6)</f>
        <v>0</v>
      </c>
      <c r="Z6" s="2"/>
      <c r="AC6" s="1" t="s">
        <v>7</v>
      </c>
      <c r="AD6" s="1" t="s">
        <v>16</v>
      </c>
      <c r="AM6" s="1427"/>
      <c r="AN6" s="1418" t="s">
        <v>17</v>
      </c>
      <c r="AO6" s="1418"/>
      <c r="AP6" s="53" t="s">
        <v>169</v>
      </c>
      <c r="AQ6" s="85" t="e">
        <f>SUMPRODUCT(F6:M6,$Q$11:$X$11)</f>
        <v>#VALUE!</v>
      </c>
    </row>
    <row r="7" spans="2:43" s="1" customFormat="1">
      <c r="B7" s="1427"/>
      <c r="C7" s="1418"/>
      <c r="D7" s="1418"/>
      <c r="E7" s="53" t="s">
        <v>167</v>
      </c>
      <c r="F7" s="3" t="e">
        <f>単価表!AX7*基本情報!G7</f>
        <v>#VALUE!</v>
      </c>
      <c r="G7" s="3" t="e">
        <f>単価表!AX9*基本情報!G7</f>
        <v>#VALUE!</v>
      </c>
      <c r="H7" s="3" t="e">
        <f>単価表!AX11*基本情報!G7</f>
        <v>#VALUE!</v>
      </c>
      <c r="I7" s="3" t="e">
        <f>単価表!AX13*基本情報!G7</f>
        <v>#VALUE!</v>
      </c>
      <c r="J7" s="3" t="e">
        <f>単価表!AY7*基本情報!G7</f>
        <v>#VALUE!</v>
      </c>
      <c r="K7" s="3" t="e">
        <f>単価表!AY9*基本情報!G7</f>
        <v>#VALUE!</v>
      </c>
      <c r="L7" s="3" t="e">
        <f>単価表!AY11*基本情報!G7</f>
        <v>#VALUE!</v>
      </c>
      <c r="M7" s="3" t="e">
        <f>単価表!AY13*基本情報!G7</f>
        <v>#VALUE!</v>
      </c>
      <c r="O7" s="1444"/>
      <c r="P7" s="631">
        <f>基本情報!E18</f>
        <v>0</v>
      </c>
      <c r="Q7" s="3">
        <f>児童数!E40</f>
        <v>0</v>
      </c>
      <c r="R7" s="3">
        <f>児童数!F40</f>
        <v>0</v>
      </c>
      <c r="S7" s="3">
        <f>児童数!G40</f>
        <v>0</v>
      </c>
      <c r="T7" s="3">
        <f>児童数!H40</f>
        <v>0</v>
      </c>
      <c r="U7" s="3">
        <f>児童数!J40</f>
        <v>0</v>
      </c>
      <c r="V7" s="3">
        <f>児童数!K40</f>
        <v>0</v>
      </c>
      <c r="W7" s="3">
        <f>児童数!L40</f>
        <v>0</v>
      </c>
      <c r="X7" s="3">
        <f>児童数!M40</f>
        <v>0</v>
      </c>
      <c r="Y7" s="64">
        <f t="shared" ref="Y7:Y10" si="0">SUM(Q7:X7)</f>
        <v>0</v>
      </c>
      <c r="Z7" s="2"/>
      <c r="AA7" s="2"/>
      <c r="AC7" s="1" t="s">
        <v>8</v>
      </c>
      <c r="AM7" s="1427"/>
      <c r="AN7" s="1418"/>
      <c r="AO7" s="1418"/>
      <c r="AP7" s="53" t="s">
        <v>167</v>
      </c>
      <c r="AQ7" s="85" t="e">
        <f t="shared" ref="AQ7:AQ26" si="1">SUMPRODUCT(F7:M7,$Q$11:$X$11)</f>
        <v>#VALUE!</v>
      </c>
    </row>
    <row r="8" spans="2:43" ht="15" customHeight="1">
      <c r="B8" s="1427"/>
      <c r="C8" s="1419" t="s">
        <v>203</v>
      </c>
      <c r="D8" s="1422" t="s">
        <v>37</v>
      </c>
      <c r="E8" s="53" t="s">
        <v>169</v>
      </c>
      <c r="F8" s="6"/>
      <c r="G8" s="3">
        <f>IF(加算と減算!I5="○",単価表!AV41,0)</f>
        <v>0</v>
      </c>
      <c r="H8" s="6"/>
      <c r="I8" s="6"/>
      <c r="J8" s="6"/>
      <c r="K8" s="3">
        <f>G8</f>
        <v>0</v>
      </c>
      <c r="L8" s="6"/>
      <c r="M8" s="6"/>
      <c r="O8" s="1444"/>
      <c r="P8" s="632">
        <f>基本情報!E19</f>
        <v>0</v>
      </c>
      <c r="Q8" s="3">
        <f>児童数!E54</f>
        <v>0</v>
      </c>
      <c r="R8" s="3">
        <f>児童数!F54</f>
        <v>0</v>
      </c>
      <c r="S8" s="3">
        <f>児童数!G54</f>
        <v>0</v>
      </c>
      <c r="T8" s="3">
        <f>児童数!H54</f>
        <v>0</v>
      </c>
      <c r="U8" s="3">
        <f>児童数!J54</f>
        <v>0</v>
      </c>
      <c r="V8" s="3">
        <f>児童数!K54</f>
        <v>0</v>
      </c>
      <c r="W8" s="3">
        <f>児童数!L54</f>
        <v>0</v>
      </c>
      <c r="X8" s="3">
        <f>児童数!M54</f>
        <v>0</v>
      </c>
      <c r="Y8" s="64">
        <f t="shared" si="0"/>
        <v>0</v>
      </c>
      <c r="AC8" s="1" t="s">
        <v>9</v>
      </c>
      <c r="AM8" s="1427"/>
      <c r="AN8" s="1419" t="s">
        <v>203</v>
      </c>
      <c r="AO8" s="1422" t="s">
        <v>37</v>
      </c>
      <c r="AP8" s="732" t="s">
        <v>559</v>
      </c>
      <c r="AQ8" s="85">
        <f t="shared" si="1"/>
        <v>0</v>
      </c>
    </row>
    <row r="9" spans="2:43">
      <c r="B9" s="1427"/>
      <c r="C9" s="1420"/>
      <c r="D9" s="1422"/>
      <c r="E9" s="53" t="s">
        <v>167</v>
      </c>
      <c r="F9" s="6"/>
      <c r="G9" s="3">
        <f>IF(加算と減算!I5="○",単価表!AW41*基本情報!G7,0)</f>
        <v>0</v>
      </c>
      <c r="H9" s="6"/>
      <c r="I9" s="6"/>
      <c r="J9" s="6"/>
      <c r="K9" s="3">
        <f>G9</f>
        <v>0</v>
      </c>
      <c r="L9" s="6"/>
      <c r="M9" s="6"/>
      <c r="O9" s="1444"/>
      <c r="P9" s="633">
        <f>基本情報!E20</f>
        <v>0</v>
      </c>
      <c r="Q9" s="3">
        <f>児童数!E68</f>
        <v>0</v>
      </c>
      <c r="R9" s="3">
        <f>児童数!F68</f>
        <v>0</v>
      </c>
      <c r="S9" s="3">
        <f>児童数!G68</f>
        <v>0</v>
      </c>
      <c r="T9" s="3">
        <f>児童数!H68</f>
        <v>0</v>
      </c>
      <c r="U9" s="3">
        <f>児童数!J68</f>
        <v>0</v>
      </c>
      <c r="V9" s="3">
        <f>児童数!K68</f>
        <v>0</v>
      </c>
      <c r="W9" s="3">
        <f>児童数!L68</f>
        <v>0</v>
      </c>
      <c r="X9" s="3">
        <f>児童数!M68</f>
        <v>0</v>
      </c>
      <c r="Y9" s="64">
        <f t="shared" si="0"/>
        <v>0</v>
      </c>
      <c r="AM9" s="1427"/>
      <c r="AN9" s="1420"/>
      <c r="AO9" s="1422"/>
      <c r="AP9" s="53" t="s">
        <v>167</v>
      </c>
      <c r="AQ9" s="85">
        <f t="shared" si="1"/>
        <v>0</v>
      </c>
    </row>
    <row r="10" spans="2:43">
      <c r="B10" s="1427"/>
      <c r="C10" s="1420"/>
      <c r="D10" s="383" t="s">
        <v>69</v>
      </c>
      <c r="E10" s="60"/>
      <c r="F10" s="3">
        <f>IF(K2=0,0,IF(加算と減算!I6="○",ROUNDDOWN((加算と減算!R6+(加算と減算!S6*基本情報!G7))/'8月'!K2,-1),0))</f>
        <v>0</v>
      </c>
      <c r="G10" s="3">
        <f t="shared" ref="G10:G18" si="2">F10</f>
        <v>0</v>
      </c>
      <c r="H10" s="3">
        <f>F10</f>
        <v>0</v>
      </c>
      <c r="I10" s="3">
        <f>F10</f>
        <v>0</v>
      </c>
      <c r="J10" s="3">
        <f t="shared" ref="J10:J18" si="3">F10</f>
        <v>0</v>
      </c>
      <c r="K10" s="3">
        <f t="shared" ref="K10:K18" si="4">F10</f>
        <v>0</v>
      </c>
      <c r="L10" s="3">
        <f>F10</f>
        <v>0</v>
      </c>
      <c r="M10" s="3">
        <f>F10</f>
        <v>0</v>
      </c>
      <c r="O10" s="1444"/>
      <c r="P10" s="634">
        <f>基本情報!E21</f>
        <v>0</v>
      </c>
      <c r="Q10" s="3">
        <f>児童数!E82</f>
        <v>0</v>
      </c>
      <c r="R10" s="3">
        <f>児童数!F82</f>
        <v>0</v>
      </c>
      <c r="S10" s="3">
        <f>児童数!G82</f>
        <v>0</v>
      </c>
      <c r="T10" s="3">
        <f>児童数!H82</f>
        <v>0</v>
      </c>
      <c r="U10" s="3">
        <f>児童数!J82</f>
        <v>0</v>
      </c>
      <c r="V10" s="3">
        <f>児童数!K82</f>
        <v>0</v>
      </c>
      <c r="W10" s="3">
        <f>児童数!L82</f>
        <v>0</v>
      </c>
      <c r="X10" s="3">
        <f>児童数!M82</f>
        <v>0</v>
      </c>
      <c r="Y10" s="64">
        <f t="shared" si="0"/>
        <v>0</v>
      </c>
      <c r="AM10" s="1427"/>
      <c r="AN10" s="1420"/>
      <c r="AO10" s="383" t="s">
        <v>69</v>
      </c>
      <c r="AP10" s="629"/>
      <c r="AQ10" s="85">
        <f t="shared" si="1"/>
        <v>0</v>
      </c>
    </row>
    <row r="11" spans="2:43">
      <c r="B11" s="1427"/>
      <c r="C11" s="1420"/>
      <c r="D11" s="1422" t="s">
        <v>161</v>
      </c>
      <c r="E11" s="53" t="s">
        <v>169</v>
      </c>
      <c r="F11" s="3">
        <f>IF(加算と減算!I7="○",単価表!AZ39,0)</f>
        <v>0</v>
      </c>
      <c r="G11" s="3">
        <f t="shared" si="2"/>
        <v>0</v>
      </c>
      <c r="H11" s="3">
        <f>IF(加算と減算!I7="○",単価表!AZ43,0)</f>
        <v>0</v>
      </c>
      <c r="I11" s="3">
        <f>H11</f>
        <v>0</v>
      </c>
      <c r="J11" s="3">
        <f t="shared" si="3"/>
        <v>0</v>
      </c>
      <c r="K11" s="3">
        <f t="shared" si="4"/>
        <v>0</v>
      </c>
      <c r="L11" s="3">
        <f>H11</f>
        <v>0</v>
      </c>
      <c r="M11" s="3">
        <f>H11</f>
        <v>0</v>
      </c>
      <c r="O11" s="1445"/>
      <c r="P11" s="635" t="s">
        <v>36</v>
      </c>
      <c r="Q11" s="3">
        <f>SUM(Q6:Q10)</f>
        <v>0</v>
      </c>
      <c r="R11" s="3">
        <f t="shared" ref="R11:Y11" si="5">SUM(R6:R10)</f>
        <v>0</v>
      </c>
      <c r="S11" s="3">
        <f t="shared" si="5"/>
        <v>0</v>
      </c>
      <c r="T11" s="3">
        <f t="shared" si="5"/>
        <v>0</v>
      </c>
      <c r="U11" s="3">
        <f t="shared" si="5"/>
        <v>0</v>
      </c>
      <c r="V11" s="3">
        <f t="shared" si="5"/>
        <v>0</v>
      </c>
      <c r="W11" s="3">
        <f t="shared" si="5"/>
        <v>0</v>
      </c>
      <c r="X11" s="3">
        <f t="shared" si="5"/>
        <v>0</v>
      </c>
      <c r="Y11" s="3">
        <f t="shared" si="5"/>
        <v>0</v>
      </c>
      <c r="Z11" s="55" t="s">
        <v>176</v>
      </c>
      <c r="AA11" s="71" t="str">
        <f>IF(SUM(Q11:X11)=G2,"OK",SUM(Q11:X11)-K2)</f>
        <v>OK</v>
      </c>
      <c r="AB11" s="62"/>
      <c r="AM11" s="1427"/>
      <c r="AN11" s="1420"/>
      <c r="AO11" s="1422" t="s">
        <v>161</v>
      </c>
      <c r="AP11" s="53" t="s">
        <v>169</v>
      </c>
      <c r="AQ11" s="85">
        <f t="shared" si="1"/>
        <v>0</v>
      </c>
    </row>
    <row r="12" spans="2:43" ht="15" customHeight="1">
      <c r="B12" s="1427"/>
      <c r="C12" s="1420"/>
      <c r="D12" s="1422"/>
      <c r="E12" s="53" t="s">
        <v>167</v>
      </c>
      <c r="F12" s="3">
        <f>IF(加算と減算!I7="○",単価表!BA39*基本情報!G7,0)</f>
        <v>0</v>
      </c>
      <c r="G12" s="3">
        <f t="shared" si="2"/>
        <v>0</v>
      </c>
      <c r="H12" s="3">
        <f>IF(加算と減算!I7="○",単価表!BA43*基本情報!G7,0)</f>
        <v>0</v>
      </c>
      <c r="I12" s="3">
        <f>H12</f>
        <v>0</v>
      </c>
      <c r="J12" s="3">
        <f t="shared" si="3"/>
        <v>0</v>
      </c>
      <c r="K12" s="3">
        <f t="shared" si="4"/>
        <v>0</v>
      </c>
      <c r="L12" s="3">
        <f>H12</f>
        <v>0</v>
      </c>
      <c r="M12" s="3">
        <f>H12</f>
        <v>0</v>
      </c>
      <c r="O12" s="75"/>
      <c r="P12" s="636"/>
      <c r="Q12" s="54"/>
      <c r="R12" s="54"/>
      <c r="S12" s="54"/>
      <c r="T12" s="54"/>
      <c r="U12" s="54"/>
      <c r="V12" s="54"/>
      <c r="W12" s="54"/>
      <c r="X12" s="54"/>
      <c r="Y12" s="54"/>
      <c r="AA12" s="62"/>
      <c r="AB12" s="62"/>
      <c r="AM12" s="1427"/>
      <c r="AN12" s="1420"/>
      <c r="AO12" s="1422"/>
      <c r="AP12" s="53" t="s">
        <v>167</v>
      </c>
      <c r="AQ12" s="85">
        <f t="shared" si="1"/>
        <v>0</v>
      </c>
    </row>
    <row r="13" spans="2:43" ht="16.5">
      <c r="B13" s="1427"/>
      <c r="C13" s="1420"/>
      <c r="D13" s="366" t="s">
        <v>162</v>
      </c>
      <c r="E13" s="59"/>
      <c r="F13" s="3">
        <f>IF(加算と減算!I8="○",加算と減算!R8,0)</f>
        <v>0</v>
      </c>
      <c r="G13" s="3">
        <f t="shared" si="2"/>
        <v>0</v>
      </c>
      <c r="H13" s="3">
        <f t="shared" ref="H13:H18" si="6">F13</f>
        <v>0</v>
      </c>
      <c r="I13" s="3">
        <f t="shared" ref="I13:I18" si="7">F13</f>
        <v>0</v>
      </c>
      <c r="J13" s="3">
        <f t="shared" si="3"/>
        <v>0</v>
      </c>
      <c r="K13" s="3">
        <f t="shared" si="4"/>
        <v>0</v>
      </c>
      <c r="L13" s="3">
        <f t="shared" ref="L13:L18" si="8">F13</f>
        <v>0</v>
      </c>
      <c r="M13" s="3">
        <f t="shared" ref="M13:M18" si="9">F13</f>
        <v>0</v>
      </c>
      <c r="O13" s="1443" t="s">
        <v>187</v>
      </c>
      <c r="P13" s="1449" t="s">
        <v>171</v>
      </c>
      <c r="Q13" s="1440" t="s">
        <v>15</v>
      </c>
      <c r="R13" s="1440"/>
      <c r="S13" s="1440"/>
      <c r="T13" s="1440"/>
      <c r="U13" s="1440" t="s">
        <v>16</v>
      </c>
      <c r="V13" s="1440"/>
      <c r="W13" s="1440"/>
      <c r="X13" s="1440"/>
      <c r="Y13" s="1449" t="s">
        <v>177</v>
      </c>
      <c r="AA13" s="62"/>
      <c r="AB13" s="62"/>
      <c r="AM13" s="1427"/>
      <c r="AN13" s="1420"/>
      <c r="AO13" s="720" t="s">
        <v>162</v>
      </c>
      <c r="AP13" s="731" t="s">
        <v>353</v>
      </c>
      <c r="AQ13" s="85">
        <f t="shared" si="1"/>
        <v>0</v>
      </c>
    </row>
    <row r="14" spans="2:43" ht="16.5">
      <c r="B14" s="1427"/>
      <c r="C14" s="1420"/>
      <c r="D14" s="366" t="s">
        <v>54</v>
      </c>
      <c r="E14" s="59"/>
      <c r="F14" s="3">
        <f>IF(加算と減算!I9="○",加算と減算!R9,0)</f>
        <v>0</v>
      </c>
      <c r="G14" s="3">
        <f t="shared" si="2"/>
        <v>0</v>
      </c>
      <c r="H14" s="3">
        <f t="shared" si="6"/>
        <v>0</v>
      </c>
      <c r="I14" s="3">
        <f t="shared" si="7"/>
        <v>0</v>
      </c>
      <c r="J14" s="3">
        <f t="shared" si="3"/>
        <v>0</v>
      </c>
      <c r="K14" s="3">
        <f t="shared" si="4"/>
        <v>0</v>
      </c>
      <c r="L14" s="3">
        <f t="shared" si="8"/>
        <v>0</v>
      </c>
      <c r="M14" s="3">
        <f t="shared" si="9"/>
        <v>0</v>
      </c>
      <c r="O14" s="1447"/>
      <c r="P14" s="1445"/>
      <c r="Q14" s="368" t="s">
        <v>6</v>
      </c>
      <c r="R14" s="368" t="s">
        <v>7</v>
      </c>
      <c r="S14" s="368" t="s">
        <v>8</v>
      </c>
      <c r="T14" s="368" t="s">
        <v>9</v>
      </c>
      <c r="U14" s="368" t="s">
        <v>6</v>
      </c>
      <c r="V14" s="368" t="s">
        <v>7</v>
      </c>
      <c r="W14" s="368" t="s">
        <v>8</v>
      </c>
      <c r="X14" s="368" t="s">
        <v>9</v>
      </c>
      <c r="Y14" s="1445"/>
      <c r="AA14" s="62"/>
      <c r="AB14" s="62"/>
      <c r="AM14" s="1427"/>
      <c r="AN14" s="1420"/>
      <c r="AO14" s="720" t="s">
        <v>54</v>
      </c>
      <c r="AP14" s="731" t="s">
        <v>353</v>
      </c>
      <c r="AQ14" s="85">
        <f t="shared" si="1"/>
        <v>0</v>
      </c>
    </row>
    <row r="15" spans="2:43" ht="16.5">
      <c r="B15" s="1427"/>
      <c r="C15" s="1420"/>
      <c r="D15" s="1422" t="s">
        <v>38</v>
      </c>
      <c r="E15" s="53" t="s">
        <v>169</v>
      </c>
      <c r="F15" s="3">
        <f>IF(加算と減算!I10="○",加算と減算!R10,0)</f>
        <v>0</v>
      </c>
      <c r="G15" s="3">
        <f t="shared" si="2"/>
        <v>0</v>
      </c>
      <c r="H15" s="3">
        <f t="shared" si="6"/>
        <v>0</v>
      </c>
      <c r="I15" s="3">
        <f t="shared" si="7"/>
        <v>0</v>
      </c>
      <c r="J15" s="3">
        <f t="shared" si="3"/>
        <v>0</v>
      </c>
      <c r="K15" s="3">
        <f t="shared" si="4"/>
        <v>0</v>
      </c>
      <c r="L15" s="3">
        <f t="shared" si="8"/>
        <v>0</v>
      </c>
      <c r="M15" s="3">
        <f t="shared" si="9"/>
        <v>0</v>
      </c>
      <c r="O15" s="1447"/>
      <c r="P15" s="630">
        <f>P6</f>
        <v>0</v>
      </c>
      <c r="Q15" s="3" t="e">
        <f t="shared" ref="Q15:X15" si="10">F27*Q6</f>
        <v>#VALUE!</v>
      </c>
      <c r="R15" s="3" t="e">
        <f t="shared" si="10"/>
        <v>#VALUE!</v>
      </c>
      <c r="S15" s="3" t="e">
        <f t="shared" si="10"/>
        <v>#VALUE!</v>
      </c>
      <c r="T15" s="3" t="e">
        <f t="shared" si="10"/>
        <v>#VALUE!</v>
      </c>
      <c r="U15" s="3" t="e">
        <f t="shared" si="10"/>
        <v>#VALUE!</v>
      </c>
      <c r="V15" s="3" t="e">
        <f t="shared" si="10"/>
        <v>#VALUE!</v>
      </c>
      <c r="W15" s="3" t="e">
        <f t="shared" si="10"/>
        <v>#VALUE!</v>
      </c>
      <c r="X15" s="3" t="e">
        <f t="shared" si="10"/>
        <v>#VALUE!</v>
      </c>
      <c r="Y15" s="3" t="e">
        <f>SUM(Q15:X15)</f>
        <v>#VALUE!</v>
      </c>
      <c r="AA15" s="62"/>
      <c r="AB15" s="62"/>
      <c r="AM15" s="1427"/>
      <c r="AN15" s="1420"/>
      <c r="AO15" s="1422" t="s">
        <v>38</v>
      </c>
      <c r="AP15" s="732" t="s">
        <v>559</v>
      </c>
      <c r="AQ15" s="85">
        <f t="shared" si="1"/>
        <v>0</v>
      </c>
    </row>
    <row r="16" spans="2:43">
      <c r="B16" s="1427"/>
      <c r="C16" s="1421"/>
      <c r="D16" s="1422"/>
      <c r="E16" s="53" t="s">
        <v>167</v>
      </c>
      <c r="F16" s="3">
        <f>IF(加算と減算!I10="○",加算と減算!S10*基本情報!G7,0)</f>
        <v>0</v>
      </c>
      <c r="G16" s="3">
        <f t="shared" si="2"/>
        <v>0</v>
      </c>
      <c r="H16" s="3">
        <f t="shared" si="6"/>
        <v>0</v>
      </c>
      <c r="I16" s="3">
        <f t="shared" si="7"/>
        <v>0</v>
      </c>
      <c r="J16" s="3">
        <f t="shared" si="3"/>
        <v>0</v>
      </c>
      <c r="K16" s="3">
        <f t="shared" si="4"/>
        <v>0</v>
      </c>
      <c r="L16" s="3">
        <f t="shared" si="8"/>
        <v>0</v>
      </c>
      <c r="M16" s="3">
        <f t="shared" si="9"/>
        <v>0</v>
      </c>
      <c r="O16" s="1447"/>
      <c r="P16" s="631">
        <f>P7</f>
        <v>0</v>
      </c>
      <c r="Q16" s="3" t="e">
        <f t="shared" ref="Q16:X16" si="11">F27*Q7</f>
        <v>#VALUE!</v>
      </c>
      <c r="R16" s="3" t="e">
        <f t="shared" si="11"/>
        <v>#VALUE!</v>
      </c>
      <c r="S16" s="3" t="e">
        <f t="shared" si="11"/>
        <v>#VALUE!</v>
      </c>
      <c r="T16" s="3" t="e">
        <f t="shared" si="11"/>
        <v>#VALUE!</v>
      </c>
      <c r="U16" s="3" t="e">
        <f t="shared" si="11"/>
        <v>#VALUE!</v>
      </c>
      <c r="V16" s="3" t="e">
        <f t="shared" si="11"/>
        <v>#VALUE!</v>
      </c>
      <c r="W16" s="3" t="e">
        <f t="shared" si="11"/>
        <v>#VALUE!</v>
      </c>
      <c r="X16" s="3" t="e">
        <f t="shared" si="11"/>
        <v>#VALUE!</v>
      </c>
      <c r="Y16" s="3" t="e">
        <f t="shared" ref="Y16:Y19" si="12">SUM(Q16:X16)</f>
        <v>#VALUE!</v>
      </c>
      <c r="AA16" s="62"/>
      <c r="AB16" s="62"/>
      <c r="AM16" s="1427"/>
      <c r="AN16" s="1421"/>
      <c r="AO16" s="1422"/>
      <c r="AP16" s="53" t="s">
        <v>167</v>
      </c>
      <c r="AQ16" s="85">
        <f t="shared" si="1"/>
        <v>0</v>
      </c>
    </row>
    <row r="17" spans="2:43">
      <c r="B17" s="1427"/>
      <c r="C17" s="1423" t="s">
        <v>205</v>
      </c>
      <c r="D17" s="1424" t="s">
        <v>43</v>
      </c>
      <c r="E17" s="53" t="s">
        <v>169</v>
      </c>
      <c r="F17" s="74">
        <f>-IF(加算と減算!I32="○",単価表!AZ7,0)</f>
        <v>0</v>
      </c>
      <c r="G17" s="74">
        <f t="shared" si="2"/>
        <v>0</v>
      </c>
      <c r="H17" s="74">
        <f t="shared" si="6"/>
        <v>0</v>
      </c>
      <c r="I17" s="74">
        <f t="shared" si="7"/>
        <v>0</v>
      </c>
      <c r="J17" s="74">
        <f t="shared" si="3"/>
        <v>0</v>
      </c>
      <c r="K17" s="74">
        <f t="shared" si="4"/>
        <v>0</v>
      </c>
      <c r="L17" s="74">
        <f t="shared" si="8"/>
        <v>0</v>
      </c>
      <c r="M17" s="74">
        <f t="shared" si="9"/>
        <v>0</v>
      </c>
      <c r="O17" s="1447"/>
      <c r="P17" s="632">
        <f>P8</f>
        <v>0</v>
      </c>
      <c r="Q17" s="3" t="e">
        <f t="shared" ref="Q17:X17" si="13">F27*Q8</f>
        <v>#VALUE!</v>
      </c>
      <c r="R17" s="3" t="e">
        <f t="shared" si="13"/>
        <v>#VALUE!</v>
      </c>
      <c r="S17" s="3" t="e">
        <f t="shared" si="13"/>
        <v>#VALUE!</v>
      </c>
      <c r="T17" s="3" t="e">
        <f t="shared" si="13"/>
        <v>#VALUE!</v>
      </c>
      <c r="U17" s="3" t="e">
        <f t="shared" si="13"/>
        <v>#VALUE!</v>
      </c>
      <c r="V17" s="3" t="e">
        <f t="shared" si="13"/>
        <v>#VALUE!</v>
      </c>
      <c r="W17" s="3" t="e">
        <f t="shared" si="13"/>
        <v>#VALUE!</v>
      </c>
      <c r="X17" s="3" t="e">
        <f t="shared" si="13"/>
        <v>#VALUE!</v>
      </c>
      <c r="Y17" s="3" t="e">
        <f t="shared" si="12"/>
        <v>#VALUE!</v>
      </c>
      <c r="AA17" s="62"/>
      <c r="AB17" s="62"/>
      <c r="AM17" s="1427"/>
      <c r="AN17" s="1423" t="s">
        <v>205</v>
      </c>
      <c r="AO17" s="1424" t="s">
        <v>43</v>
      </c>
      <c r="AP17" s="53" t="s">
        <v>169</v>
      </c>
      <c r="AQ17" s="85">
        <f t="shared" si="1"/>
        <v>0</v>
      </c>
    </row>
    <row r="18" spans="2:43">
      <c r="B18" s="1427"/>
      <c r="C18" s="1423"/>
      <c r="D18" s="1424"/>
      <c r="E18" s="53" t="s">
        <v>167</v>
      </c>
      <c r="F18" s="74">
        <f>-IF(加算と減算!I32="○",単価表!BA7*基本情報!G7,0)</f>
        <v>0</v>
      </c>
      <c r="G18" s="74">
        <f t="shared" si="2"/>
        <v>0</v>
      </c>
      <c r="H18" s="74">
        <f t="shared" si="6"/>
        <v>0</v>
      </c>
      <c r="I18" s="74">
        <f t="shared" si="7"/>
        <v>0</v>
      </c>
      <c r="J18" s="74">
        <f t="shared" si="3"/>
        <v>0</v>
      </c>
      <c r="K18" s="74">
        <f t="shared" si="4"/>
        <v>0</v>
      </c>
      <c r="L18" s="74">
        <f t="shared" si="8"/>
        <v>0</v>
      </c>
      <c r="M18" s="74">
        <f t="shared" si="9"/>
        <v>0</v>
      </c>
      <c r="O18" s="1447"/>
      <c r="P18" s="633">
        <f>P9</f>
        <v>0</v>
      </c>
      <c r="Q18" s="3" t="e">
        <f t="shared" ref="Q18:X18" si="14">F27*Q9</f>
        <v>#VALUE!</v>
      </c>
      <c r="R18" s="3" t="e">
        <f t="shared" si="14"/>
        <v>#VALUE!</v>
      </c>
      <c r="S18" s="3" t="e">
        <f t="shared" si="14"/>
        <v>#VALUE!</v>
      </c>
      <c r="T18" s="3" t="e">
        <f t="shared" si="14"/>
        <v>#VALUE!</v>
      </c>
      <c r="U18" s="3" t="e">
        <f t="shared" si="14"/>
        <v>#VALUE!</v>
      </c>
      <c r="V18" s="3" t="e">
        <f t="shared" si="14"/>
        <v>#VALUE!</v>
      </c>
      <c r="W18" s="3" t="e">
        <f t="shared" si="14"/>
        <v>#VALUE!</v>
      </c>
      <c r="X18" s="3" t="e">
        <f t="shared" si="14"/>
        <v>#VALUE!</v>
      </c>
      <c r="Y18" s="3" t="e">
        <f t="shared" si="12"/>
        <v>#VALUE!</v>
      </c>
      <c r="AA18" s="62"/>
      <c r="AB18" s="62"/>
      <c r="AM18" s="1427"/>
      <c r="AN18" s="1423"/>
      <c r="AO18" s="1424"/>
      <c r="AP18" s="53" t="s">
        <v>167</v>
      </c>
      <c r="AQ18" s="85">
        <f t="shared" si="1"/>
        <v>0</v>
      </c>
    </row>
    <row r="19" spans="2:43">
      <c r="B19" s="1427"/>
      <c r="C19" s="1423"/>
      <c r="D19" s="371" t="s">
        <v>165</v>
      </c>
      <c r="E19" s="60"/>
      <c r="F19" s="74" t="e">
        <f t="shared" ref="F19:M19" si="15">-ROUNDDOWN((F6+F7+F11+F12+F8+F9)*$S$2/100,-1)</f>
        <v>#VALUE!</v>
      </c>
      <c r="G19" s="74" t="e">
        <f t="shared" si="15"/>
        <v>#VALUE!</v>
      </c>
      <c r="H19" s="74" t="e">
        <f t="shared" si="15"/>
        <v>#VALUE!</v>
      </c>
      <c r="I19" s="74" t="e">
        <f t="shared" si="15"/>
        <v>#VALUE!</v>
      </c>
      <c r="J19" s="74" t="e">
        <f t="shared" si="15"/>
        <v>#VALUE!</v>
      </c>
      <c r="K19" s="74" t="e">
        <f t="shared" si="15"/>
        <v>#VALUE!</v>
      </c>
      <c r="L19" s="74" t="e">
        <f t="shared" si="15"/>
        <v>#VALUE!</v>
      </c>
      <c r="M19" s="74" t="e">
        <f t="shared" si="15"/>
        <v>#VALUE!</v>
      </c>
      <c r="O19" s="1447"/>
      <c r="P19" s="634">
        <f>P10</f>
        <v>0</v>
      </c>
      <c r="Q19" s="3" t="e">
        <f t="shared" ref="Q19:X19" si="16">F27*Q10</f>
        <v>#VALUE!</v>
      </c>
      <c r="R19" s="3" t="e">
        <f t="shared" si="16"/>
        <v>#VALUE!</v>
      </c>
      <c r="S19" s="3" t="e">
        <f t="shared" si="16"/>
        <v>#VALUE!</v>
      </c>
      <c r="T19" s="3" t="e">
        <f t="shared" si="16"/>
        <v>#VALUE!</v>
      </c>
      <c r="U19" s="3" t="e">
        <f t="shared" si="16"/>
        <v>#VALUE!</v>
      </c>
      <c r="V19" s="3" t="e">
        <f t="shared" si="16"/>
        <v>#VALUE!</v>
      </c>
      <c r="W19" s="3" t="e">
        <f t="shared" si="16"/>
        <v>#VALUE!</v>
      </c>
      <c r="X19" s="3" t="e">
        <f t="shared" si="16"/>
        <v>#VALUE!</v>
      </c>
      <c r="Y19" s="3" t="e">
        <f t="shared" si="12"/>
        <v>#VALUE!</v>
      </c>
      <c r="AA19" s="62"/>
      <c r="AB19" s="62"/>
      <c r="AM19" s="1427"/>
      <c r="AN19" s="1423"/>
      <c r="AO19" s="717" t="s">
        <v>165</v>
      </c>
      <c r="AP19" s="60"/>
      <c r="AQ19" s="85" t="e">
        <f t="shared" si="1"/>
        <v>#VALUE!</v>
      </c>
    </row>
    <row r="20" spans="2:43">
      <c r="B20" s="1427"/>
      <c r="C20" s="1423"/>
      <c r="D20" s="371" t="s">
        <v>166</v>
      </c>
      <c r="E20" s="60"/>
      <c r="F20" s="74" t="e">
        <f t="shared" ref="F20:M20" si="17">-ROUNDUP(SUM(F6:F19)*$V$2/100,-1)</f>
        <v>#VALUE!</v>
      </c>
      <c r="G20" s="74" t="e">
        <f t="shared" si="17"/>
        <v>#VALUE!</v>
      </c>
      <c r="H20" s="74" t="e">
        <f t="shared" si="17"/>
        <v>#VALUE!</v>
      </c>
      <c r="I20" s="74" t="e">
        <f t="shared" si="17"/>
        <v>#VALUE!</v>
      </c>
      <c r="J20" s="74" t="e">
        <f t="shared" si="17"/>
        <v>#VALUE!</v>
      </c>
      <c r="K20" s="74" t="e">
        <f t="shared" si="17"/>
        <v>#VALUE!</v>
      </c>
      <c r="L20" s="74" t="e">
        <f t="shared" si="17"/>
        <v>#VALUE!</v>
      </c>
      <c r="M20" s="74" t="e">
        <f t="shared" si="17"/>
        <v>#VALUE!</v>
      </c>
      <c r="O20" s="1448"/>
      <c r="P20" s="635" t="s">
        <v>36</v>
      </c>
      <c r="Q20" s="3" t="e">
        <f>SUM(Q15:Q19)</f>
        <v>#VALUE!</v>
      </c>
      <c r="R20" s="3" t="e">
        <f t="shared" ref="R20:Y20" si="18">SUM(R15:R19)</f>
        <v>#VALUE!</v>
      </c>
      <c r="S20" s="3" t="e">
        <f t="shared" si="18"/>
        <v>#VALUE!</v>
      </c>
      <c r="T20" s="3" t="e">
        <f t="shared" si="18"/>
        <v>#VALUE!</v>
      </c>
      <c r="U20" s="3" t="e">
        <f t="shared" si="18"/>
        <v>#VALUE!</v>
      </c>
      <c r="V20" s="3" t="e">
        <f t="shared" si="18"/>
        <v>#VALUE!</v>
      </c>
      <c r="W20" s="3" t="e">
        <f t="shared" si="18"/>
        <v>#VALUE!</v>
      </c>
      <c r="X20" s="3" t="e">
        <f t="shared" si="18"/>
        <v>#VALUE!</v>
      </c>
      <c r="Y20" s="3" t="e">
        <f t="shared" si="18"/>
        <v>#VALUE!</v>
      </c>
      <c r="AA20" s="62"/>
      <c r="AB20" s="62"/>
      <c r="AM20" s="1427"/>
      <c r="AN20" s="1423"/>
      <c r="AO20" s="717" t="s">
        <v>166</v>
      </c>
      <c r="AP20" s="60"/>
      <c r="AQ20" s="85" t="e">
        <f t="shared" si="1"/>
        <v>#VALUE!</v>
      </c>
    </row>
    <row r="21" spans="2:43" ht="15" customHeight="1">
      <c r="B21" s="1427"/>
      <c r="C21" s="1419" t="s">
        <v>204</v>
      </c>
      <c r="D21" s="366" t="s">
        <v>18</v>
      </c>
      <c r="E21" s="59"/>
      <c r="F21" s="3">
        <f>IF(K2=0,0,IF(加算と減算!I13="",0,ROUNDDOWN(加算と減算!U13/'8月'!$K$2,-1)))</f>
        <v>0</v>
      </c>
      <c r="G21" s="3">
        <f>F21</f>
        <v>0</v>
      </c>
      <c r="H21" s="3">
        <f t="shared" ref="H21:M21" si="19">G21</f>
        <v>0</v>
      </c>
      <c r="I21" s="3">
        <f t="shared" si="19"/>
        <v>0</v>
      </c>
      <c r="J21" s="3">
        <f t="shared" si="19"/>
        <v>0</v>
      </c>
      <c r="K21" s="3">
        <f t="shared" si="19"/>
        <v>0</v>
      </c>
      <c r="L21" s="3">
        <f t="shared" si="19"/>
        <v>0</v>
      </c>
      <c r="M21" s="3">
        <f t="shared" si="19"/>
        <v>0</v>
      </c>
      <c r="O21" s="76"/>
      <c r="P21" s="636"/>
      <c r="Q21" s="54"/>
      <c r="R21" s="54"/>
      <c r="S21" s="9"/>
      <c r="T21" s="9"/>
      <c r="U21" s="54"/>
      <c r="V21" s="54"/>
      <c r="W21" s="10"/>
      <c r="X21" s="10"/>
      <c r="Y21" s="10"/>
      <c r="AA21" s="62"/>
      <c r="AB21" s="62"/>
      <c r="AM21" s="1427"/>
      <c r="AN21" s="1419" t="s">
        <v>204</v>
      </c>
      <c r="AO21" s="720" t="s">
        <v>18</v>
      </c>
      <c r="AP21" s="732" t="s">
        <v>559</v>
      </c>
      <c r="AQ21" s="85">
        <f t="shared" si="1"/>
        <v>0</v>
      </c>
    </row>
    <row r="22" spans="2:43" ht="15" customHeight="1">
      <c r="B22" s="1427"/>
      <c r="C22" s="1420"/>
      <c r="D22" s="366" t="s">
        <v>62</v>
      </c>
      <c r="E22" s="59"/>
      <c r="F22" s="3">
        <f>IF(K2=0,0,ROUNDDOWN(IF(加算と減算!I14="○",加算と減算!U14,IF(加算と減算!I15="○",加算と減算!U15,0))/K2,-1))</f>
        <v>0</v>
      </c>
      <c r="G22" s="3">
        <f t="shared" ref="G22:M26" si="20">F22</f>
        <v>0</v>
      </c>
      <c r="H22" s="3">
        <f t="shared" si="20"/>
        <v>0</v>
      </c>
      <c r="I22" s="3">
        <f t="shared" si="20"/>
        <v>0</v>
      </c>
      <c r="J22" s="3">
        <f t="shared" si="20"/>
        <v>0</v>
      </c>
      <c r="K22" s="3">
        <f t="shared" si="20"/>
        <v>0</v>
      </c>
      <c r="L22" s="3">
        <f t="shared" si="20"/>
        <v>0</v>
      </c>
      <c r="M22" s="3">
        <f>L22</f>
        <v>0</v>
      </c>
      <c r="O22" s="1443" t="s">
        <v>180</v>
      </c>
      <c r="P22" s="367" t="s">
        <v>171</v>
      </c>
      <c r="Q22" s="368" t="s">
        <v>178</v>
      </c>
      <c r="R22" s="367" t="s">
        <v>179</v>
      </c>
      <c r="S22" s="4"/>
      <c r="T22" s="1443" t="s">
        <v>188</v>
      </c>
      <c r="U22" s="367" t="s">
        <v>171</v>
      </c>
      <c r="V22" s="40" t="s">
        <v>179</v>
      </c>
      <c r="AA22" s="62"/>
      <c r="AB22" s="62"/>
      <c r="AM22" s="1427"/>
      <c r="AN22" s="1420"/>
      <c r="AO22" s="720" t="s">
        <v>62</v>
      </c>
      <c r="AP22" s="732" t="s">
        <v>559</v>
      </c>
      <c r="AQ22" s="85">
        <f t="shared" si="1"/>
        <v>0</v>
      </c>
    </row>
    <row r="23" spans="2:43" ht="16.5">
      <c r="B23" s="1427"/>
      <c r="C23" s="1420"/>
      <c r="D23" s="366" t="s">
        <v>19</v>
      </c>
      <c r="E23" s="59"/>
      <c r="F23" s="3">
        <f>IF(K2=0,0,IF(加算と減算!I16="",0,ROUNDDOWN(加算と減算!U16/'8月'!$K$2,-1)))</f>
        <v>0</v>
      </c>
      <c r="G23" s="3">
        <f t="shared" si="20"/>
        <v>0</v>
      </c>
      <c r="H23" s="3">
        <f t="shared" si="20"/>
        <v>0</v>
      </c>
      <c r="I23" s="3">
        <f t="shared" si="20"/>
        <v>0</v>
      </c>
      <c r="J23" s="3">
        <f t="shared" si="20"/>
        <v>0</v>
      </c>
      <c r="K23" s="3">
        <f t="shared" si="20"/>
        <v>0</v>
      </c>
      <c r="L23" s="3">
        <f t="shared" si="20"/>
        <v>0</v>
      </c>
      <c r="M23" s="3">
        <f t="shared" si="20"/>
        <v>0</v>
      </c>
      <c r="O23" s="1447"/>
      <c r="P23" s="630">
        <f>P6</f>
        <v>0</v>
      </c>
      <c r="Q23" s="3">
        <f>児童数!AE26</f>
        <v>0</v>
      </c>
      <c r="R23" s="64">
        <f>4500*Q23</f>
        <v>0</v>
      </c>
      <c r="S23" s="4"/>
      <c r="T23" s="1447"/>
      <c r="U23" s="630">
        <f>P6</f>
        <v>0</v>
      </c>
      <c r="V23" s="65" t="e">
        <f>Y15+R23</f>
        <v>#VALUE!</v>
      </c>
      <c r="AA23" s="62"/>
      <c r="AB23" s="62"/>
      <c r="AM23" s="1427"/>
      <c r="AN23" s="1420"/>
      <c r="AO23" s="720" t="s">
        <v>19</v>
      </c>
      <c r="AP23" s="732" t="s">
        <v>559</v>
      </c>
      <c r="AQ23" s="85">
        <f t="shared" si="1"/>
        <v>0</v>
      </c>
    </row>
    <row r="24" spans="2:43" ht="16.5">
      <c r="B24" s="1427"/>
      <c r="C24" s="1420"/>
      <c r="D24" s="366" t="s">
        <v>41</v>
      </c>
      <c r="E24" s="59"/>
      <c r="F24" s="3">
        <f>IF(K2=0,0,IF(加算と減算!D17="",0,ROUNDDOWN(加算と減算!U17/'8月'!$K$2,-1)))</f>
        <v>0</v>
      </c>
      <c r="G24" s="3">
        <f t="shared" si="20"/>
        <v>0</v>
      </c>
      <c r="H24" s="3">
        <f t="shared" si="20"/>
        <v>0</v>
      </c>
      <c r="I24" s="3">
        <f t="shared" si="20"/>
        <v>0</v>
      </c>
      <c r="J24" s="3">
        <f t="shared" si="20"/>
        <v>0</v>
      </c>
      <c r="K24" s="3">
        <f t="shared" si="20"/>
        <v>0</v>
      </c>
      <c r="L24" s="3">
        <f t="shared" si="20"/>
        <v>0</v>
      </c>
      <c r="M24" s="3">
        <f t="shared" si="20"/>
        <v>0</v>
      </c>
      <c r="O24" s="1447"/>
      <c r="P24" s="631">
        <f>P7</f>
        <v>0</v>
      </c>
      <c r="Q24" s="3">
        <f>児童数!AE40</f>
        <v>0</v>
      </c>
      <c r="R24" s="64">
        <f t="shared" ref="R24:R27" si="21">4500*Q24</f>
        <v>0</v>
      </c>
      <c r="S24" s="4"/>
      <c r="T24" s="1447"/>
      <c r="U24" s="631">
        <f>P7</f>
        <v>0</v>
      </c>
      <c r="V24" s="66" t="e">
        <f>Y16+R24</f>
        <v>#VALUE!</v>
      </c>
      <c r="AA24" s="62"/>
      <c r="AB24" s="62"/>
      <c r="AM24" s="1427"/>
      <c r="AN24" s="1420"/>
      <c r="AO24" s="720" t="s">
        <v>41</v>
      </c>
      <c r="AP24" s="732" t="s">
        <v>559</v>
      </c>
      <c r="AQ24" s="85">
        <f t="shared" si="1"/>
        <v>0</v>
      </c>
    </row>
    <row r="25" spans="2:43" ht="16.5">
      <c r="B25" s="1427"/>
      <c r="C25" s="1420"/>
      <c r="D25" s="366" t="s">
        <v>42</v>
      </c>
      <c r="E25" s="59"/>
      <c r="F25" s="3" t="str">
        <f>加算と減算!U18</f>
        <v/>
      </c>
      <c r="G25" s="3" t="str">
        <f t="shared" si="20"/>
        <v/>
      </c>
      <c r="H25" s="3" t="str">
        <f t="shared" si="20"/>
        <v/>
      </c>
      <c r="I25" s="3" t="str">
        <f t="shared" si="20"/>
        <v/>
      </c>
      <c r="J25" s="3" t="str">
        <f t="shared" si="20"/>
        <v/>
      </c>
      <c r="K25" s="3" t="str">
        <f t="shared" si="20"/>
        <v/>
      </c>
      <c r="L25" s="3" t="str">
        <f t="shared" si="20"/>
        <v/>
      </c>
      <c r="M25" s="3" t="str">
        <f t="shared" si="20"/>
        <v/>
      </c>
      <c r="O25" s="1447"/>
      <c r="P25" s="632">
        <f>P8</f>
        <v>0</v>
      </c>
      <c r="Q25" s="3">
        <f>児童数!AE54</f>
        <v>0</v>
      </c>
      <c r="R25" s="64">
        <f t="shared" si="21"/>
        <v>0</v>
      </c>
      <c r="S25" s="4"/>
      <c r="T25" s="1447"/>
      <c r="U25" s="632">
        <f>P8</f>
        <v>0</v>
      </c>
      <c r="V25" s="67" t="e">
        <f>Y17+R25</f>
        <v>#VALUE!</v>
      </c>
      <c r="AA25" s="62"/>
      <c r="AB25" s="62"/>
      <c r="AM25" s="1427"/>
      <c r="AN25" s="1420"/>
      <c r="AO25" s="718" t="s">
        <v>42</v>
      </c>
      <c r="AP25" s="731" t="s">
        <v>353</v>
      </c>
      <c r="AQ25" s="85">
        <f t="shared" si="1"/>
        <v>0</v>
      </c>
    </row>
    <row r="26" spans="2:43" ht="16.5">
      <c r="B26" s="1427"/>
      <c r="C26" s="1421"/>
      <c r="D26" s="366" t="s">
        <v>80</v>
      </c>
      <c r="E26" s="59"/>
      <c r="F26" s="3">
        <f>IF(K2=0,0,ROUNDDOWN(IF(加算と減算!I26="○",加算と減算!U26,IF(加算と減算!I27="○",加算と減算!U27,IF(加算と減算!I28="○",加算と減算!U28,0)))/K2,-1))</f>
        <v>0</v>
      </c>
      <c r="G26" s="3">
        <f t="shared" si="20"/>
        <v>0</v>
      </c>
      <c r="H26" s="3">
        <f t="shared" si="20"/>
        <v>0</v>
      </c>
      <c r="I26" s="3">
        <f t="shared" si="20"/>
        <v>0</v>
      </c>
      <c r="J26" s="3">
        <f t="shared" si="20"/>
        <v>0</v>
      </c>
      <c r="K26" s="3">
        <f t="shared" si="20"/>
        <v>0</v>
      </c>
      <c r="L26" s="3">
        <f t="shared" si="20"/>
        <v>0</v>
      </c>
      <c r="M26" s="3">
        <f t="shared" si="20"/>
        <v>0</v>
      </c>
      <c r="O26" s="1447"/>
      <c r="P26" s="633">
        <f>P9</f>
        <v>0</v>
      </c>
      <c r="Q26" s="3">
        <f>児童数!AE68</f>
        <v>0</v>
      </c>
      <c r="R26" s="64">
        <f t="shared" si="21"/>
        <v>0</v>
      </c>
      <c r="S26" s="4"/>
      <c r="T26" s="1447"/>
      <c r="U26" s="633">
        <f>P9</f>
        <v>0</v>
      </c>
      <c r="V26" s="68" t="e">
        <f>Y18+R26</f>
        <v>#VALUE!</v>
      </c>
      <c r="AA26" s="62"/>
      <c r="AB26" s="62"/>
      <c r="AM26" s="1427"/>
      <c r="AN26" s="1421"/>
      <c r="AO26" s="720" t="s">
        <v>80</v>
      </c>
      <c r="AP26" s="731" t="s">
        <v>353</v>
      </c>
      <c r="AQ26" s="85">
        <f t="shared" si="1"/>
        <v>0</v>
      </c>
    </row>
    <row r="27" spans="2:43" ht="18.75" customHeight="1" thickBot="1">
      <c r="B27" s="1428"/>
      <c r="C27" s="1410" t="s">
        <v>44</v>
      </c>
      <c r="D27" s="1411"/>
      <c r="E27" s="53"/>
      <c r="F27" s="5" t="e">
        <f t="shared" ref="F27:M27" si="22">SUM(F6:F26)</f>
        <v>#VALUE!</v>
      </c>
      <c r="G27" s="5" t="e">
        <f t="shared" si="22"/>
        <v>#VALUE!</v>
      </c>
      <c r="H27" s="5" t="e">
        <f t="shared" si="22"/>
        <v>#VALUE!</v>
      </c>
      <c r="I27" s="5" t="e">
        <f t="shared" si="22"/>
        <v>#VALUE!</v>
      </c>
      <c r="J27" s="5" t="e">
        <f t="shared" si="22"/>
        <v>#VALUE!</v>
      </c>
      <c r="K27" s="5" t="e">
        <f t="shared" si="22"/>
        <v>#VALUE!</v>
      </c>
      <c r="L27" s="5" t="e">
        <f t="shared" si="22"/>
        <v>#VALUE!</v>
      </c>
      <c r="M27" s="5" t="e">
        <f t="shared" si="22"/>
        <v>#VALUE!</v>
      </c>
      <c r="O27" s="1447"/>
      <c r="P27" s="634">
        <f>P10</f>
        <v>0</v>
      </c>
      <c r="Q27" s="3">
        <f>児童数!AE82</f>
        <v>0</v>
      </c>
      <c r="R27" s="64">
        <f t="shared" si="21"/>
        <v>0</v>
      </c>
      <c r="S27" s="4"/>
      <c r="T27" s="1447"/>
      <c r="U27" s="634">
        <f>P10</f>
        <v>0</v>
      </c>
      <c r="V27" s="69" t="e">
        <f>Y19+R27</f>
        <v>#VALUE!</v>
      </c>
      <c r="AA27" s="62"/>
      <c r="AB27" s="62"/>
      <c r="AM27" s="1428"/>
      <c r="AN27" s="1425" t="s">
        <v>562</v>
      </c>
      <c r="AO27" s="1425"/>
      <c r="AP27" s="733" t="s">
        <v>376</v>
      </c>
      <c r="AQ27" s="85">
        <f>R28</f>
        <v>0</v>
      </c>
    </row>
    <row r="28" spans="2:43" ht="15.75" thickBot="1">
      <c r="B28" s="263"/>
      <c r="C28" s="58"/>
      <c r="D28" s="58"/>
      <c r="E28" s="58" t="s">
        <v>167</v>
      </c>
      <c r="F28" s="7" t="e">
        <f>F7+F9+F12+F16+F18</f>
        <v>#VALUE!</v>
      </c>
      <c r="G28" s="7" t="e">
        <f t="shared" ref="G28:M28" si="23">G7+G9+G12+G16+G18</f>
        <v>#VALUE!</v>
      </c>
      <c r="H28" s="7" t="e">
        <f t="shared" si="23"/>
        <v>#VALUE!</v>
      </c>
      <c r="I28" s="7" t="e">
        <f t="shared" si="23"/>
        <v>#VALUE!</v>
      </c>
      <c r="J28" s="7" t="e">
        <f t="shared" si="23"/>
        <v>#VALUE!</v>
      </c>
      <c r="K28" s="7" t="e">
        <f>K7+K9+K12+K16+K18</f>
        <v>#VALUE!</v>
      </c>
      <c r="L28" s="7" t="e">
        <f>L7+L9+L12+L16+L18</f>
        <v>#VALUE!</v>
      </c>
      <c r="M28" s="7" t="e">
        <f t="shared" si="23"/>
        <v>#VALUE!</v>
      </c>
      <c r="O28" s="1448"/>
      <c r="P28" s="635" t="s">
        <v>36</v>
      </c>
      <c r="Q28" s="3">
        <f>SUM(Q23:Q27)</f>
        <v>0</v>
      </c>
      <c r="R28" s="3">
        <f>SUM(R23:R27)</f>
        <v>0</v>
      </c>
      <c r="S28" s="4"/>
      <c r="T28" s="1448"/>
      <c r="U28" s="635" t="s">
        <v>36</v>
      </c>
      <c r="V28" s="70" t="e">
        <f>SUM(V23:V27)</f>
        <v>#VALUE!</v>
      </c>
      <c r="AA28" s="62"/>
      <c r="AB28" s="62"/>
      <c r="AG28" s="288" t="e">
        <f>SUMPRODUCT(F28:M28,Q11:X11)</f>
        <v>#VALUE!</v>
      </c>
      <c r="AM28" s="263"/>
      <c r="AN28" s="1410" t="s">
        <v>44</v>
      </c>
      <c r="AO28" s="1411"/>
      <c r="AP28" s="53"/>
      <c r="AQ28" s="85" t="e">
        <f>SUM(AQ6:AQ27)</f>
        <v>#VALUE!</v>
      </c>
    </row>
    <row r="29" spans="2:43" ht="15" customHeight="1">
      <c r="E29" s="1020" t="s">
        <v>703</v>
      </c>
      <c r="F29" s="264" t="e">
        <f>-ROUNDUP(SUM(F6:F9,F11:F19)*$V$2/100,-1)</f>
        <v>#VALUE!</v>
      </c>
      <c r="G29" s="264" t="e">
        <f t="shared" ref="G29:M29" si="24">-ROUNDUP(SUM(G6:G9,G11:G19)*$V$2/100,-1)</f>
        <v>#VALUE!</v>
      </c>
      <c r="H29" s="264" t="e">
        <f t="shared" si="24"/>
        <v>#VALUE!</v>
      </c>
      <c r="I29" s="264" t="e">
        <f t="shared" si="24"/>
        <v>#VALUE!</v>
      </c>
      <c r="J29" s="264" t="e">
        <f t="shared" si="24"/>
        <v>#VALUE!</v>
      </c>
      <c r="K29" s="264" t="e">
        <f t="shared" si="24"/>
        <v>#VALUE!</v>
      </c>
      <c r="L29" s="264" t="e">
        <f t="shared" si="24"/>
        <v>#VALUE!</v>
      </c>
      <c r="M29" s="264" t="e">
        <f t="shared" si="24"/>
        <v>#VALUE!</v>
      </c>
      <c r="O29" s="637"/>
      <c r="P29" s="637"/>
      <c r="Q29" s="637"/>
      <c r="R29" s="637"/>
      <c r="S29" s="637"/>
      <c r="T29" s="637"/>
      <c r="U29" s="637"/>
      <c r="V29" s="63"/>
      <c r="AA29" s="62"/>
      <c r="AB29" s="62"/>
      <c r="AO29" s="1"/>
      <c r="AP29" s="57"/>
    </row>
    <row r="30" spans="2:43" ht="15" customHeight="1">
      <c r="B30" s="1412" t="s">
        <v>3</v>
      </c>
      <c r="C30" s="1415"/>
      <c r="D30" s="1415"/>
      <c r="E30" s="1416" t="s">
        <v>172</v>
      </c>
      <c r="F30" s="1418" t="s">
        <v>15</v>
      </c>
      <c r="G30" s="1418"/>
      <c r="H30" s="1418"/>
      <c r="I30" s="1418"/>
      <c r="J30" s="1418" t="s">
        <v>16</v>
      </c>
      <c r="K30" s="1418"/>
      <c r="L30" s="1418"/>
      <c r="M30" s="1418"/>
      <c r="O30" s="1449" t="s">
        <v>40</v>
      </c>
      <c r="P30" s="1446" t="s">
        <v>171</v>
      </c>
      <c r="Q30" s="1440" t="s">
        <v>15</v>
      </c>
      <c r="R30" s="1440"/>
      <c r="S30" s="1440"/>
      <c r="T30" s="1440"/>
      <c r="U30" s="1440" t="s">
        <v>16</v>
      </c>
      <c r="V30" s="1440"/>
      <c r="W30" s="1440"/>
      <c r="X30" s="1440"/>
      <c r="Y30" s="1441" t="s">
        <v>177</v>
      </c>
      <c r="Z30" s="11"/>
      <c r="AA30" s="57"/>
      <c r="AB30" s="62"/>
      <c r="AM30" s="1412" t="s">
        <v>3</v>
      </c>
      <c r="AN30" s="1415"/>
      <c r="AO30" s="1415"/>
      <c r="AP30" s="1416" t="s">
        <v>172</v>
      </c>
      <c r="AQ30" s="85"/>
    </row>
    <row r="31" spans="2:43" s="1" customFormat="1">
      <c r="B31" s="1413"/>
      <c r="C31" s="1415"/>
      <c r="D31" s="1415"/>
      <c r="E31" s="1417"/>
      <c r="F31" s="370" t="s">
        <v>6</v>
      </c>
      <c r="G31" s="370" t="s">
        <v>7</v>
      </c>
      <c r="H31" s="370" t="s">
        <v>8</v>
      </c>
      <c r="I31" s="370" t="s">
        <v>9</v>
      </c>
      <c r="J31" s="370" t="s">
        <v>6</v>
      </c>
      <c r="K31" s="370" t="s">
        <v>7</v>
      </c>
      <c r="L31" s="370" t="s">
        <v>8</v>
      </c>
      <c r="M31" s="370" t="s">
        <v>9</v>
      </c>
      <c r="N31" s="2"/>
      <c r="O31" s="1444"/>
      <c r="P31" s="1446"/>
      <c r="Q31" s="368" t="s">
        <v>6</v>
      </c>
      <c r="R31" s="368" t="s">
        <v>7</v>
      </c>
      <c r="S31" s="368" t="s">
        <v>8</v>
      </c>
      <c r="T31" s="368" t="s">
        <v>9</v>
      </c>
      <c r="U31" s="368" t="s">
        <v>6</v>
      </c>
      <c r="V31" s="368" t="s">
        <v>7</v>
      </c>
      <c r="W31" s="368" t="s">
        <v>8</v>
      </c>
      <c r="X31" s="368" t="s">
        <v>9</v>
      </c>
      <c r="Y31" s="1442"/>
      <c r="Z31" s="11"/>
      <c r="AA31" s="57"/>
      <c r="AB31" s="57"/>
      <c r="AE31" s="2"/>
      <c r="AM31" s="1413"/>
      <c r="AN31" s="1415"/>
      <c r="AO31" s="1415"/>
      <c r="AP31" s="1417"/>
      <c r="AQ31" s="85"/>
    </row>
    <row r="32" spans="2:43" s="1" customFormat="1">
      <c r="B32" s="1413"/>
      <c r="C32" s="1418" t="s">
        <v>17</v>
      </c>
      <c r="D32" s="1418"/>
      <c r="E32" s="53" t="s">
        <v>169</v>
      </c>
      <c r="F32" s="3">
        <f>単価表!AV23</f>
        <v>0</v>
      </c>
      <c r="G32" s="3">
        <f>単価表!AV25</f>
        <v>0</v>
      </c>
      <c r="H32" s="3">
        <f>単価表!AV27</f>
        <v>0</v>
      </c>
      <c r="I32" s="3">
        <f>単価表!AV29</f>
        <v>0</v>
      </c>
      <c r="J32" s="3">
        <f>単価表!AW23</f>
        <v>0</v>
      </c>
      <c r="K32" s="3">
        <f>単価表!AW25</f>
        <v>0</v>
      </c>
      <c r="L32" s="3">
        <f>単価表!AW27</f>
        <v>0</v>
      </c>
      <c r="M32" s="3">
        <f>単価表!AW29</f>
        <v>0</v>
      </c>
      <c r="O32" s="1444"/>
      <c r="P32" s="630">
        <f>P6</f>
        <v>0</v>
      </c>
      <c r="Q32" s="3">
        <f>児童数!R26</f>
        <v>0</v>
      </c>
      <c r="R32" s="3">
        <f>児童数!S26</f>
        <v>0</v>
      </c>
      <c r="S32" s="3">
        <f>児童数!T26</f>
        <v>0</v>
      </c>
      <c r="T32" s="3">
        <f>児童数!U26</f>
        <v>0</v>
      </c>
      <c r="U32" s="3">
        <f>児童数!W26</f>
        <v>0</v>
      </c>
      <c r="V32" s="3">
        <f>児童数!X26</f>
        <v>0</v>
      </c>
      <c r="W32" s="3">
        <f>児童数!Y26</f>
        <v>0</v>
      </c>
      <c r="X32" s="3">
        <f>児童数!Z26</f>
        <v>0</v>
      </c>
      <c r="Y32" s="64">
        <f>SUM(Q32:X32)</f>
        <v>0</v>
      </c>
      <c r="Z32" s="2"/>
      <c r="AA32" s="57"/>
      <c r="AB32" s="57"/>
      <c r="AM32" s="1413"/>
      <c r="AN32" s="1418" t="s">
        <v>17</v>
      </c>
      <c r="AO32" s="1418"/>
      <c r="AP32" s="53" t="s">
        <v>169</v>
      </c>
      <c r="AQ32" s="85">
        <f>SUMPRODUCT(F32:M32,$Q$37:$X$37)</f>
        <v>0</v>
      </c>
    </row>
    <row r="33" spans="2:43" s="1" customFormat="1" ht="15" customHeight="1">
      <c r="B33" s="1413"/>
      <c r="C33" s="1418"/>
      <c r="D33" s="1418"/>
      <c r="E33" s="53" t="s">
        <v>167</v>
      </c>
      <c r="F33" s="3">
        <f>単価表!AX23*基本情報!G7</f>
        <v>0</v>
      </c>
      <c r="G33" s="3">
        <f>単価表!AX25*基本情報!G7</f>
        <v>0</v>
      </c>
      <c r="H33" s="3">
        <f>単価表!AX27*基本情報!G7</f>
        <v>0</v>
      </c>
      <c r="I33" s="3">
        <f>単価表!AX29*基本情報!G7</f>
        <v>0</v>
      </c>
      <c r="J33" s="3">
        <f>単価表!AY23*基本情報!G7</f>
        <v>0</v>
      </c>
      <c r="K33" s="3">
        <f>単価表!AY25*基本情報!G7</f>
        <v>0</v>
      </c>
      <c r="L33" s="3">
        <f>単価表!AY27*基本情報!G7</f>
        <v>0</v>
      </c>
      <c r="M33" s="3">
        <f>単価表!AY29*基本情報!G7</f>
        <v>0</v>
      </c>
      <c r="O33" s="1444"/>
      <c r="P33" s="631">
        <f>P7</f>
        <v>0</v>
      </c>
      <c r="Q33" s="3">
        <f>児童数!R40</f>
        <v>0</v>
      </c>
      <c r="R33" s="3">
        <f>児童数!S40</f>
        <v>0</v>
      </c>
      <c r="S33" s="3">
        <f>児童数!T40</f>
        <v>0</v>
      </c>
      <c r="T33" s="3">
        <f>児童数!U40</f>
        <v>0</v>
      </c>
      <c r="U33" s="3">
        <f>児童数!W40</f>
        <v>0</v>
      </c>
      <c r="V33" s="3">
        <f>児童数!X40</f>
        <v>0</v>
      </c>
      <c r="W33" s="3">
        <f>児童数!Y40</f>
        <v>0</v>
      </c>
      <c r="X33" s="3">
        <f>児童数!Z40</f>
        <v>0</v>
      </c>
      <c r="Y33" s="64">
        <f t="shared" ref="Y33:Y36" si="25">SUM(Q33:X33)</f>
        <v>0</v>
      </c>
      <c r="Z33" s="2"/>
      <c r="AA33" s="62"/>
      <c r="AB33" s="57"/>
      <c r="AM33" s="1413"/>
      <c r="AN33" s="1418"/>
      <c r="AO33" s="1418"/>
      <c r="AP33" s="53" t="s">
        <v>167</v>
      </c>
      <c r="AQ33" s="85">
        <f t="shared" ref="AQ33:AQ53" si="26">SUMPRODUCT(F33:M33,$Q$37:$X$37)</f>
        <v>0</v>
      </c>
    </row>
    <row r="34" spans="2:43" ht="16.5">
      <c r="B34" s="1413"/>
      <c r="C34" s="1419" t="s">
        <v>203</v>
      </c>
      <c r="D34" s="1422" t="s">
        <v>37</v>
      </c>
      <c r="E34" s="53" t="s">
        <v>169</v>
      </c>
      <c r="F34" s="6"/>
      <c r="G34" s="3">
        <f>IF(基本情報!E5="",0,G8)</f>
        <v>0</v>
      </c>
      <c r="H34" s="6"/>
      <c r="I34" s="6"/>
      <c r="J34" s="6"/>
      <c r="K34" s="3">
        <f>IF(基本情報!E5="",0,K8)</f>
        <v>0</v>
      </c>
      <c r="L34" s="6"/>
      <c r="M34" s="6"/>
      <c r="N34" s="1"/>
      <c r="O34" s="1444"/>
      <c r="P34" s="632">
        <f>P8</f>
        <v>0</v>
      </c>
      <c r="Q34" s="3">
        <f>児童数!R54</f>
        <v>0</v>
      </c>
      <c r="R34" s="3">
        <f>児童数!S54</f>
        <v>0</v>
      </c>
      <c r="S34" s="3">
        <f>児童数!T54</f>
        <v>0</v>
      </c>
      <c r="T34" s="3">
        <f>児童数!U54</f>
        <v>0</v>
      </c>
      <c r="U34" s="3">
        <f>児童数!W54</f>
        <v>0</v>
      </c>
      <c r="V34" s="3">
        <f>児童数!X54</f>
        <v>0</v>
      </c>
      <c r="W34" s="3">
        <f>児童数!Y54</f>
        <v>0</v>
      </c>
      <c r="X34" s="3">
        <f>児童数!Z54</f>
        <v>0</v>
      </c>
      <c r="Y34" s="64">
        <f t="shared" si="25"/>
        <v>0</v>
      </c>
      <c r="AA34" s="62"/>
      <c r="AB34" s="62"/>
      <c r="AE34" s="1"/>
      <c r="AM34" s="1413"/>
      <c r="AN34" s="1419" t="s">
        <v>203</v>
      </c>
      <c r="AO34" s="1422" t="s">
        <v>37</v>
      </c>
      <c r="AP34" s="732" t="s">
        <v>559</v>
      </c>
      <c r="AQ34" s="85">
        <f t="shared" si="26"/>
        <v>0</v>
      </c>
    </row>
    <row r="35" spans="2:43">
      <c r="B35" s="1413"/>
      <c r="C35" s="1420"/>
      <c r="D35" s="1422"/>
      <c r="E35" s="53" t="s">
        <v>167</v>
      </c>
      <c r="F35" s="6"/>
      <c r="G35" s="3">
        <f>IF(基本情報!E5="",0,G9)</f>
        <v>0</v>
      </c>
      <c r="H35" s="6"/>
      <c r="I35" s="6"/>
      <c r="J35" s="6"/>
      <c r="K35" s="3">
        <f>IF(基本情報!E5="",0,K9)</f>
        <v>0</v>
      </c>
      <c r="L35" s="6"/>
      <c r="M35" s="6"/>
      <c r="O35" s="1444"/>
      <c r="P35" s="633">
        <f>P9</f>
        <v>0</v>
      </c>
      <c r="Q35" s="3">
        <f>児童数!R68</f>
        <v>0</v>
      </c>
      <c r="R35" s="3">
        <f>児童数!S68</f>
        <v>0</v>
      </c>
      <c r="S35" s="3">
        <f>児童数!T68</f>
        <v>0</v>
      </c>
      <c r="T35" s="3">
        <f>児童数!U68</f>
        <v>0</v>
      </c>
      <c r="U35" s="3">
        <f>児童数!W68</f>
        <v>0</v>
      </c>
      <c r="V35" s="3">
        <f>児童数!X68</f>
        <v>0</v>
      </c>
      <c r="W35" s="3">
        <f>児童数!Y68</f>
        <v>0</v>
      </c>
      <c r="X35" s="3">
        <f>児童数!Z68</f>
        <v>0</v>
      </c>
      <c r="Y35" s="64">
        <f t="shared" si="25"/>
        <v>0</v>
      </c>
      <c r="AA35" s="62"/>
      <c r="AB35" s="62"/>
      <c r="AM35" s="1413"/>
      <c r="AN35" s="1420"/>
      <c r="AO35" s="1422"/>
      <c r="AP35" s="53" t="s">
        <v>167</v>
      </c>
      <c r="AQ35" s="85">
        <f t="shared" si="26"/>
        <v>0</v>
      </c>
    </row>
    <row r="36" spans="2:43">
      <c r="B36" s="1413"/>
      <c r="C36" s="1420"/>
      <c r="D36" s="383" t="s">
        <v>69</v>
      </c>
      <c r="E36" s="60"/>
      <c r="F36" s="3">
        <f>IF(基本情報!E5="",0,F10)</f>
        <v>0</v>
      </c>
      <c r="G36" s="3">
        <f>$F36</f>
        <v>0</v>
      </c>
      <c r="H36" s="3">
        <f t="shared" ref="H36:M36" si="27">$F36</f>
        <v>0</v>
      </c>
      <c r="I36" s="3">
        <f t="shared" si="27"/>
        <v>0</v>
      </c>
      <c r="J36" s="3">
        <f t="shared" si="27"/>
        <v>0</v>
      </c>
      <c r="K36" s="3">
        <f t="shared" si="27"/>
        <v>0</v>
      </c>
      <c r="L36" s="3">
        <f t="shared" si="27"/>
        <v>0</v>
      </c>
      <c r="M36" s="3">
        <f t="shared" si="27"/>
        <v>0</v>
      </c>
      <c r="O36" s="1444"/>
      <c r="P36" s="634">
        <f>P10</f>
        <v>0</v>
      </c>
      <c r="Q36" s="3">
        <f>児童数!R82</f>
        <v>0</v>
      </c>
      <c r="R36" s="3">
        <f>児童数!S82</f>
        <v>0</v>
      </c>
      <c r="S36" s="3">
        <f>児童数!T82</f>
        <v>0</v>
      </c>
      <c r="T36" s="3">
        <f>児童数!U82</f>
        <v>0</v>
      </c>
      <c r="U36" s="3">
        <f>児童数!W82</f>
        <v>0</v>
      </c>
      <c r="V36" s="3">
        <f>児童数!X82</f>
        <v>0</v>
      </c>
      <c r="W36" s="3">
        <f>児童数!Y82</f>
        <v>0</v>
      </c>
      <c r="X36" s="3">
        <f>児童数!Z82</f>
        <v>0</v>
      </c>
      <c r="Y36" s="64">
        <f t="shared" si="25"/>
        <v>0</v>
      </c>
      <c r="AA36" s="62"/>
      <c r="AB36" s="62"/>
      <c r="AM36" s="1413"/>
      <c r="AN36" s="1420"/>
      <c r="AO36" s="383" t="s">
        <v>69</v>
      </c>
      <c r="AP36" s="629"/>
      <c r="AQ36" s="85">
        <f t="shared" si="26"/>
        <v>0</v>
      </c>
    </row>
    <row r="37" spans="2:43">
      <c r="B37" s="1413"/>
      <c r="C37" s="1420"/>
      <c r="D37" s="1422" t="s">
        <v>161</v>
      </c>
      <c r="E37" s="53" t="s">
        <v>169</v>
      </c>
      <c r="F37" s="3">
        <f>IF(基本情報!E5="",0,F11)</f>
        <v>0</v>
      </c>
      <c r="G37" s="3">
        <f>F37</f>
        <v>0</v>
      </c>
      <c r="H37" s="3">
        <f>IF(基本情報!E5="",0,H11)</f>
        <v>0</v>
      </c>
      <c r="I37" s="3">
        <f>H37</f>
        <v>0</v>
      </c>
      <c r="J37" s="3">
        <f>F37</f>
        <v>0</v>
      </c>
      <c r="K37" s="3">
        <f>F37</f>
        <v>0</v>
      </c>
      <c r="L37" s="3">
        <f>I37</f>
        <v>0</v>
      </c>
      <c r="M37" s="3">
        <f>H37</f>
        <v>0</v>
      </c>
      <c r="O37" s="1445"/>
      <c r="P37" s="635" t="s">
        <v>36</v>
      </c>
      <c r="Q37" s="3">
        <f>SUM(Q32:Q36)</f>
        <v>0</v>
      </c>
      <c r="R37" s="3">
        <f t="shared" ref="R37:Y37" si="28">SUM(R32:R36)</f>
        <v>0</v>
      </c>
      <c r="S37" s="3">
        <f t="shared" si="28"/>
        <v>0</v>
      </c>
      <c r="T37" s="3">
        <f t="shared" si="28"/>
        <v>0</v>
      </c>
      <c r="U37" s="3">
        <f t="shared" si="28"/>
        <v>0</v>
      </c>
      <c r="V37" s="3">
        <f t="shared" si="28"/>
        <v>0</v>
      </c>
      <c r="W37" s="3">
        <f t="shared" si="28"/>
        <v>0</v>
      </c>
      <c r="X37" s="3">
        <f t="shared" si="28"/>
        <v>0</v>
      </c>
      <c r="Y37" s="3">
        <f t="shared" si="28"/>
        <v>0</v>
      </c>
      <c r="Z37" s="55" t="s">
        <v>176</v>
      </c>
      <c r="AA37" s="71" t="str">
        <f>IF(SUM(Q37:X37)=I2,"OK",SUM(Q37:X37)-G27)</f>
        <v>OK</v>
      </c>
      <c r="AM37" s="1413"/>
      <c r="AN37" s="1420"/>
      <c r="AO37" s="1422" t="s">
        <v>161</v>
      </c>
      <c r="AP37" s="53" t="s">
        <v>169</v>
      </c>
      <c r="AQ37" s="85">
        <f t="shared" si="26"/>
        <v>0</v>
      </c>
    </row>
    <row r="38" spans="2:43">
      <c r="B38" s="1413"/>
      <c r="C38" s="1420"/>
      <c r="D38" s="1422"/>
      <c r="E38" s="53" t="s">
        <v>167</v>
      </c>
      <c r="F38" s="3">
        <f>IF(基本情報!E5="",0,F12)</f>
        <v>0</v>
      </c>
      <c r="G38" s="3">
        <f>$F38</f>
        <v>0</v>
      </c>
      <c r="H38" s="3">
        <f t="shared" ref="H38:M38" si="29">$F38</f>
        <v>0</v>
      </c>
      <c r="I38" s="3">
        <f t="shared" si="29"/>
        <v>0</v>
      </c>
      <c r="J38" s="3">
        <f t="shared" si="29"/>
        <v>0</v>
      </c>
      <c r="K38" s="3">
        <f t="shared" si="29"/>
        <v>0</v>
      </c>
      <c r="L38" s="3">
        <f t="shared" si="29"/>
        <v>0</v>
      </c>
      <c r="M38" s="3">
        <f t="shared" si="29"/>
        <v>0</v>
      </c>
      <c r="O38" s="58"/>
      <c r="P38" s="58"/>
      <c r="Q38" s="10"/>
      <c r="R38" s="10"/>
      <c r="S38" s="10"/>
      <c r="T38" s="10"/>
      <c r="U38" s="10"/>
      <c r="V38" s="10"/>
      <c r="W38" s="10"/>
      <c r="X38" s="10"/>
      <c r="Y38" s="11"/>
      <c r="Z38" s="11"/>
      <c r="AM38" s="1413"/>
      <c r="AN38" s="1420"/>
      <c r="AO38" s="1422"/>
      <c r="AP38" s="53" t="s">
        <v>167</v>
      </c>
      <c r="AQ38" s="85">
        <f t="shared" si="26"/>
        <v>0</v>
      </c>
    </row>
    <row r="39" spans="2:43" ht="16.5">
      <c r="B39" s="1413"/>
      <c r="C39" s="1420"/>
      <c r="D39" s="366" t="s">
        <v>162</v>
      </c>
      <c r="E39" s="59"/>
      <c r="F39" s="3">
        <f>IF(基本情報!E5="",0,F13)</f>
        <v>0</v>
      </c>
      <c r="G39" s="3">
        <f t="shared" ref="G39:M42" si="30">$F39</f>
        <v>0</v>
      </c>
      <c r="H39" s="3">
        <f t="shared" si="30"/>
        <v>0</v>
      </c>
      <c r="I39" s="3">
        <f t="shared" si="30"/>
        <v>0</v>
      </c>
      <c r="J39" s="3">
        <f t="shared" si="30"/>
        <v>0</v>
      </c>
      <c r="K39" s="3">
        <f t="shared" si="30"/>
        <v>0</v>
      </c>
      <c r="L39" s="3">
        <f t="shared" si="30"/>
        <v>0</v>
      </c>
      <c r="M39" s="3">
        <f t="shared" si="30"/>
        <v>0</v>
      </c>
      <c r="O39" s="1443" t="s">
        <v>189</v>
      </c>
      <c r="P39" s="1446" t="s">
        <v>171</v>
      </c>
      <c r="Q39" s="1440" t="s">
        <v>15</v>
      </c>
      <c r="R39" s="1440"/>
      <c r="S39" s="1440"/>
      <c r="T39" s="1440"/>
      <c r="U39" s="1440" t="s">
        <v>16</v>
      </c>
      <c r="V39" s="1440"/>
      <c r="W39" s="1440"/>
      <c r="X39" s="1440"/>
      <c r="Y39" s="1441" t="s">
        <v>177</v>
      </c>
      <c r="AM39" s="1413"/>
      <c r="AN39" s="1420"/>
      <c r="AO39" s="720" t="s">
        <v>162</v>
      </c>
      <c r="AP39" s="731" t="s">
        <v>353</v>
      </c>
      <c r="AQ39" s="85">
        <f t="shared" si="26"/>
        <v>0</v>
      </c>
    </row>
    <row r="40" spans="2:43" ht="16.5">
      <c r="B40" s="1413"/>
      <c r="C40" s="1420"/>
      <c r="D40" s="366" t="s">
        <v>54</v>
      </c>
      <c r="E40" s="59"/>
      <c r="F40" s="3">
        <f>IF(基本情報!E5="",0,F14)</f>
        <v>0</v>
      </c>
      <c r="G40" s="3">
        <f t="shared" si="30"/>
        <v>0</v>
      </c>
      <c r="H40" s="3">
        <f t="shared" si="30"/>
        <v>0</v>
      </c>
      <c r="I40" s="3">
        <f t="shared" si="30"/>
        <v>0</v>
      </c>
      <c r="J40" s="3">
        <f t="shared" si="30"/>
        <v>0</v>
      </c>
      <c r="K40" s="3">
        <f t="shared" si="30"/>
        <v>0</v>
      </c>
      <c r="L40" s="3">
        <f t="shared" si="30"/>
        <v>0</v>
      </c>
      <c r="M40" s="3">
        <f t="shared" si="30"/>
        <v>0</v>
      </c>
      <c r="O40" s="1444"/>
      <c r="P40" s="1446"/>
      <c r="Q40" s="368" t="s">
        <v>6</v>
      </c>
      <c r="R40" s="368" t="s">
        <v>7</v>
      </c>
      <c r="S40" s="368" t="s">
        <v>8</v>
      </c>
      <c r="T40" s="368" t="s">
        <v>9</v>
      </c>
      <c r="U40" s="368" t="s">
        <v>6</v>
      </c>
      <c r="V40" s="368" t="s">
        <v>7</v>
      </c>
      <c r="W40" s="368" t="s">
        <v>8</v>
      </c>
      <c r="X40" s="368" t="s">
        <v>9</v>
      </c>
      <c r="Y40" s="1442"/>
      <c r="AM40" s="1413"/>
      <c r="AN40" s="1420"/>
      <c r="AO40" s="720" t="s">
        <v>54</v>
      </c>
      <c r="AP40" s="731" t="s">
        <v>353</v>
      </c>
      <c r="AQ40" s="85">
        <f t="shared" si="26"/>
        <v>0</v>
      </c>
    </row>
    <row r="41" spans="2:43" ht="16.5">
      <c r="B41" s="1413"/>
      <c r="C41" s="1420"/>
      <c r="D41" s="1422" t="s">
        <v>38</v>
      </c>
      <c r="E41" s="53" t="s">
        <v>169</v>
      </c>
      <c r="F41" s="3">
        <f>IF(基本情報!E5="",0,F15)</f>
        <v>0</v>
      </c>
      <c r="G41" s="3">
        <f t="shared" si="30"/>
        <v>0</v>
      </c>
      <c r="H41" s="3">
        <f t="shared" si="30"/>
        <v>0</v>
      </c>
      <c r="I41" s="3">
        <f t="shared" si="30"/>
        <v>0</v>
      </c>
      <c r="J41" s="3">
        <f t="shared" si="30"/>
        <v>0</v>
      </c>
      <c r="K41" s="3">
        <f t="shared" si="30"/>
        <v>0</v>
      </c>
      <c r="L41" s="3">
        <f t="shared" si="30"/>
        <v>0</v>
      </c>
      <c r="M41" s="3">
        <f t="shared" si="30"/>
        <v>0</v>
      </c>
      <c r="O41" s="1444"/>
      <c r="P41" s="630">
        <f>P32</f>
        <v>0</v>
      </c>
      <c r="Q41" s="3">
        <f t="shared" ref="Q41:X41" si="31">F54*Q32</f>
        <v>0</v>
      </c>
      <c r="R41" s="3">
        <f t="shared" si="31"/>
        <v>0</v>
      </c>
      <c r="S41" s="3">
        <f t="shared" si="31"/>
        <v>0</v>
      </c>
      <c r="T41" s="3">
        <f t="shared" si="31"/>
        <v>0</v>
      </c>
      <c r="U41" s="3">
        <f t="shared" si="31"/>
        <v>0</v>
      </c>
      <c r="V41" s="3">
        <f t="shared" si="31"/>
        <v>0</v>
      </c>
      <c r="W41" s="3">
        <f t="shared" si="31"/>
        <v>0</v>
      </c>
      <c r="X41" s="3">
        <f t="shared" si="31"/>
        <v>0</v>
      </c>
      <c r="Y41" s="3">
        <f>SUM(Q41:X41)</f>
        <v>0</v>
      </c>
      <c r="AM41" s="1413"/>
      <c r="AN41" s="1420"/>
      <c r="AO41" s="1422" t="s">
        <v>38</v>
      </c>
      <c r="AP41" s="732" t="s">
        <v>559</v>
      </c>
      <c r="AQ41" s="85">
        <f t="shared" si="26"/>
        <v>0</v>
      </c>
    </row>
    <row r="42" spans="2:43">
      <c r="B42" s="1413"/>
      <c r="C42" s="1421"/>
      <c r="D42" s="1422"/>
      <c r="E42" s="53" t="s">
        <v>167</v>
      </c>
      <c r="F42" s="3">
        <f>IF(基本情報!E5="",0,F16)</f>
        <v>0</v>
      </c>
      <c r="G42" s="3">
        <f t="shared" si="30"/>
        <v>0</v>
      </c>
      <c r="H42" s="3">
        <f t="shared" si="30"/>
        <v>0</v>
      </c>
      <c r="I42" s="3">
        <f t="shared" si="30"/>
        <v>0</v>
      </c>
      <c r="J42" s="3">
        <f t="shared" si="30"/>
        <v>0</v>
      </c>
      <c r="K42" s="3">
        <f t="shared" si="30"/>
        <v>0</v>
      </c>
      <c r="L42" s="3">
        <f t="shared" si="30"/>
        <v>0</v>
      </c>
      <c r="M42" s="3">
        <f t="shared" si="30"/>
        <v>0</v>
      </c>
      <c r="O42" s="1444"/>
      <c r="P42" s="631">
        <f>P33</f>
        <v>0</v>
      </c>
      <c r="Q42" s="3">
        <f t="shared" ref="Q42:X42" si="32">F54*Q33</f>
        <v>0</v>
      </c>
      <c r="R42" s="3">
        <f t="shared" si="32"/>
        <v>0</v>
      </c>
      <c r="S42" s="3">
        <f t="shared" si="32"/>
        <v>0</v>
      </c>
      <c r="T42" s="3">
        <f t="shared" si="32"/>
        <v>0</v>
      </c>
      <c r="U42" s="3">
        <f t="shared" si="32"/>
        <v>0</v>
      </c>
      <c r="V42" s="3">
        <f t="shared" si="32"/>
        <v>0</v>
      </c>
      <c r="W42" s="3">
        <f t="shared" si="32"/>
        <v>0</v>
      </c>
      <c r="X42" s="3">
        <f t="shared" si="32"/>
        <v>0</v>
      </c>
      <c r="Y42" s="3">
        <f t="shared" ref="Y42:Y45" si="33">SUM(Q42:X42)</f>
        <v>0</v>
      </c>
      <c r="AM42" s="1413"/>
      <c r="AN42" s="1421"/>
      <c r="AO42" s="1422"/>
      <c r="AP42" s="53" t="s">
        <v>167</v>
      </c>
      <c r="AQ42" s="85">
        <f t="shared" si="26"/>
        <v>0</v>
      </c>
    </row>
    <row r="43" spans="2:43">
      <c r="B43" s="1413"/>
      <c r="C43" s="1423" t="s">
        <v>205</v>
      </c>
      <c r="D43" s="371" t="s">
        <v>164</v>
      </c>
      <c r="E43" s="60"/>
      <c r="F43" s="3">
        <f t="shared" ref="F43:M43" si="34">-ROUNDDOWN((F32+F33)*$P$2%,-1)</f>
        <v>0</v>
      </c>
      <c r="G43" s="3">
        <f t="shared" si="34"/>
        <v>0</v>
      </c>
      <c r="H43" s="3">
        <f t="shared" si="34"/>
        <v>0</v>
      </c>
      <c r="I43" s="3">
        <f t="shared" si="34"/>
        <v>0</v>
      </c>
      <c r="J43" s="3">
        <f t="shared" si="34"/>
        <v>0</v>
      </c>
      <c r="K43" s="3">
        <f t="shared" si="34"/>
        <v>0</v>
      </c>
      <c r="L43" s="3">
        <f t="shared" si="34"/>
        <v>0</v>
      </c>
      <c r="M43" s="3">
        <f t="shared" si="34"/>
        <v>0</v>
      </c>
      <c r="O43" s="1444"/>
      <c r="P43" s="632">
        <f>P34</f>
        <v>0</v>
      </c>
      <c r="Q43" s="3">
        <f t="shared" ref="Q43:X43" si="35">F54*Q34</f>
        <v>0</v>
      </c>
      <c r="R43" s="3">
        <f t="shared" si="35"/>
        <v>0</v>
      </c>
      <c r="S43" s="3">
        <f t="shared" si="35"/>
        <v>0</v>
      </c>
      <c r="T43" s="3">
        <f t="shared" si="35"/>
        <v>0</v>
      </c>
      <c r="U43" s="3">
        <f t="shared" si="35"/>
        <v>0</v>
      </c>
      <c r="V43" s="3">
        <f t="shared" si="35"/>
        <v>0</v>
      </c>
      <c r="W43" s="3">
        <f t="shared" si="35"/>
        <v>0</v>
      </c>
      <c r="X43" s="3">
        <f t="shared" si="35"/>
        <v>0</v>
      </c>
      <c r="Y43" s="3">
        <f t="shared" si="33"/>
        <v>0</v>
      </c>
      <c r="AM43" s="1413"/>
      <c r="AN43" s="1423" t="s">
        <v>205</v>
      </c>
      <c r="AO43" s="717" t="s">
        <v>164</v>
      </c>
      <c r="AP43" s="60"/>
      <c r="AQ43" s="85">
        <f t="shared" si="26"/>
        <v>0</v>
      </c>
    </row>
    <row r="44" spans="2:43">
      <c r="B44" s="1413"/>
      <c r="C44" s="1423"/>
      <c r="D44" s="1424" t="s">
        <v>43</v>
      </c>
      <c r="E44" s="53" t="s">
        <v>169</v>
      </c>
      <c r="F44" s="74">
        <f>-IF(加算と減算!I32="○",単価表!AZ23,0)</f>
        <v>0</v>
      </c>
      <c r="G44" s="74">
        <f>F44</f>
        <v>0</v>
      </c>
      <c r="H44" s="74">
        <f>F44</f>
        <v>0</v>
      </c>
      <c r="I44" s="74">
        <f>F44</f>
        <v>0</v>
      </c>
      <c r="J44" s="74">
        <f>F44</f>
        <v>0</v>
      </c>
      <c r="K44" s="74">
        <f>F44</f>
        <v>0</v>
      </c>
      <c r="L44" s="74">
        <f>F44</f>
        <v>0</v>
      </c>
      <c r="M44" s="74">
        <f>F44</f>
        <v>0</v>
      </c>
      <c r="O44" s="1444"/>
      <c r="P44" s="633">
        <f>P35</f>
        <v>0</v>
      </c>
      <c r="Q44" s="3">
        <f t="shared" ref="Q44:X44" si="36">F54*Q35</f>
        <v>0</v>
      </c>
      <c r="R44" s="3">
        <f t="shared" si="36"/>
        <v>0</v>
      </c>
      <c r="S44" s="3">
        <f t="shared" si="36"/>
        <v>0</v>
      </c>
      <c r="T44" s="3">
        <f t="shared" si="36"/>
        <v>0</v>
      </c>
      <c r="U44" s="3">
        <f t="shared" si="36"/>
        <v>0</v>
      </c>
      <c r="V44" s="3">
        <f t="shared" si="36"/>
        <v>0</v>
      </c>
      <c r="W44" s="3">
        <f t="shared" si="36"/>
        <v>0</v>
      </c>
      <c r="X44" s="3">
        <f t="shared" si="36"/>
        <v>0</v>
      </c>
      <c r="Y44" s="3">
        <f t="shared" si="33"/>
        <v>0</v>
      </c>
      <c r="AM44" s="1413"/>
      <c r="AN44" s="1423"/>
      <c r="AO44" s="1424" t="s">
        <v>43</v>
      </c>
      <c r="AP44" s="53" t="s">
        <v>169</v>
      </c>
      <c r="AQ44" s="85">
        <f t="shared" si="26"/>
        <v>0</v>
      </c>
    </row>
    <row r="45" spans="2:43">
      <c r="B45" s="1413"/>
      <c r="C45" s="1423"/>
      <c r="D45" s="1424"/>
      <c r="E45" s="53" t="s">
        <v>167</v>
      </c>
      <c r="F45" s="74">
        <f>-IF(加算と減算!I32="○",単価表!BA23*基本情報!G7,0)</f>
        <v>0</v>
      </c>
      <c r="G45" s="74">
        <f>F45</f>
        <v>0</v>
      </c>
      <c r="H45" s="74">
        <f>F45</f>
        <v>0</v>
      </c>
      <c r="I45" s="74">
        <f>F45</f>
        <v>0</v>
      </c>
      <c r="J45" s="74">
        <f>F45</f>
        <v>0</v>
      </c>
      <c r="K45" s="74">
        <f>F45</f>
        <v>0</v>
      </c>
      <c r="L45" s="74">
        <f>F45</f>
        <v>0</v>
      </c>
      <c r="M45" s="74">
        <f>F45</f>
        <v>0</v>
      </c>
      <c r="O45" s="1444"/>
      <c r="P45" s="634">
        <f>P36</f>
        <v>0</v>
      </c>
      <c r="Q45" s="3">
        <f t="shared" ref="Q45:X45" si="37">F54*Q36</f>
        <v>0</v>
      </c>
      <c r="R45" s="3">
        <f t="shared" si="37"/>
        <v>0</v>
      </c>
      <c r="S45" s="3">
        <f t="shared" si="37"/>
        <v>0</v>
      </c>
      <c r="T45" s="3">
        <f t="shared" si="37"/>
        <v>0</v>
      </c>
      <c r="U45" s="3">
        <f t="shared" si="37"/>
        <v>0</v>
      </c>
      <c r="V45" s="3">
        <f t="shared" si="37"/>
        <v>0</v>
      </c>
      <c r="W45" s="3">
        <f t="shared" si="37"/>
        <v>0</v>
      </c>
      <c r="X45" s="3">
        <f t="shared" si="37"/>
        <v>0</v>
      </c>
      <c r="Y45" s="3">
        <f t="shared" si="33"/>
        <v>0</v>
      </c>
      <c r="AM45" s="1413"/>
      <c r="AN45" s="1423"/>
      <c r="AO45" s="1424"/>
      <c r="AP45" s="53" t="s">
        <v>167</v>
      </c>
      <c r="AQ45" s="85">
        <f t="shared" si="26"/>
        <v>0</v>
      </c>
    </row>
    <row r="46" spans="2:43">
      <c r="B46" s="1413"/>
      <c r="C46" s="1423"/>
      <c r="D46" s="371" t="s">
        <v>165</v>
      </c>
      <c r="E46" s="60"/>
      <c r="F46" s="74">
        <f t="shared" ref="F46:M46" si="38">-ROUNDDOWN((F32+F33+F37+F38+F34+F35)*$T$2/100,-1)</f>
        <v>0</v>
      </c>
      <c r="G46" s="74">
        <f t="shared" si="38"/>
        <v>0</v>
      </c>
      <c r="H46" s="74">
        <f t="shared" si="38"/>
        <v>0</v>
      </c>
      <c r="I46" s="74">
        <f t="shared" si="38"/>
        <v>0</v>
      </c>
      <c r="J46" s="74">
        <f t="shared" si="38"/>
        <v>0</v>
      </c>
      <c r="K46" s="74">
        <f t="shared" si="38"/>
        <v>0</v>
      </c>
      <c r="L46" s="74">
        <f t="shared" si="38"/>
        <v>0</v>
      </c>
      <c r="M46" s="74">
        <f t="shared" si="38"/>
        <v>0</v>
      </c>
      <c r="O46" s="1445"/>
      <c r="P46" s="635" t="s">
        <v>36</v>
      </c>
      <c r="Q46" s="3">
        <f>SUM(Q41:Q45)</f>
        <v>0</v>
      </c>
      <c r="R46" s="3">
        <f t="shared" ref="R46:Y46" si="39">SUM(R41:R45)</f>
        <v>0</v>
      </c>
      <c r="S46" s="3">
        <f t="shared" si="39"/>
        <v>0</v>
      </c>
      <c r="T46" s="3">
        <f t="shared" si="39"/>
        <v>0</v>
      </c>
      <c r="U46" s="3">
        <f t="shared" si="39"/>
        <v>0</v>
      </c>
      <c r="V46" s="3">
        <f t="shared" si="39"/>
        <v>0</v>
      </c>
      <c r="W46" s="3">
        <f t="shared" si="39"/>
        <v>0</v>
      </c>
      <c r="X46" s="3">
        <f t="shared" si="39"/>
        <v>0</v>
      </c>
      <c r="Y46" s="3">
        <f t="shared" si="39"/>
        <v>0</v>
      </c>
      <c r="AM46" s="1413"/>
      <c r="AN46" s="1423"/>
      <c r="AO46" s="717" t="s">
        <v>165</v>
      </c>
      <c r="AP46" s="60"/>
      <c r="AQ46" s="85">
        <f t="shared" si="26"/>
        <v>0</v>
      </c>
    </row>
    <row r="47" spans="2:43" ht="15" customHeight="1">
      <c r="B47" s="1413"/>
      <c r="C47" s="1423"/>
      <c r="D47" s="371" t="s">
        <v>166</v>
      </c>
      <c r="E47" s="60"/>
      <c r="F47" s="74">
        <f t="shared" ref="F47:M47" si="40">-ROUNDUP(SUM(F32:F46)*$W$2/100,-1)</f>
        <v>0</v>
      </c>
      <c r="G47" s="74">
        <f t="shared" si="40"/>
        <v>0</v>
      </c>
      <c r="H47" s="74">
        <f t="shared" si="40"/>
        <v>0</v>
      </c>
      <c r="I47" s="74">
        <f t="shared" si="40"/>
        <v>0</v>
      </c>
      <c r="J47" s="74">
        <f t="shared" si="40"/>
        <v>0</v>
      </c>
      <c r="K47" s="74">
        <f t="shared" si="40"/>
        <v>0</v>
      </c>
      <c r="L47" s="74">
        <f t="shared" si="40"/>
        <v>0</v>
      </c>
      <c r="M47" s="74">
        <f t="shared" si="40"/>
        <v>0</v>
      </c>
      <c r="O47" s="8"/>
      <c r="P47" s="58"/>
      <c r="Q47" s="7"/>
      <c r="R47" s="7"/>
      <c r="S47" s="7"/>
      <c r="T47" s="7"/>
      <c r="U47" s="7"/>
      <c r="V47" s="7"/>
      <c r="W47" s="7"/>
      <c r="X47" s="7"/>
      <c r="Y47" s="4"/>
      <c r="Z47" s="4"/>
      <c r="AM47" s="1413"/>
      <c r="AN47" s="1423"/>
      <c r="AO47" s="717" t="s">
        <v>166</v>
      </c>
      <c r="AP47" s="60"/>
      <c r="AQ47" s="85">
        <f t="shared" si="26"/>
        <v>0</v>
      </c>
    </row>
    <row r="48" spans="2:43" ht="15" customHeight="1">
      <c r="B48" s="1413"/>
      <c r="C48" s="1419" t="s">
        <v>204</v>
      </c>
      <c r="D48" s="366" t="s">
        <v>18</v>
      </c>
      <c r="E48" s="59"/>
      <c r="F48" s="3">
        <f>IF(基本情報!E5="",0,F21)</f>
        <v>0</v>
      </c>
      <c r="G48" s="3">
        <f>$F48</f>
        <v>0</v>
      </c>
      <c r="H48" s="3">
        <f t="shared" ref="H48:M48" si="41">$F48</f>
        <v>0</v>
      </c>
      <c r="I48" s="3">
        <f t="shared" si="41"/>
        <v>0</v>
      </c>
      <c r="J48" s="3">
        <f t="shared" si="41"/>
        <v>0</v>
      </c>
      <c r="K48" s="3">
        <f t="shared" si="41"/>
        <v>0</v>
      </c>
      <c r="L48" s="3">
        <f t="shared" si="41"/>
        <v>0</v>
      </c>
      <c r="M48" s="3">
        <f t="shared" si="41"/>
        <v>0</v>
      </c>
      <c r="O48" s="1443" t="s">
        <v>180</v>
      </c>
      <c r="P48" s="367" t="s">
        <v>171</v>
      </c>
      <c r="Q48" s="61" t="s">
        <v>178</v>
      </c>
      <c r="R48" s="40" t="s">
        <v>179</v>
      </c>
      <c r="S48" s="4"/>
      <c r="T48" s="1443" t="s">
        <v>190</v>
      </c>
      <c r="U48" s="367" t="s">
        <v>171</v>
      </c>
      <c r="V48" s="40" t="s">
        <v>179</v>
      </c>
      <c r="X48" s="1431" t="s">
        <v>186</v>
      </c>
      <c r="Y48" s="1431"/>
      <c r="AM48" s="1413"/>
      <c r="AN48" s="1419" t="s">
        <v>204</v>
      </c>
      <c r="AO48" s="720" t="s">
        <v>18</v>
      </c>
      <c r="AP48" s="732" t="s">
        <v>559</v>
      </c>
      <c r="AQ48" s="85">
        <f t="shared" si="26"/>
        <v>0</v>
      </c>
    </row>
    <row r="49" spans="2:43" ht="16.5">
      <c r="B49" s="1413"/>
      <c r="C49" s="1420"/>
      <c r="D49" s="366" t="s">
        <v>62</v>
      </c>
      <c r="E49" s="59"/>
      <c r="F49" s="3">
        <f>IF(基本情報!E5="",0,F22)</f>
        <v>0</v>
      </c>
      <c r="G49" s="3">
        <f t="shared" ref="G49:M53" si="42">$F49</f>
        <v>0</v>
      </c>
      <c r="H49" s="3">
        <f t="shared" si="42"/>
        <v>0</v>
      </c>
      <c r="I49" s="3">
        <f t="shared" si="42"/>
        <v>0</v>
      </c>
      <c r="J49" s="3">
        <f t="shared" si="42"/>
        <v>0</v>
      </c>
      <c r="K49" s="3">
        <f t="shared" si="42"/>
        <v>0</v>
      </c>
      <c r="L49" s="3">
        <f t="shared" si="42"/>
        <v>0</v>
      </c>
      <c r="M49" s="3">
        <f t="shared" si="42"/>
        <v>0</v>
      </c>
      <c r="O49" s="1444"/>
      <c r="P49" s="630">
        <f>P32</f>
        <v>0</v>
      </c>
      <c r="Q49" s="3">
        <f>児童数!AF26</f>
        <v>0</v>
      </c>
      <c r="R49" s="64">
        <f>4500*Q49</f>
        <v>0</v>
      </c>
      <c r="S49" s="4"/>
      <c r="T49" s="1444"/>
      <c r="U49" s="630">
        <f>P32</f>
        <v>0</v>
      </c>
      <c r="V49" s="65">
        <f>Y41+R49</f>
        <v>0</v>
      </c>
      <c r="X49" s="630">
        <f>P32</f>
        <v>0</v>
      </c>
      <c r="Y49" s="65" t="e">
        <f>V23+V49</f>
        <v>#VALUE!</v>
      </c>
      <c r="AM49" s="1413"/>
      <c r="AN49" s="1420"/>
      <c r="AO49" s="720" t="s">
        <v>62</v>
      </c>
      <c r="AP49" s="732" t="s">
        <v>559</v>
      </c>
      <c r="AQ49" s="85">
        <f t="shared" si="26"/>
        <v>0</v>
      </c>
    </row>
    <row r="50" spans="2:43" ht="16.5">
      <c r="B50" s="1413"/>
      <c r="C50" s="1420"/>
      <c r="D50" s="366" t="s">
        <v>19</v>
      </c>
      <c r="E50" s="59"/>
      <c r="F50" s="3">
        <f>IF(基本情報!E5="",0,F23)</f>
        <v>0</v>
      </c>
      <c r="G50" s="3">
        <f t="shared" si="42"/>
        <v>0</v>
      </c>
      <c r="H50" s="3">
        <f t="shared" si="42"/>
        <v>0</v>
      </c>
      <c r="I50" s="3">
        <f t="shared" si="42"/>
        <v>0</v>
      </c>
      <c r="J50" s="3">
        <f t="shared" si="42"/>
        <v>0</v>
      </c>
      <c r="K50" s="3">
        <f t="shared" si="42"/>
        <v>0</v>
      </c>
      <c r="L50" s="3">
        <f t="shared" si="42"/>
        <v>0</v>
      </c>
      <c r="M50" s="3">
        <f t="shared" si="42"/>
        <v>0</v>
      </c>
      <c r="O50" s="1444"/>
      <c r="P50" s="631">
        <f>P33</f>
        <v>0</v>
      </c>
      <c r="Q50" s="3">
        <f>児童数!AF40</f>
        <v>0</v>
      </c>
      <c r="R50" s="64">
        <f t="shared" ref="R50:R53" si="43">4500*Q50</f>
        <v>0</v>
      </c>
      <c r="S50" s="4"/>
      <c r="T50" s="1444"/>
      <c r="U50" s="631">
        <f>P33</f>
        <v>0</v>
      </c>
      <c r="V50" s="66">
        <f>Y42+R50</f>
        <v>0</v>
      </c>
      <c r="X50" s="631">
        <f>P33</f>
        <v>0</v>
      </c>
      <c r="Y50" s="66" t="e">
        <f>V24+V50</f>
        <v>#VALUE!</v>
      </c>
      <c r="AM50" s="1413"/>
      <c r="AN50" s="1420"/>
      <c r="AO50" s="720" t="s">
        <v>19</v>
      </c>
      <c r="AP50" s="732" t="s">
        <v>559</v>
      </c>
      <c r="AQ50" s="85">
        <f t="shared" si="26"/>
        <v>0</v>
      </c>
    </row>
    <row r="51" spans="2:43" ht="16.5">
      <c r="B51" s="1413"/>
      <c r="C51" s="1420"/>
      <c r="D51" s="366" t="s">
        <v>41</v>
      </c>
      <c r="E51" s="59"/>
      <c r="F51" s="3">
        <f>IF(基本情報!E5="",0,F24)</f>
        <v>0</v>
      </c>
      <c r="G51" s="3">
        <f t="shared" si="42"/>
        <v>0</v>
      </c>
      <c r="H51" s="3">
        <f t="shared" si="42"/>
        <v>0</v>
      </c>
      <c r="I51" s="3">
        <f t="shared" si="42"/>
        <v>0</v>
      </c>
      <c r="J51" s="3">
        <f t="shared" si="42"/>
        <v>0</v>
      </c>
      <c r="K51" s="3">
        <f t="shared" si="42"/>
        <v>0</v>
      </c>
      <c r="L51" s="3">
        <f t="shared" si="42"/>
        <v>0</v>
      </c>
      <c r="M51" s="3">
        <f t="shared" si="42"/>
        <v>0</v>
      </c>
      <c r="O51" s="1444"/>
      <c r="P51" s="632">
        <f>P34</f>
        <v>0</v>
      </c>
      <c r="Q51" s="3">
        <f>児童数!AF54</f>
        <v>0</v>
      </c>
      <c r="R51" s="64">
        <f t="shared" si="43"/>
        <v>0</v>
      </c>
      <c r="S51" s="4"/>
      <c r="T51" s="1444"/>
      <c r="U51" s="632">
        <f>P34</f>
        <v>0</v>
      </c>
      <c r="V51" s="67">
        <f>Y43+R51</f>
        <v>0</v>
      </c>
      <c r="X51" s="632">
        <f>P34</f>
        <v>0</v>
      </c>
      <c r="Y51" s="67" t="e">
        <f>V25+V51</f>
        <v>#VALUE!</v>
      </c>
      <c r="AM51" s="1413"/>
      <c r="AN51" s="1420"/>
      <c r="AO51" s="720" t="s">
        <v>41</v>
      </c>
      <c r="AP51" s="732" t="s">
        <v>559</v>
      </c>
      <c r="AQ51" s="85">
        <f t="shared" si="26"/>
        <v>0</v>
      </c>
    </row>
    <row r="52" spans="2:43" ht="16.5">
      <c r="B52" s="1413"/>
      <c r="C52" s="1420"/>
      <c r="D52" s="366" t="s">
        <v>42</v>
      </c>
      <c r="E52" s="59"/>
      <c r="F52" s="3">
        <f>IF(基本情報!E5="",0,F25)</f>
        <v>0</v>
      </c>
      <c r="G52" s="3">
        <f t="shared" si="42"/>
        <v>0</v>
      </c>
      <c r="H52" s="3">
        <f t="shared" si="42"/>
        <v>0</v>
      </c>
      <c r="I52" s="3">
        <f t="shared" si="42"/>
        <v>0</v>
      </c>
      <c r="J52" s="3">
        <f t="shared" si="42"/>
        <v>0</v>
      </c>
      <c r="K52" s="3">
        <f t="shared" si="42"/>
        <v>0</v>
      </c>
      <c r="L52" s="3">
        <f t="shared" si="42"/>
        <v>0</v>
      </c>
      <c r="M52" s="3">
        <f t="shared" si="42"/>
        <v>0</v>
      </c>
      <c r="O52" s="1444"/>
      <c r="P52" s="633">
        <f>P35</f>
        <v>0</v>
      </c>
      <c r="Q52" s="3">
        <f>児童数!AF68</f>
        <v>0</v>
      </c>
      <c r="R52" s="64">
        <f t="shared" si="43"/>
        <v>0</v>
      </c>
      <c r="S52" s="4"/>
      <c r="T52" s="1444"/>
      <c r="U52" s="633">
        <f>P35</f>
        <v>0</v>
      </c>
      <c r="V52" s="68">
        <f>Y44+R52</f>
        <v>0</v>
      </c>
      <c r="X52" s="633">
        <f>P35</f>
        <v>0</v>
      </c>
      <c r="Y52" s="68" t="e">
        <f>V26+V52</f>
        <v>#VALUE!</v>
      </c>
      <c r="AM52" s="1413"/>
      <c r="AN52" s="1420"/>
      <c r="AO52" s="720" t="s">
        <v>42</v>
      </c>
      <c r="AP52" s="731" t="s">
        <v>353</v>
      </c>
      <c r="AQ52" s="85">
        <f t="shared" si="26"/>
        <v>0</v>
      </c>
    </row>
    <row r="53" spans="2:43" ht="16.5">
      <c r="B53" s="1413"/>
      <c r="C53" s="1421"/>
      <c r="D53" s="366" t="s">
        <v>80</v>
      </c>
      <c r="E53" s="59"/>
      <c r="F53" s="3">
        <f>IF(基本情報!E5="",0,F26)</f>
        <v>0</v>
      </c>
      <c r="G53" s="3">
        <f t="shared" si="42"/>
        <v>0</v>
      </c>
      <c r="H53" s="3">
        <f t="shared" si="42"/>
        <v>0</v>
      </c>
      <c r="I53" s="3">
        <f t="shared" si="42"/>
        <v>0</v>
      </c>
      <c r="J53" s="3">
        <f t="shared" si="42"/>
        <v>0</v>
      </c>
      <c r="K53" s="3">
        <f t="shared" si="42"/>
        <v>0</v>
      </c>
      <c r="L53" s="3">
        <f t="shared" si="42"/>
        <v>0</v>
      </c>
      <c r="M53" s="3">
        <f t="shared" si="42"/>
        <v>0</v>
      </c>
      <c r="O53" s="1444"/>
      <c r="P53" s="634">
        <f>P36</f>
        <v>0</v>
      </c>
      <c r="Q53" s="3">
        <f>児童数!AF82</f>
        <v>0</v>
      </c>
      <c r="R53" s="64">
        <f t="shared" si="43"/>
        <v>0</v>
      </c>
      <c r="S53" s="4"/>
      <c r="T53" s="1444"/>
      <c r="U53" s="634">
        <f>P36</f>
        <v>0</v>
      </c>
      <c r="V53" s="69">
        <f>Y45+R53</f>
        <v>0</v>
      </c>
      <c r="X53" s="634">
        <f>P36</f>
        <v>0</v>
      </c>
      <c r="Y53" s="69" t="e">
        <f>V27+V53</f>
        <v>#VALUE!</v>
      </c>
      <c r="AM53" s="1413"/>
      <c r="AN53" s="1421"/>
      <c r="AO53" s="720" t="s">
        <v>80</v>
      </c>
      <c r="AP53" s="731" t="s">
        <v>353</v>
      </c>
      <c r="AQ53" s="85">
        <f t="shared" si="26"/>
        <v>0</v>
      </c>
    </row>
    <row r="54" spans="2:43" ht="17.25" thickBot="1">
      <c r="B54" s="1414"/>
      <c r="C54" s="1410" t="s">
        <v>44</v>
      </c>
      <c r="D54" s="1411"/>
      <c r="E54" s="53"/>
      <c r="F54" s="5">
        <f t="shared" ref="F54:M54" si="44">SUM(F32:F53)</f>
        <v>0</v>
      </c>
      <c r="G54" s="5">
        <f t="shared" si="44"/>
        <v>0</v>
      </c>
      <c r="H54" s="5">
        <f t="shared" si="44"/>
        <v>0</v>
      </c>
      <c r="I54" s="5">
        <f t="shared" si="44"/>
        <v>0</v>
      </c>
      <c r="J54" s="5">
        <f t="shared" si="44"/>
        <v>0</v>
      </c>
      <c r="K54" s="5">
        <f t="shared" si="44"/>
        <v>0</v>
      </c>
      <c r="L54" s="5">
        <f t="shared" si="44"/>
        <v>0</v>
      </c>
      <c r="M54" s="5">
        <f t="shared" si="44"/>
        <v>0</v>
      </c>
      <c r="O54" s="1445"/>
      <c r="P54" s="635" t="s">
        <v>36</v>
      </c>
      <c r="Q54" s="3">
        <f>SUM(Q49:Q53)</f>
        <v>0</v>
      </c>
      <c r="R54" s="3">
        <f>SUM(R49:R53)</f>
        <v>0</v>
      </c>
      <c r="S54" s="4"/>
      <c r="T54" s="1445"/>
      <c r="U54" s="635" t="s">
        <v>36</v>
      </c>
      <c r="V54" s="70">
        <f>SUM(V49:V53)</f>
        <v>0</v>
      </c>
      <c r="X54" s="635" t="s">
        <v>36</v>
      </c>
      <c r="Y54" s="70" t="e">
        <f>SUM(Y49:Y53)</f>
        <v>#VALUE!</v>
      </c>
      <c r="AM54" s="1414"/>
      <c r="AN54" s="1425" t="s">
        <v>562</v>
      </c>
      <c r="AO54" s="1425"/>
      <c r="AP54" s="733" t="s">
        <v>376</v>
      </c>
      <c r="AQ54" s="85">
        <f>R54</f>
        <v>0</v>
      </c>
    </row>
    <row r="55" spans="2:43" ht="15.75" thickBot="1">
      <c r="C55" s="57"/>
      <c r="D55" s="57"/>
      <c r="E55" s="58" t="s">
        <v>167</v>
      </c>
      <c r="F55" s="264">
        <f>F33+F35+F38+F42+F45</f>
        <v>0</v>
      </c>
      <c r="G55" s="264">
        <f t="shared" ref="G55:M55" si="45">G33+G35+G38+G42+G45</f>
        <v>0</v>
      </c>
      <c r="H55" s="264">
        <f t="shared" si="45"/>
        <v>0</v>
      </c>
      <c r="I55" s="264">
        <f t="shared" si="45"/>
        <v>0</v>
      </c>
      <c r="J55" s="264">
        <f t="shared" si="45"/>
        <v>0</v>
      </c>
      <c r="K55" s="264">
        <f t="shared" si="45"/>
        <v>0</v>
      </c>
      <c r="L55" s="264">
        <f t="shared" si="45"/>
        <v>0</v>
      </c>
      <c r="M55" s="264">
        <f t="shared" si="45"/>
        <v>0</v>
      </c>
      <c r="AG55" s="288">
        <f>ROUNDUP(SUMPRODUCT(F55:M55,Q37:X37)*90%,-1)</f>
        <v>0</v>
      </c>
      <c r="AN55" s="1410" t="s">
        <v>44</v>
      </c>
      <c r="AO55" s="1411"/>
      <c r="AP55" s="53"/>
      <c r="AQ55" s="85">
        <f>SUM(AQ32:AQ54)</f>
        <v>0</v>
      </c>
    </row>
    <row r="56" spans="2:43">
      <c r="E56" s="1020" t="s">
        <v>703</v>
      </c>
      <c r="F56" s="264">
        <f>-ROUNDUP(SUM(F32:F35,F37:F46)*$W$2/100,-1)</f>
        <v>0</v>
      </c>
      <c r="G56" s="264">
        <f>-ROUNDUP(SUM(G32:G35,G37:G46)*$W$2/100,-1)</f>
        <v>0</v>
      </c>
      <c r="H56" s="264">
        <f t="shared" ref="H56:K56" si="46">-ROUNDUP(SUM(H32:H35,H37:H46)*$W$2/100,-1)</f>
        <v>0</v>
      </c>
      <c r="I56" s="264">
        <f t="shared" si="46"/>
        <v>0</v>
      </c>
      <c r="J56" s="264">
        <f t="shared" si="46"/>
        <v>0</v>
      </c>
      <c r="K56" s="264">
        <f t="shared" si="46"/>
        <v>0</v>
      </c>
      <c r="L56" s="264">
        <f>-ROUNDUP(SUM(L32:L35,L37:L46)*$W$2/100,-1)</f>
        <v>0</v>
      </c>
      <c r="M56" s="264">
        <f>-ROUNDUP(SUM(M32:M35,M37:M46)*$W$2/100,-1)</f>
        <v>0</v>
      </c>
      <c r="O56" s="1430" t="s">
        <v>428</v>
      </c>
      <c r="P56" s="1430"/>
      <c r="X56" s="1430" t="s">
        <v>427</v>
      </c>
      <c r="Y56" s="1430"/>
      <c r="AO56" s="1"/>
      <c r="AP56" s="57"/>
    </row>
    <row r="57" spans="2:43" ht="15.75" thickBot="1">
      <c r="O57" s="83" t="s">
        <v>429</v>
      </c>
      <c r="P57" s="83" t="s">
        <v>206</v>
      </c>
      <c r="Q57" s="83" t="s">
        <v>207</v>
      </c>
      <c r="R57" s="83" t="s">
        <v>448</v>
      </c>
      <c r="S57" s="83" t="s">
        <v>214</v>
      </c>
      <c r="T57" s="83" t="s">
        <v>215</v>
      </c>
      <c r="U57" s="83" t="s">
        <v>216</v>
      </c>
      <c r="V57" s="282" t="s">
        <v>455</v>
      </c>
      <c r="W57" s="261"/>
      <c r="X57" s="83" t="s">
        <v>429</v>
      </c>
      <c r="Y57" s="83" t="s">
        <v>206</v>
      </c>
      <c r="Z57" s="83" t="s">
        <v>207</v>
      </c>
      <c r="AA57" s="83" t="s">
        <v>448</v>
      </c>
      <c r="AB57" s="83" t="s">
        <v>218</v>
      </c>
      <c r="AC57" s="83" t="s">
        <v>215</v>
      </c>
      <c r="AD57" s="280" t="s">
        <v>453</v>
      </c>
      <c r="AE57" s="282" t="s">
        <v>455</v>
      </c>
    </row>
    <row r="58" spans="2:43" ht="15.75" thickBot="1">
      <c r="C58" s="310" t="s">
        <v>479</v>
      </c>
      <c r="D58" s="311"/>
      <c r="E58" s="312"/>
      <c r="F58" s="313"/>
      <c r="G58" s="313"/>
      <c r="H58" s="313"/>
      <c r="I58" s="313"/>
      <c r="J58" s="313"/>
      <c r="K58" s="313"/>
      <c r="L58" s="313"/>
      <c r="M58" s="314"/>
      <c r="O58" s="61" t="str">
        <f>IF(月途中入退所情報!$D8=$B$2,月途中入退所情報!F8,"-")</f>
        <v>-</v>
      </c>
      <c r="P58" s="61" t="str">
        <f>IF(月途中入退所情報!$D8=$B$2,月途中入退所情報!G8,"-")</f>
        <v>-</v>
      </c>
      <c r="Q58" s="61" t="str">
        <f>IF(月途中入退所情報!$D8=$B$2,月途中入退所情報!H8,"-")</f>
        <v>-</v>
      </c>
      <c r="R58" s="61" t="str">
        <f>IF(月途中入退所情報!$D8=$B$2,月途中入退所情報!I8,"-")</f>
        <v>-</v>
      </c>
      <c r="S58" s="61" t="str">
        <f>IF(月途中入退所情報!$D8=$B$2,月途中入退所情報!J8,"-")</f>
        <v>-</v>
      </c>
      <c r="T58" s="84">
        <f>IF($Q58="標準時間",HLOOKUP($P58,$F$5:$I$27,23,FALSE)-SUM($F$10,$F$21:$F$24,$F$26)-HLOOKUP($P58,$F$5:$I$27,16,FALSE)+HLOOKUP($P58,$F$5:$I$29,25,FALSE),IF($Q58="短時間",HLOOKUP($P58,$J$5:$M$27,23,FALSE)-SUM($F$10,$F$21:$F$24,$F$26)-HLOOKUP($P58,$J$5:$M$27,16,FALSE)+HLOOKUP($P58,$J$5:$M$29,25,FALSE),0))+IF(R58="○",加算と減算!$AH$3,0)</f>
        <v>0</v>
      </c>
      <c r="U58" s="85">
        <f t="shared" ref="U58:U77" si="47">IFERROR(ROUNDDOWN(T58*S58/25,-1),0)</f>
        <v>0</v>
      </c>
      <c r="V58" s="262">
        <f>IFERROR(ROUNDDOWN(IF($Q58="標準時間",HLOOKUP($P58,$F$5:$I$28,24,FALSE),IF($Q58="短時間",HLOOKUP($P58,$J$5:$M$28,24,FALSE),0))*S58/25,-1),0)</f>
        <v>0</v>
      </c>
      <c r="W58" s="262"/>
      <c r="X58" s="61" t="str">
        <f>IF(月途中入退所情報!$N8=$B$2,月途中入退所情報!$P8,"-")</f>
        <v>-</v>
      </c>
      <c r="Y58" s="61" t="str">
        <f>IF(月途中入退所情報!$N8=$B$2,月途中入退所情報!$Q8,"-")</f>
        <v>-</v>
      </c>
      <c r="Z58" s="61" t="str">
        <f>IF(月途中入退所情報!$N8=$B$2,月途中入退所情報!$R8,"-")</f>
        <v>-</v>
      </c>
      <c r="AA58" s="61" t="str">
        <f>IF(月途中入退所情報!$N8=$B$2,月途中入退所情報!$S8,"-")</f>
        <v>-</v>
      </c>
      <c r="AB58" s="61" t="str">
        <f>IF(月途中入退所情報!$N8=$B$2,月途中入退所情報!$T8,"-")</f>
        <v>-</v>
      </c>
      <c r="AC58" s="84">
        <f>IF($Z58="標準時間",HLOOKUP($Y58,$F$5:$I$27,23,FALSE)-SUM($F$10,$F$21:$F$24,$F$26)-HLOOKUP($Y58,$F$5:$I$27,16,FALSE)+HLOOKUP($Y58,$F$5:$I$29,25,FALSE),IF($Z58="短時間",HLOOKUP($Y58,$J$5:$M$27,23,FALSE)-SUM($F$10,$F$21:$F$24,$F$26)-HLOOKUP($Y58,$J$5:$M$27,16,FALSE)+HLOOKUP($Y58,$J$5:$M$29,25,FALSE),0))+IF(AA58="○",加算と減算!$AH$3,0)</f>
        <v>0</v>
      </c>
      <c r="AD58" s="85">
        <f t="shared" ref="AD58:AD77" si="48">IFERROR(-ROUNDUP(AC58*AB58/25,-1),0)</f>
        <v>0</v>
      </c>
      <c r="AE58" s="262">
        <f t="shared" ref="AE58:AE77" si="49">IFERROR(-ROUNDUP(IF($Z58="標準時間",HLOOKUP($Y58,$F$5:$I$28,24,FALSE),IF($Z58="短時間",HLOOKUP($Y58,$J$5:$M$28,24,FALSE),0))*AB58/25,-1),0)</f>
        <v>0</v>
      </c>
    </row>
    <row r="59" spans="2:43">
      <c r="C59" s="307"/>
      <c r="D59" s="308"/>
      <c r="E59" s="309"/>
      <c r="F59" s="1417" t="s">
        <v>15</v>
      </c>
      <c r="G59" s="1417"/>
      <c r="H59" s="1417"/>
      <c r="I59" s="1417"/>
      <c r="J59" s="1417" t="s">
        <v>16</v>
      </c>
      <c r="K59" s="1417"/>
      <c r="L59" s="1417"/>
      <c r="M59" s="1417"/>
      <c r="O59" s="61" t="str">
        <f>IF(月途中入退所情報!$D9=$B$2,月途中入退所情報!F9,"-")</f>
        <v>-</v>
      </c>
      <c r="P59" s="61" t="str">
        <f>IF(月途中入退所情報!$D9=$B$2,月途中入退所情報!G9,"-")</f>
        <v>-</v>
      </c>
      <c r="Q59" s="61" t="str">
        <f>IF(月途中入退所情報!$D9=$B$2,月途中入退所情報!H9,"-")</f>
        <v>-</v>
      </c>
      <c r="R59" s="61" t="str">
        <f>IF(月途中入退所情報!$D9=$B$2,月途中入退所情報!I9,"-")</f>
        <v>-</v>
      </c>
      <c r="S59" s="61" t="str">
        <f>IF(月途中入退所情報!$D9=$B$2,月途中入退所情報!J9,"-")</f>
        <v>-</v>
      </c>
      <c r="T59" s="84">
        <f>IF($Q59="標準時間",HLOOKUP($P59,$F$5:$I$27,23,FALSE)-SUM($F$10,$F$21:$F$24,$F$26)-HLOOKUP($P59,$F$5:$I$27,16,FALSE)+HLOOKUP($P59,$F$5:$I$29,25,FALSE),IF($Q59="短時間",HLOOKUP($P59,$J$5:$M$27,23,FALSE)-SUM($F$10,$F$21:$F$24,$F$26)-HLOOKUP($P59,$J$5:$M$27,16,FALSE)+HLOOKUP($P59,$J$5:$M$29,25,FALSE),0))+IF(R59="○",加算と減算!$AH$3,0)</f>
        <v>0</v>
      </c>
      <c r="U59" s="85">
        <f t="shared" si="47"/>
        <v>0</v>
      </c>
      <c r="V59" s="262">
        <f t="shared" ref="V59:V77" si="50">IFERROR(ROUNDDOWN(IF($Q59="標準時間",HLOOKUP($P59,$F$5:$I$28,24,FALSE),IF($Q59="短時間",HLOOKUP($P59,$J$5:$M$28,24,FALSE),0))*S59/25,-1),0)</f>
        <v>0</v>
      </c>
      <c r="W59" s="262"/>
      <c r="X59" s="61" t="str">
        <f>IF(月途中入退所情報!$N9=$B$2,月途中入退所情報!$P9,"-")</f>
        <v>-</v>
      </c>
      <c r="Y59" s="61" t="str">
        <f>IF(月途中入退所情報!$N9=$B$2,月途中入退所情報!$Q9,"-")</f>
        <v>-</v>
      </c>
      <c r="Z59" s="61" t="str">
        <f>IF(月途中入退所情報!$N9=$B$2,月途中入退所情報!$R9,"-")</f>
        <v>-</v>
      </c>
      <c r="AA59" s="61" t="str">
        <f>IF(月途中入退所情報!$N9=$B$2,月途中入退所情報!$S9,"-")</f>
        <v>-</v>
      </c>
      <c r="AB59" s="61" t="str">
        <f>IF(月途中入退所情報!$N9=$B$2,月途中入退所情報!$T9,"-")</f>
        <v>-</v>
      </c>
      <c r="AC59" s="84">
        <f>IF($Z59="標準時間",HLOOKUP($Y59,$F$5:$I$27,23,FALSE)-SUM($F$10,$F$21:$F$24,$F$26)-HLOOKUP($Y59,$F$5:$I$27,16,FALSE)+HLOOKUP($Y59,$F$5:$I$29,25,FALSE),IF($Z59="短時間",HLOOKUP($Y59,$J$5:$M$27,23,FALSE)-SUM($F$10,$F$21:$F$24,$F$26)-HLOOKUP($Y59,$J$5:$M$27,16,FALSE)+HLOOKUP($Y59,$J$5:$M$29,25,FALSE),0))+IF(AA59="○",加算と減算!$AH$3,0)</f>
        <v>0</v>
      </c>
      <c r="AD59" s="85">
        <f t="shared" si="48"/>
        <v>0</v>
      </c>
      <c r="AE59" s="262">
        <f t="shared" si="49"/>
        <v>0</v>
      </c>
    </row>
    <row r="60" spans="2:43">
      <c r="C60" s="307"/>
      <c r="D60" s="308"/>
      <c r="E60" s="309"/>
      <c r="F60" s="369" t="s">
        <v>6</v>
      </c>
      <c r="G60" s="369" t="s">
        <v>7</v>
      </c>
      <c r="H60" s="369" t="s">
        <v>8</v>
      </c>
      <c r="I60" s="369" t="s">
        <v>9</v>
      </c>
      <c r="J60" s="369" t="s">
        <v>6</v>
      </c>
      <c r="K60" s="369" t="s">
        <v>7</v>
      </c>
      <c r="L60" s="369" t="s">
        <v>8</v>
      </c>
      <c r="M60" s="369" t="s">
        <v>9</v>
      </c>
      <c r="O60" s="61" t="str">
        <f>IF(月途中入退所情報!$D10=$B$2,月途中入退所情報!F10,"-")</f>
        <v>-</v>
      </c>
      <c r="P60" s="61" t="str">
        <f>IF(月途中入退所情報!$D10=$B$2,月途中入退所情報!G10,"-")</f>
        <v>-</v>
      </c>
      <c r="Q60" s="61" t="str">
        <f>IF(月途中入退所情報!$D10=$B$2,月途中入退所情報!H10,"-")</f>
        <v>-</v>
      </c>
      <c r="R60" s="61" t="str">
        <f>IF(月途中入退所情報!$D10=$B$2,月途中入退所情報!I10,"-")</f>
        <v>-</v>
      </c>
      <c r="S60" s="61" t="str">
        <f>IF(月途中入退所情報!$D10=$B$2,月途中入退所情報!J10,"-")</f>
        <v>-</v>
      </c>
      <c r="T60" s="84">
        <f>IF($Q60="標準時間",HLOOKUP($P60,$F$5:$I$27,23,FALSE)-SUM($F$10,$F$21:$F$24,$F$26)-HLOOKUP($P60,$F$5:$I$27,16,FALSE)+HLOOKUP($P60,$F$5:$I$29,25,FALSE),IF($Q60="短時間",HLOOKUP($P60,$J$5:$M$27,23,FALSE)-SUM($F$10,$F$21:$F$24,$F$26)-HLOOKUP($P60,$J$5:$M$27,16,FALSE)+HLOOKUP($P60,$J$5:$M$29,25,FALSE),0))+IF(R60="○",加算と減算!$AH$3,0)</f>
        <v>0</v>
      </c>
      <c r="U60" s="85">
        <f t="shared" si="47"/>
        <v>0</v>
      </c>
      <c r="V60" s="262">
        <f t="shared" si="50"/>
        <v>0</v>
      </c>
      <c r="W60" s="262"/>
      <c r="X60" s="61" t="str">
        <f>IF(月途中入退所情報!$N10=$B$2,月途中入退所情報!$P10,"-")</f>
        <v>-</v>
      </c>
      <c r="Y60" s="61" t="str">
        <f>IF(月途中入退所情報!$N10=$B$2,月途中入退所情報!$Q10,"-")</f>
        <v>-</v>
      </c>
      <c r="Z60" s="61" t="str">
        <f>IF(月途中入退所情報!$N10=$B$2,月途中入退所情報!$R10,"-")</f>
        <v>-</v>
      </c>
      <c r="AA60" s="61" t="str">
        <f>IF(月途中入退所情報!$N10=$B$2,月途中入退所情報!$S10,"-")</f>
        <v>-</v>
      </c>
      <c r="AB60" s="61" t="str">
        <f>IF(月途中入退所情報!$N10=$B$2,月途中入退所情報!$T10,"-")</f>
        <v>-</v>
      </c>
      <c r="AC60" s="84">
        <f>IF($Z60="標準時間",HLOOKUP($Y60,$F$5:$I$27,23,FALSE)-SUM($F$10,$F$21:$F$24,$F$26)-HLOOKUP($Y60,$F$5:$I$27,16,FALSE)+HLOOKUP($Y60,$F$5:$I$29,25,FALSE),IF($Z60="短時間",HLOOKUP($Y60,$J$5:$M$27,23,FALSE)-SUM($F$10,$F$21:$F$24,$F$26)-HLOOKUP($Y60,$J$5:$M$27,16,FALSE)+HLOOKUP($Y60,$J$5:$M$29,25,FALSE),0))+IF(AA60="○",加算と減算!$AH$3,0)</f>
        <v>0</v>
      </c>
      <c r="AD60" s="85">
        <f t="shared" si="48"/>
        <v>0</v>
      </c>
      <c r="AE60" s="262">
        <f t="shared" si="49"/>
        <v>0</v>
      </c>
    </row>
    <row r="61" spans="2:43">
      <c r="C61" s="307"/>
      <c r="D61" s="1432" t="s">
        <v>482</v>
      </c>
      <c r="E61" s="320" t="s">
        <v>480</v>
      </c>
      <c r="F61" s="85" t="e">
        <f t="shared" ref="F61:M61" si="51">-ROUNDDOWN((F7+F9+F1)*$S$2%,-1)</f>
        <v>#VALUE!</v>
      </c>
      <c r="G61" s="85" t="e">
        <f t="shared" si="51"/>
        <v>#VALUE!</v>
      </c>
      <c r="H61" s="85" t="e">
        <f t="shared" si="51"/>
        <v>#VALUE!</v>
      </c>
      <c r="I61" s="85" t="e">
        <f t="shared" si="51"/>
        <v>#VALUE!</v>
      </c>
      <c r="J61" s="85" t="e">
        <f t="shared" si="51"/>
        <v>#VALUE!</v>
      </c>
      <c r="K61" s="85" t="e">
        <f t="shared" si="51"/>
        <v>#VALUE!</v>
      </c>
      <c r="L61" s="85" t="e">
        <f t="shared" si="51"/>
        <v>#VALUE!</v>
      </c>
      <c r="M61" s="85" t="e">
        <f t="shared" si="51"/>
        <v>#VALUE!</v>
      </c>
      <c r="O61" s="61" t="str">
        <f>IF(月途中入退所情報!$D11=$B$2,月途中入退所情報!F11,"-")</f>
        <v>-</v>
      </c>
      <c r="P61" s="61" t="str">
        <f>IF(月途中入退所情報!$D11=$B$2,月途中入退所情報!G11,"-")</f>
        <v>-</v>
      </c>
      <c r="Q61" s="61" t="str">
        <f>IF(月途中入退所情報!$D11=$B$2,月途中入退所情報!H11,"-")</f>
        <v>-</v>
      </c>
      <c r="R61" s="61" t="str">
        <f>IF(月途中入退所情報!$D11=$B$2,月途中入退所情報!I11,"-")</f>
        <v>-</v>
      </c>
      <c r="S61" s="61" t="str">
        <f>IF(月途中入退所情報!$D11=$B$2,月途中入退所情報!J11,"-")</f>
        <v>-</v>
      </c>
      <c r="T61" s="84">
        <f>IF($Q61="標準時間",HLOOKUP($P61,$F$5:$I$27,23,FALSE)-SUM($F$10,$F$21:$F$24,$F$26)-HLOOKUP($P61,$F$5:$I$27,16,FALSE)+HLOOKUP($P61,$F$5:$I$29,25,FALSE),IF($Q61="短時間",HLOOKUP($P61,$J$5:$M$27,23,FALSE)-SUM($F$10,$F$21:$F$24,$F$26)-HLOOKUP($P61,$J$5:$M$27,16,FALSE)+HLOOKUP($P61,$J$5:$M$29,25,FALSE),0))+IF(R61="○",加算と減算!$AH$3,0)</f>
        <v>0</v>
      </c>
      <c r="U61" s="85">
        <f t="shared" si="47"/>
        <v>0</v>
      </c>
      <c r="V61" s="262">
        <f t="shared" si="50"/>
        <v>0</v>
      </c>
      <c r="W61" s="262"/>
      <c r="X61" s="61" t="str">
        <f>IF(月途中入退所情報!$N11=$B$2,月途中入退所情報!$P11,"-")</f>
        <v>-</v>
      </c>
      <c r="Y61" s="61" t="str">
        <f>IF(月途中入退所情報!$N11=$B$2,月途中入退所情報!$Q11,"-")</f>
        <v>-</v>
      </c>
      <c r="Z61" s="61" t="str">
        <f>IF(月途中入退所情報!$N11=$B$2,月途中入退所情報!$R11,"-")</f>
        <v>-</v>
      </c>
      <c r="AA61" s="61" t="str">
        <f>IF(月途中入退所情報!$N11=$B$2,月途中入退所情報!$S11,"-")</f>
        <v>-</v>
      </c>
      <c r="AB61" s="61" t="str">
        <f>IF(月途中入退所情報!$N11=$B$2,月途中入退所情報!$T11,"-")</f>
        <v>-</v>
      </c>
      <c r="AC61" s="84">
        <f>IF($Z61="標準時間",HLOOKUP($Y61,$F$5:$I$27,23,FALSE)-SUM($F$10,$F$21:$F$24,$F$26)-HLOOKUP($Y61,$F$5:$I$27,16,FALSE)+HLOOKUP($Y61,$F$5:$I$29,25,FALSE),IF($Z61="短時間",HLOOKUP($Y61,$J$5:$M$27,23,FALSE)-SUM($F$10,$F$21:$F$24,$F$26)-HLOOKUP($Y61,$J$5:$M$27,16,FALSE)+HLOOKUP($Y61,$J$5:$M$29,25,FALSE),0))+IF(AA61="○",加算と減算!$AH$3,0)</f>
        <v>0</v>
      </c>
      <c r="AD61" s="85">
        <f t="shared" si="48"/>
        <v>0</v>
      </c>
      <c r="AE61" s="262">
        <f t="shared" si="49"/>
        <v>0</v>
      </c>
    </row>
    <row r="62" spans="2:43">
      <c r="C62" s="307"/>
      <c r="D62" s="1432"/>
      <c r="E62" s="320" t="s">
        <v>481</v>
      </c>
      <c r="F62" s="85" t="e">
        <f>F61*Q11</f>
        <v>#VALUE!</v>
      </c>
      <c r="G62" s="85" t="e">
        <f t="shared" ref="G62:M62" si="52">G61*R11</f>
        <v>#VALUE!</v>
      </c>
      <c r="H62" s="85" t="e">
        <f t="shared" si="52"/>
        <v>#VALUE!</v>
      </c>
      <c r="I62" s="85" t="e">
        <f t="shared" si="52"/>
        <v>#VALUE!</v>
      </c>
      <c r="J62" s="85" t="e">
        <f t="shared" si="52"/>
        <v>#VALUE!</v>
      </c>
      <c r="K62" s="85" t="e">
        <f t="shared" si="52"/>
        <v>#VALUE!</v>
      </c>
      <c r="L62" s="85" t="e">
        <f t="shared" si="52"/>
        <v>#VALUE!</v>
      </c>
      <c r="M62" s="85" t="e">
        <f t="shared" si="52"/>
        <v>#VALUE!</v>
      </c>
      <c r="O62" s="61" t="str">
        <f>IF(月途中入退所情報!$D12=$B$2,月途中入退所情報!F12,"-")</f>
        <v>-</v>
      </c>
      <c r="P62" s="61" t="str">
        <f>IF(月途中入退所情報!$D12=$B$2,月途中入退所情報!G12,"-")</f>
        <v>-</v>
      </c>
      <c r="Q62" s="61" t="str">
        <f>IF(月途中入退所情報!$D12=$B$2,月途中入退所情報!H12,"-")</f>
        <v>-</v>
      </c>
      <c r="R62" s="61" t="str">
        <f>IF(月途中入退所情報!$D12=$B$2,月途中入退所情報!I12,"-")</f>
        <v>-</v>
      </c>
      <c r="S62" s="61" t="str">
        <f>IF(月途中入退所情報!$D12=$B$2,月途中入退所情報!J12,"-")</f>
        <v>-</v>
      </c>
      <c r="T62" s="84">
        <f>IF($Q62="標準時間",HLOOKUP($P62,$F$5:$I$27,23,FALSE)-SUM($F$10,$F$21:$F$24,$F$26)-HLOOKUP($P62,$F$5:$I$27,16,FALSE)+HLOOKUP($P62,$F$5:$I$29,25,FALSE),IF($Q62="短時間",HLOOKUP($P62,$J$5:$M$27,23,FALSE)-SUM($F$10,$F$21:$F$24,$F$26)-HLOOKUP($P62,$J$5:$M$27,16,FALSE)+HLOOKUP($P62,$J$5:$M$29,25,FALSE),0))+IF(R62="○",加算と減算!$AH$3,0)</f>
        <v>0</v>
      </c>
      <c r="U62" s="85">
        <f t="shared" si="47"/>
        <v>0</v>
      </c>
      <c r="V62" s="262">
        <f t="shared" si="50"/>
        <v>0</v>
      </c>
      <c r="W62" s="262"/>
      <c r="X62" s="61" t="str">
        <f>IF(月途中入退所情報!$N12=$B$2,月途中入退所情報!$P12,"-")</f>
        <v>-</v>
      </c>
      <c r="Y62" s="61" t="str">
        <f>IF(月途中入退所情報!$N12=$B$2,月途中入退所情報!$Q12,"-")</f>
        <v>-</v>
      </c>
      <c r="Z62" s="61" t="str">
        <f>IF(月途中入退所情報!$N12=$B$2,月途中入退所情報!$R12,"-")</f>
        <v>-</v>
      </c>
      <c r="AA62" s="61" t="str">
        <f>IF(月途中入退所情報!$N12=$B$2,月途中入退所情報!$S12,"-")</f>
        <v>-</v>
      </c>
      <c r="AB62" s="61" t="str">
        <f>IF(月途中入退所情報!$N12=$B$2,月途中入退所情報!$T12,"-")</f>
        <v>-</v>
      </c>
      <c r="AC62" s="84">
        <f>IF($Z62="標準時間",HLOOKUP($Y62,$F$5:$I$27,23,FALSE)-SUM($F$10,$F$21:$F$24,$F$26)-HLOOKUP($Y62,$F$5:$I$27,16,FALSE)+HLOOKUP($Y62,$F$5:$I$29,25,FALSE),IF($Z62="短時間",HLOOKUP($Y62,$J$5:$M$27,23,FALSE)-SUM($F$10,$F$21:$F$24,$F$26)-HLOOKUP($Y62,$J$5:$M$27,16,FALSE)+HLOOKUP($Y62,$J$5:$M$29,25,FALSE),0))+IF(AA62="○",加算と減算!$AH$3,0)</f>
        <v>0</v>
      </c>
      <c r="AD62" s="85">
        <f t="shared" si="48"/>
        <v>0</v>
      </c>
      <c r="AE62" s="262">
        <f t="shared" si="49"/>
        <v>0</v>
      </c>
    </row>
    <row r="63" spans="2:43">
      <c r="C63" s="307"/>
      <c r="D63" s="317"/>
      <c r="E63" s="315"/>
      <c r="F63" s="316"/>
      <c r="G63" s="316"/>
      <c r="H63" s="316"/>
      <c r="I63" s="316"/>
      <c r="J63" s="316"/>
      <c r="K63" s="316"/>
      <c r="L63" s="316"/>
      <c r="M63" s="316"/>
      <c r="O63" s="61" t="str">
        <f>IF(月途中入退所情報!$D13=$B$2,月途中入退所情報!F13,"-")</f>
        <v>-</v>
      </c>
      <c r="P63" s="61" t="str">
        <f>IF(月途中入退所情報!$D13=$B$2,月途中入退所情報!G13,"-")</f>
        <v>-</v>
      </c>
      <c r="Q63" s="61" t="str">
        <f>IF(月途中入退所情報!$D13=$B$2,月途中入退所情報!H13,"-")</f>
        <v>-</v>
      </c>
      <c r="R63" s="61" t="str">
        <f>IF(月途中入退所情報!$D13=$B$2,月途中入退所情報!I13,"-")</f>
        <v>-</v>
      </c>
      <c r="S63" s="61" t="str">
        <f>IF(月途中入退所情報!$D13=$B$2,月途中入退所情報!J13,"-")</f>
        <v>-</v>
      </c>
      <c r="T63" s="84">
        <f>IF($Q63="標準時間",HLOOKUP($P63,$F$5:$I$27,23,FALSE)-SUM($F$10,$F$21:$F$24,$F$26)-HLOOKUP($P63,$F$5:$I$27,16,FALSE)+HLOOKUP($P63,$F$5:$I$29,25,FALSE),IF($Q63="短時間",HLOOKUP($P63,$J$5:$M$27,23,FALSE)-SUM($F$10,$F$21:$F$24,$F$26)-HLOOKUP($P63,$J$5:$M$27,16,FALSE)+HLOOKUP($P63,$J$5:$M$29,25,FALSE),0))+IF(R63="○",加算と減算!$AH$3,0)</f>
        <v>0</v>
      </c>
      <c r="U63" s="85">
        <f t="shared" si="47"/>
        <v>0</v>
      </c>
      <c r="V63" s="262">
        <f t="shared" si="50"/>
        <v>0</v>
      </c>
      <c r="W63" s="262"/>
      <c r="X63" s="61" t="str">
        <f>IF(月途中入退所情報!$N13=$B$2,月途中入退所情報!$P13,"-")</f>
        <v>-</v>
      </c>
      <c r="Y63" s="61" t="str">
        <f>IF(月途中入退所情報!$N13=$B$2,月途中入退所情報!$Q13,"-")</f>
        <v>-</v>
      </c>
      <c r="Z63" s="61" t="str">
        <f>IF(月途中入退所情報!$N13=$B$2,月途中入退所情報!$R13,"-")</f>
        <v>-</v>
      </c>
      <c r="AA63" s="61" t="str">
        <f>IF(月途中入退所情報!$N13=$B$2,月途中入退所情報!$S13,"-")</f>
        <v>-</v>
      </c>
      <c r="AB63" s="61" t="str">
        <f>IF(月途中入退所情報!$N13=$B$2,月途中入退所情報!$T13,"-")</f>
        <v>-</v>
      </c>
      <c r="AC63" s="84">
        <f>IF($Z63="標準時間",HLOOKUP($Y63,$F$5:$I$27,23,FALSE)-SUM($F$10,$F$21:$F$24,$F$26)-HLOOKUP($Y63,$F$5:$I$27,16,FALSE)+HLOOKUP($Y63,$F$5:$I$29,25,FALSE),IF($Z63="短時間",HLOOKUP($Y63,$J$5:$M$27,23,FALSE)-SUM($F$10,$F$21:$F$24,$F$26)-HLOOKUP($Y63,$J$5:$M$27,16,FALSE)+HLOOKUP($Y63,$J$5:$M$29,25,FALSE),0))+IF(AA63="○",加算と減算!$AH$3,0)</f>
        <v>0</v>
      </c>
      <c r="AD63" s="85">
        <f t="shared" si="48"/>
        <v>0</v>
      </c>
      <c r="AE63" s="262">
        <f t="shared" si="49"/>
        <v>0</v>
      </c>
    </row>
    <row r="64" spans="2:43">
      <c r="C64" s="307"/>
      <c r="D64" s="308"/>
      <c r="E64" s="309"/>
      <c r="F64" s="369" t="s">
        <v>6</v>
      </c>
      <c r="G64" s="369" t="s">
        <v>7</v>
      </c>
      <c r="H64" s="369" t="s">
        <v>8</v>
      </c>
      <c r="I64" s="369" t="s">
        <v>9</v>
      </c>
      <c r="J64" s="369" t="s">
        <v>6</v>
      </c>
      <c r="K64" s="369" t="s">
        <v>7</v>
      </c>
      <c r="L64" s="369" t="s">
        <v>8</v>
      </c>
      <c r="M64" s="369" t="s">
        <v>9</v>
      </c>
      <c r="O64" s="61" t="str">
        <f>IF(月途中入退所情報!$D14=$B$2,月途中入退所情報!F14,"-")</f>
        <v>-</v>
      </c>
      <c r="P64" s="61" t="str">
        <f>IF(月途中入退所情報!$D14=$B$2,月途中入退所情報!G14,"-")</f>
        <v>-</v>
      </c>
      <c r="Q64" s="61" t="str">
        <f>IF(月途中入退所情報!$D14=$B$2,月途中入退所情報!H14,"-")</f>
        <v>-</v>
      </c>
      <c r="R64" s="61" t="str">
        <f>IF(月途中入退所情報!$D14=$B$2,月途中入退所情報!I14,"-")</f>
        <v>-</v>
      </c>
      <c r="S64" s="61" t="str">
        <f>IF(月途中入退所情報!$D14=$B$2,月途中入退所情報!J14,"-")</f>
        <v>-</v>
      </c>
      <c r="T64" s="84">
        <f>IF($Q64="標準時間",HLOOKUP($P64,$F$5:$I$27,23,FALSE)-SUM($F$10,$F$21:$F$24,$F$26)-HLOOKUP($P64,$F$5:$I$27,16,FALSE)+HLOOKUP($P64,$F$5:$I$29,25,FALSE),IF($Q64="短時間",HLOOKUP($P64,$J$5:$M$27,23,FALSE)-SUM($F$10,$F$21:$F$24,$F$26)-HLOOKUP($P64,$J$5:$M$27,16,FALSE)+HLOOKUP($P64,$J$5:$M$29,25,FALSE),0))+IF(R64="○",加算と減算!$AH$3,0)</f>
        <v>0</v>
      </c>
      <c r="U64" s="85">
        <f t="shared" si="47"/>
        <v>0</v>
      </c>
      <c r="V64" s="262">
        <f t="shared" si="50"/>
        <v>0</v>
      </c>
      <c r="W64" s="262"/>
      <c r="X64" s="61" t="str">
        <f>IF(月途中入退所情報!$N14=$B$2,月途中入退所情報!$P14,"-")</f>
        <v>-</v>
      </c>
      <c r="Y64" s="61" t="str">
        <f>IF(月途中入退所情報!$N14=$B$2,月途中入退所情報!$Q14,"-")</f>
        <v>-</v>
      </c>
      <c r="Z64" s="61" t="str">
        <f>IF(月途中入退所情報!$N14=$B$2,月途中入退所情報!$R14,"-")</f>
        <v>-</v>
      </c>
      <c r="AA64" s="61" t="str">
        <f>IF(月途中入退所情報!$N14=$B$2,月途中入退所情報!$S14,"-")</f>
        <v>-</v>
      </c>
      <c r="AB64" s="61" t="str">
        <f>IF(月途中入退所情報!$N14=$B$2,月途中入退所情報!$T14,"-")</f>
        <v>-</v>
      </c>
      <c r="AC64" s="84">
        <f>IF($Z64="標準時間",HLOOKUP($Y64,$F$5:$I$27,23,FALSE)-SUM($F$10,$F$21:$F$24,$F$26)-HLOOKUP($Y64,$F$5:$I$27,16,FALSE)+HLOOKUP($Y64,$F$5:$I$29,25,FALSE),IF($Z64="短時間",HLOOKUP($Y64,$J$5:$M$27,23,FALSE)-SUM($F$10,$F$21:$F$24,$F$26)-HLOOKUP($Y64,$J$5:$M$27,16,FALSE)+HLOOKUP($Y64,$J$5:$M$29,25,FALSE),0))+IF(AA64="○",加算と減算!$AH$3,0)</f>
        <v>0</v>
      </c>
      <c r="AD64" s="85">
        <f t="shared" si="48"/>
        <v>0</v>
      </c>
      <c r="AE64" s="262">
        <f t="shared" si="49"/>
        <v>0</v>
      </c>
    </row>
    <row r="65" spans="3:31">
      <c r="C65" s="307"/>
      <c r="D65" s="1432" t="s">
        <v>483</v>
      </c>
      <c r="E65" s="320" t="s">
        <v>480</v>
      </c>
      <c r="F65" s="85">
        <f t="shared" ref="F65:M65" si="53">-ROUNDDOWN((F33+F35+F38)*$T$2%,-1)</f>
        <v>0</v>
      </c>
      <c r="G65" s="85">
        <f t="shared" si="53"/>
        <v>0</v>
      </c>
      <c r="H65" s="85">
        <f t="shared" si="53"/>
        <v>0</v>
      </c>
      <c r="I65" s="85">
        <f t="shared" si="53"/>
        <v>0</v>
      </c>
      <c r="J65" s="85">
        <f t="shared" si="53"/>
        <v>0</v>
      </c>
      <c r="K65" s="85">
        <f t="shared" si="53"/>
        <v>0</v>
      </c>
      <c r="L65" s="85">
        <f t="shared" si="53"/>
        <v>0</v>
      </c>
      <c r="M65" s="85">
        <f t="shared" si="53"/>
        <v>0</v>
      </c>
      <c r="O65" s="61" t="str">
        <f>IF(月途中入退所情報!$D15=$B$2,月途中入退所情報!F15,"-")</f>
        <v>-</v>
      </c>
      <c r="P65" s="61" t="str">
        <f>IF(月途中入退所情報!$D15=$B$2,月途中入退所情報!G15,"-")</f>
        <v>-</v>
      </c>
      <c r="Q65" s="61" t="str">
        <f>IF(月途中入退所情報!$D15=$B$2,月途中入退所情報!H15,"-")</f>
        <v>-</v>
      </c>
      <c r="R65" s="61" t="str">
        <f>IF(月途中入退所情報!$D15=$B$2,月途中入退所情報!I15,"-")</f>
        <v>-</v>
      </c>
      <c r="S65" s="61" t="str">
        <f>IF(月途中入退所情報!$D15=$B$2,月途中入退所情報!J15,"-")</f>
        <v>-</v>
      </c>
      <c r="T65" s="84">
        <f>IF($Q65="標準時間",HLOOKUP($P65,$F$5:$I$27,23,FALSE)-SUM($F$10,$F$21:$F$24,$F$26)-HLOOKUP($P65,$F$5:$I$27,16,FALSE)+HLOOKUP($P65,$F$5:$I$29,25,FALSE),IF($Q65="短時間",HLOOKUP($P65,$J$5:$M$27,23,FALSE)-SUM($F$10,$F$21:$F$24,$F$26)-HLOOKUP($P65,$J$5:$M$27,16,FALSE)+HLOOKUP($P65,$J$5:$M$29,25,FALSE),0))+IF(R65="○",加算と減算!$AH$3,0)</f>
        <v>0</v>
      </c>
      <c r="U65" s="85">
        <f t="shared" si="47"/>
        <v>0</v>
      </c>
      <c r="V65" s="262">
        <f t="shared" si="50"/>
        <v>0</v>
      </c>
      <c r="W65" s="262"/>
      <c r="X65" s="61" t="str">
        <f>IF(月途中入退所情報!$N15=$B$2,月途中入退所情報!$P15,"-")</f>
        <v>-</v>
      </c>
      <c r="Y65" s="61" t="str">
        <f>IF(月途中入退所情報!$N15=$B$2,月途中入退所情報!$Q15,"-")</f>
        <v>-</v>
      </c>
      <c r="Z65" s="61" t="str">
        <f>IF(月途中入退所情報!$N15=$B$2,月途中入退所情報!$R15,"-")</f>
        <v>-</v>
      </c>
      <c r="AA65" s="61" t="str">
        <f>IF(月途中入退所情報!$N15=$B$2,月途中入退所情報!$S15,"-")</f>
        <v>-</v>
      </c>
      <c r="AB65" s="61" t="str">
        <f>IF(月途中入退所情報!$N15=$B$2,月途中入退所情報!$T15,"-")</f>
        <v>-</v>
      </c>
      <c r="AC65" s="84">
        <f>IF($Z65="標準時間",HLOOKUP($Y65,$F$5:$I$27,23,FALSE)-SUM($F$10,$F$21:$F$24,$F$26)-HLOOKUP($Y65,$F$5:$I$27,16,FALSE)+HLOOKUP($Y65,$F$5:$I$29,25,FALSE),IF($Z65="短時間",HLOOKUP($Y65,$J$5:$M$27,23,FALSE)-SUM($F$10,$F$21:$F$24,$F$26)-HLOOKUP($Y65,$J$5:$M$27,16,FALSE)+HLOOKUP($Y65,$J$5:$M$29,25,FALSE),0))+IF(AA65="○",加算と減算!$AH$3,0)</f>
        <v>0</v>
      </c>
      <c r="AD65" s="85">
        <f t="shared" si="48"/>
        <v>0</v>
      </c>
      <c r="AE65" s="262">
        <f t="shared" si="49"/>
        <v>0</v>
      </c>
    </row>
    <row r="66" spans="3:31">
      <c r="C66" s="307"/>
      <c r="D66" s="1432"/>
      <c r="E66" s="320" t="s">
        <v>481</v>
      </c>
      <c r="F66" s="85">
        <f>F65*Q37</f>
        <v>0</v>
      </c>
      <c r="G66" s="85">
        <f t="shared" ref="G66:M66" si="54">G65*R37</f>
        <v>0</v>
      </c>
      <c r="H66" s="85">
        <f t="shared" si="54"/>
        <v>0</v>
      </c>
      <c r="I66" s="85">
        <f t="shared" si="54"/>
        <v>0</v>
      </c>
      <c r="J66" s="85">
        <f t="shared" si="54"/>
        <v>0</v>
      </c>
      <c r="K66" s="85">
        <f t="shared" si="54"/>
        <v>0</v>
      </c>
      <c r="L66" s="85">
        <f t="shared" si="54"/>
        <v>0</v>
      </c>
      <c r="M66" s="85">
        <f t="shared" si="54"/>
        <v>0</v>
      </c>
      <c r="O66" s="61" t="str">
        <f>IF(月途中入退所情報!$D16=$B$2,月途中入退所情報!F16,"-")</f>
        <v>-</v>
      </c>
      <c r="P66" s="61" t="str">
        <f>IF(月途中入退所情報!$D16=$B$2,月途中入退所情報!G16,"-")</f>
        <v>-</v>
      </c>
      <c r="Q66" s="61" t="str">
        <f>IF(月途中入退所情報!$D16=$B$2,月途中入退所情報!H16,"-")</f>
        <v>-</v>
      </c>
      <c r="R66" s="61" t="str">
        <f>IF(月途中入退所情報!$D16=$B$2,月途中入退所情報!I16,"-")</f>
        <v>-</v>
      </c>
      <c r="S66" s="61" t="str">
        <f>IF(月途中入退所情報!$D16=$B$2,月途中入退所情報!J16,"-")</f>
        <v>-</v>
      </c>
      <c r="T66" s="84">
        <f>IF($Q66="標準時間",HLOOKUP($P66,$F$5:$I$27,23,FALSE)-SUM($F$10,$F$21:$F$24,$F$26)-HLOOKUP($P66,$F$5:$I$27,16,FALSE)+HLOOKUP($P66,$F$5:$I$29,25,FALSE),IF($Q66="短時間",HLOOKUP($P66,$J$5:$M$27,23,FALSE)-SUM($F$10,$F$21:$F$24,$F$26)-HLOOKUP($P66,$J$5:$M$27,16,FALSE)+HLOOKUP($P66,$J$5:$M$29,25,FALSE),0))+IF(R66="○",加算と減算!$AH$3,0)</f>
        <v>0</v>
      </c>
      <c r="U66" s="85">
        <f t="shared" si="47"/>
        <v>0</v>
      </c>
      <c r="V66" s="262">
        <f t="shared" si="50"/>
        <v>0</v>
      </c>
      <c r="W66" s="262"/>
      <c r="X66" s="61" t="str">
        <f>IF(月途中入退所情報!$N16=$B$2,月途中入退所情報!$P16,"-")</f>
        <v>-</v>
      </c>
      <c r="Y66" s="61" t="str">
        <f>IF(月途中入退所情報!$N16=$B$2,月途中入退所情報!$Q16,"-")</f>
        <v>-</v>
      </c>
      <c r="Z66" s="61" t="str">
        <f>IF(月途中入退所情報!$N16=$B$2,月途中入退所情報!$R16,"-")</f>
        <v>-</v>
      </c>
      <c r="AA66" s="61" t="str">
        <f>IF(月途中入退所情報!$N16=$B$2,月途中入退所情報!$S16,"-")</f>
        <v>-</v>
      </c>
      <c r="AB66" s="61" t="str">
        <f>IF(月途中入退所情報!$N16=$B$2,月途中入退所情報!$T16,"-")</f>
        <v>-</v>
      </c>
      <c r="AC66" s="84">
        <f>IF($Z66="標準時間",HLOOKUP($Y66,$F$5:$I$27,23,FALSE)-SUM($F$10,$F$21:$F$24,$F$26)-HLOOKUP($Y66,$F$5:$I$27,16,FALSE)+HLOOKUP($Y66,$F$5:$I$29,25,FALSE),IF($Z66="短時間",HLOOKUP($Y66,$J$5:$M$27,23,FALSE)-SUM($F$10,$F$21:$F$24,$F$26)-HLOOKUP($Y66,$J$5:$M$27,16,FALSE)+HLOOKUP($Y66,$J$5:$M$29,25,FALSE),0))+IF(AA66="○",加算と減算!$AH$3,0)</f>
        <v>0</v>
      </c>
      <c r="AD66" s="85">
        <f t="shared" si="48"/>
        <v>0</v>
      </c>
      <c r="AE66" s="262">
        <f t="shared" si="49"/>
        <v>0</v>
      </c>
    </row>
    <row r="67" spans="3:31" ht="15.75" thickBot="1">
      <c r="C67" s="307"/>
      <c r="D67" s="317"/>
      <c r="E67" s="315"/>
      <c r="F67" s="316"/>
      <c r="G67" s="316"/>
      <c r="H67" s="316"/>
      <c r="I67" s="316"/>
      <c r="J67" s="316"/>
      <c r="K67" s="316"/>
      <c r="L67" s="316"/>
      <c r="M67" s="316"/>
      <c r="O67" s="61" t="str">
        <f>IF(月途中入退所情報!$D17=$B$2,月途中入退所情報!F17,"-")</f>
        <v>-</v>
      </c>
      <c r="P67" s="61" t="str">
        <f>IF(月途中入退所情報!$D17=$B$2,月途中入退所情報!G17,"-")</f>
        <v>-</v>
      </c>
      <c r="Q67" s="61" t="str">
        <f>IF(月途中入退所情報!$D17=$B$2,月途中入退所情報!H17,"-")</f>
        <v>-</v>
      </c>
      <c r="R67" s="61" t="str">
        <f>IF(月途中入退所情報!$D17=$B$2,月途中入退所情報!I17,"-")</f>
        <v>-</v>
      </c>
      <c r="S67" s="61" t="str">
        <f>IF(月途中入退所情報!$D17=$B$2,月途中入退所情報!J17,"-")</f>
        <v>-</v>
      </c>
      <c r="T67" s="84">
        <f>IF($Q67="標準時間",HLOOKUP($P67,$F$5:$I$27,23,FALSE)-SUM($F$10,$F$21:$F$24,$F$26)-HLOOKUP($P67,$F$5:$I$27,16,FALSE)+HLOOKUP($P67,$F$5:$I$29,25,FALSE),IF($Q67="短時間",HLOOKUP($P67,$J$5:$M$27,23,FALSE)-SUM($F$10,$F$21:$F$24,$F$26)-HLOOKUP($P67,$J$5:$M$27,16,FALSE)+HLOOKUP($P67,$J$5:$M$29,25,FALSE),0))+IF(R67="○",加算と減算!$AH$3,0)</f>
        <v>0</v>
      </c>
      <c r="U67" s="85">
        <f t="shared" si="47"/>
        <v>0</v>
      </c>
      <c r="V67" s="262">
        <f t="shared" si="50"/>
        <v>0</v>
      </c>
      <c r="W67" s="262"/>
      <c r="X67" s="61" t="str">
        <f>IF(月途中入退所情報!$N17=$B$2,月途中入退所情報!$P17,"-")</f>
        <v>-</v>
      </c>
      <c r="Y67" s="61" t="str">
        <f>IF(月途中入退所情報!$N17=$B$2,月途中入退所情報!$Q17,"-")</f>
        <v>-</v>
      </c>
      <c r="Z67" s="61" t="str">
        <f>IF(月途中入退所情報!$N17=$B$2,月途中入退所情報!$R17,"-")</f>
        <v>-</v>
      </c>
      <c r="AA67" s="61" t="str">
        <f>IF(月途中入退所情報!$N17=$B$2,月途中入退所情報!$S17,"-")</f>
        <v>-</v>
      </c>
      <c r="AB67" s="61" t="str">
        <f>IF(月途中入退所情報!$N17=$B$2,月途中入退所情報!$T17,"-")</f>
        <v>-</v>
      </c>
      <c r="AC67" s="84">
        <f>IF($Z67="標準時間",HLOOKUP($Y67,$F$5:$I$27,23,FALSE)-SUM($F$10,$F$21:$F$24,$F$26)-HLOOKUP($Y67,$F$5:$I$27,16,FALSE)+HLOOKUP($Y67,$F$5:$I$29,25,FALSE),IF($Z67="短時間",HLOOKUP($Y67,$J$5:$M$27,23,FALSE)-SUM($F$10,$F$21:$F$24,$F$26)-HLOOKUP($Y67,$J$5:$M$27,16,FALSE)+HLOOKUP($Y67,$J$5:$M$29,25,FALSE),0))+IF(AA67="○",加算と減算!$AH$3,0)</f>
        <v>0</v>
      </c>
      <c r="AD67" s="85">
        <f t="shared" si="48"/>
        <v>0</v>
      </c>
      <c r="AE67" s="262">
        <f t="shared" si="49"/>
        <v>0</v>
      </c>
    </row>
    <row r="68" spans="3:31" ht="15.75" thickBot="1">
      <c r="D68" s="1433" t="s">
        <v>484</v>
      </c>
      <c r="E68" s="1434"/>
      <c r="F68" s="321" t="e">
        <f>F62+F66</f>
        <v>#VALUE!</v>
      </c>
      <c r="G68" s="321" t="e">
        <f t="shared" ref="G68:M68" si="55">G62+G66</f>
        <v>#VALUE!</v>
      </c>
      <c r="H68" s="321" t="e">
        <f t="shared" si="55"/>
        <v>#VALUE!</v>
      </c>
      <c r="I68" s="321" t="e">
        <f t="shared" si="55"/>
        <v>#VALUE!</v>
      </c>
      <c r="J68" s="321" t="e">
        <f t="shared" si="55"/>
        <v>#VALUE!</v>
      </c>
      <c r="K68" s="321" t="e">
        <f t="shared" si="55"/>
        <v>#VALUE!</v>
      </c>
      <c r="L68" s="321" t="e">
        <f t="shared" si="55"/>
        <v>#VALUE!</v>
      </c>
      <c r="M68" s="322" t="e">
        <f t="shared" si="55"/>
        <v>#VALUE!</v>
      </c>
      <c r="O68" s="61" t="str">
        <f>IF(月途中入退所情報!$D18=$B$2,月途中入退所情報!F18,"-")</f>
        <v>-</v>
      </c>
      <c r="P68" s="61" t="str">
        <f>IF(月途中入退所情報!$D18=$B$2,月途中入退所情報!G18,"-")</f>
        <v>-</v>
      </c>
      <c r="Q68" s="61" t="str">
        <f>IF(月途中入退所情報!$D18=$B$2,月途中入退所情報!H18,"-")</f>
        <v>-</v>
      </c>
      <c r="R68" s="61" t="str">
        <f>IF(月途中入退所情報!$D18=$B$2,月途中入退所情報!I18,"-")</f>
        <v>-</v>
      </c>
      <c r="S68" s="61" t="str">
        <f>IF(月途中入退所情報!$D18=$B$2,月途中入退所情報!J18,"-")</f>
        <v>-</v>
      </c>
      <c r="T68" s="84">
        <f>IF($Q68="標準時間",HLOOKUP($P68,$F$5:$I$27,23,FALSE)-SUM($F$10,$F$21:$F$24,$F$26)-HLOOKUP($P68,$F$5:$I$27,16,FALSE)+HLOOKUP($P68,$F$5:$I$29,25,FALSE),IF($Q68="短時間",HLOOKUP($P68,$J$5:$M$27,23,FALSE)-SUM($F$10,$F$21:$F$24,$F$26)-HLOOKUP($P68,$J$5:$M$27,16,FALSE)+HLOOKUP($P68,$J$5:$M$29,25,FALSE),0))+IF(R68="○",加算と減算!$AH$3,0)</f>
        <v>0</v>
      </c>
      <c r="U68" s="85">
        <f t="shared" si="47"/>
        <v>0</v>
      </c>
      <c r="V68" s="262">
        <f t="shared" si="50"/>
        <v>0</v>
      </c>
      <c r="W68" s="262"/>
      <c r="X68" s="61" t="str">
        <f>IF(月途中入退所情報!$N18=$B$2,月途中入退所情報!$P18,"-")</f>
        <v>-</v>
      </c>
      <c r="Y68" s="61" t="str">
        <f>IF(月途中入退所情報!$N18=$B$2,月途中入退所情報!$Q18,"-")</f>
        <v>-</v>
      </c>
      <c r="Z68" s="61" t="str">
        <f>IF(月途中入退所情報!$N18=$B$2,月途中入退所情報!$R18,"-")</f>
        <v>-</v>
      </c>
      <c r="AA68" s="61" t="str">
        <f>IF(月途中入退所情報!$N18=$B$2,月途中入退所情報!$S18,"-")</f>
        <v>-</v>
      </c>
      <c r="AB68" s="61" t="str">
        <f>IF(月途中入退所情報!$N18=$B$2,月途中入退所情報!$T18,"-")</f>
        <v>-</v>
      </c>
      <c r="AC68" s="84">
        <f>IF($Z68="標準時間",HLOOKUP($Y68,$F$5:$I$27,23,FALSE)-SUM($F$10,$F$21:$F$24,$F$26)-HLOOKUP($Y68,$F$5:$I$27,16,FALSE)+HLOOKUP($Y68,$F$5:$I$29,25,FALSE),IF($Z68="短時間",HLOOKUP($Y68,$J$5:$M$27,23,FALSE)-SUM($F$10,$F$21:$F$24,$F$26)-HLOOKUP($Y68,$J$5:$M$27,16,FALSE)+HLOOKUP($Y68,$J$5:$M$29,25,FALSE),0))+IF(AA68="○",加算と減算!$AH$3,0)</f>
        <v>0</v>
      </c>
      <c r="AD68" s="85">
        <f t="shared" si="48"/>
        <v>0</v>
      </c>
      <c r="AE68" s="262">
        <f t="shared" si="49"/>
        <v>0</v>
      </c>
    </row>
    <row r="69" spans="3:31" ht="15.75" thickBot="1">
      <c r="D69" s="1435"/>
      <c r="E69" s="1436"/>
      <c r="F69" s="1437" t="e">
        <f>SUM(F68:M68)</f>
        <v>#VALUE!</v>
      </c>
      <c r="G69" s="1438"/>
      <c r="H69" s="1438"/>
      <c r="I69" s="1438"/>
      <c r="J69" s="1438"/>
      <c r="K69" s="1438"/>
      <c r="L69" s="1438"/>
      <c r="M69" s="1439"/>
      <c r="O69" s="61" t="str">
        <f>IF(月途中入退所情報!$D19=$B$2,月途中入退所情報!F19,"-")</f>
        <v>-</v>
      </c>
      <c r="P69" s="61" t="str">
        <f>IF(月途中入退所情報!$D19=$B$2,月途中入退所情報!G19,"-")</f>
        <v>-</v>
      </c>
      <c r="Q69" s="61" t="str">
        <f>IF(月途中入退所情報!$D19=$B$2,月途中入退所情報!H19,"-")</f>
        <v>-</v>
      </c>
      <c r="R69" s="61" t="str">
        <f>IF(月途中入退所情報!$D19=$B$2,月途中入退所情報!I19,"-")</f>
        <v>-</v>
      </c>
      <c r="S69" s="61" t="str">
        <f>IF(月途中入退所情報!$D19=$B$2,月途中入退所情報!J19,"-")</f>
        <v>-</v>
      </c>
      <c r="T69" s="84">
        <f>IF($Q69="標準時間",HLOOKUP($P69,$F$5:$I$27,23,FALSE)-SUM($F$10,$F$21:$F$24,$F$26)-HLOOKUP($P69,$F$5:$I$27,16,FALSE)+HLOOKUP($P69,$F$5:$I$29,25,FALSE),IF($Q69="短時間",HLOOKUP($P69,$J$5:$M$27,23,FALSE)-SUM($F$10,$F$21:$F$24,$F$26)-HLOOKUP($P69,$J$5:$M$27,16,FALSE)+HLOOKUP($P69,$J$5:$M$29,25,FALSE),0))+IF(R69="○",加算と減算!$AH$3,0)</f>
        <v>0</v>
      </c>
      <c r="U69" s="85">
        <f t="shared" si="47"/>
        <v>0</v>
      </c>
      <c r="V69" s="262">
        <f t="shared" si="50"/>
        <v>0</v>
      </c>
      <c r="W69" s="262"/>
      <c r="X69" s="61" t="str">
        <f>IF(月途中入退所情報!$N19=$B$2,月途中入退所情報!$P19,"-")</f>
        <v>-</v>
      </c>
      <c r="Y69" s="61" t="str">
        <f>IF(月途中入退所情報!$N19=$B$2,月途中入退所情報!$Q19,"-")</f>
        <v>-</v>
      </c>
      <c r="Z69" s="61" t="str">
        <f>IF(月途中入退所情報!$N19=$B$2,月途中入退所情報!$R19,"-")</f>
        <v>-</v>
      </c>
      <c r="AA69" s="61" t="str">
        <f>IF(月途中入退所情報!$N19=$B$2,月途中入退所情報!$S19,"-")</f>
        <v>-</v>
      </c>
      <c r="AB69" s="61" t="str">
        <f>IF(月途中入退所情報!$N19=$B$2,月途中入退所情報!$T19,"-")</f>
        <v>-</v>
      </c>
      <c r="AC69" s="84">
        <f>IF($Z69="標準時間",HLOOKUP($Y69,$F$5:$I$27,23,FALSE)-SUM($F$10,$F$21:$F$24,$F$26)-HLOOKUP($Y69,$F$5:$I$27,16,FALSE)+HLOOKUP($Y69,$F$5:$I$29,25,FALSE),IF($Z69="短時間",HLOOKUP($Y69,$J$5:$M$27,23,FALSE)-SUM($F$10,$F$21:$F$24,$F$26)-HLOOKUP($Y69,$J$5:$M$27,16,FALSE)+HLOOKUP($Y69,$J$5:$M$29,25,FALSE),0))+IF(AA69="○",加算と減算!$AH$3,0)</f>
        <v>0</v>
      </c>
      <c r="AD69" s="85">
        <f t="shared" si="48"/>
        <v>0</v>
      </c>
      <c r="AE69" s="262">
        <f t="shared" si="49"/>
        <v>0</v>
      </c>
    </row>
    <row r="70" spans="3:31">
      <c r="O70" s="61" t="str">
        <f>IF(月途中入退所情報!$D20=$B$2,月途中入退所情報!F20,"-")</f>
        <v>-</v>
      </c>
      <c r="P70" s="61" t="str">
        <f>IF(月途中入退所情報!$D20=$B$2,月途中入退所情報!G20,"-")</f>
        <v>-</v>
      </c>
      <c r="Q70" s="61" t="str">
        <f>IF(月途中入退所情報!$D20=$B$2,月途中入退所情報!H20,"-")</f>
        <v>-</v>
      </c>
      <c r="R70" s="61" t="str">
        <f>IF(月途中入退所情報!$D20=$B$2,月途中入退所情報!I20,"-")</f>
        <v>-</v>
      </c>
      <c r="S70" s="61" t="str">
        <f>IF(月途中入退所情報!$D20=$B$2,月途中入退所情報!J20,"-")</f>
        <v>-</v>
      </c>
      <c r="T70" s="84">
        <f>IF($Q70="標準時間",HLOOKUP($P70,$F$5:$I$27,23,FALSE)-SUM($F$10,$F$21:$F$24,$F$26)-HLOOKUP($P70,$F$5:$I$27,16,FALSE)+HLOOKUP($P70,$F$5:$I$29,25,FALSE),IF($Q70="短時間",HLOOKUP($P70,$J$5:$M$27,23,FALSE)-SUM($F$10,$F$21:$F$24,$F$26)-HLOOKUP($P70,$J$5:$M$27,16,FALSE)+HLOOKUP($P70,$J$5:$M$29,25,FALSE),0))+IF(R70="○",加算と減算!$AH$3,0)</f>
        <v>0</v>
      </c>
      <c r="U70" s="85">
        <f t="shared" si="47"/>
        <v>0</v>
      </c>
      <c r="V70" s="262">
        <f t="shared" si="50"/>
        <v>0</v>
      </c>
      <c r="W70" s="262"/>
      <c r="X70" s="61" t="str">
        <f>IF(月途中入退所情報!$N20=$B$2,月途中入退所情報!$P20,"-")</f>
        <v>-</v>
      </c>
      <c r="Y70" s="61" t="str">
        <f>IF(月途中入退所情報!$N20=$B$2,月途中入退所情報!$Q20,"-")</f>
        <v>-</v>
      </c>
      <c r="Z70" s="61" t="str">
        <f>IF(月途中入退所情報!$N20=$B$2,月途中入退所情報!$R20,"-")</f>
        <v>-</v>
      </c>
      <c r="AA70" s="61" t="str">
        <f>IF(月途中入退所情報!$N20=$B$2,月途中入退所情報!$S20,"-")</f>
        <v>-</v>
      </c>
      <c r="AB70" s="61" t="str">
        <f>IF(月途中入退所情報!$N20=$B$2,月途中入退所情報!$T20,"-")</f>
        <v>-</v>
      </c>
      <c r="AC70" s="84">
        <f>IF($Z70="標準時間",HLOOKUP($Y70,$F$5:$I$27,23,FALSE)-SUM($F$10,$F$21:$F$24,$F$26)-HLOOKUP($Y70,$F$5:$I$27,16,FALSE)+HLOOKUP($Y70,$F$5:$I$29,25,FALSE),IF($Z70="短時間",HLOOKUP($Y70,$J$5:$M$27,23,FALSE)-SUM($F$10,$F$21:$F$24,$F$26)-HLOOKUP($Y70,$J$5:$M$27,16,FALSE)+HLOOKUP($Y70,$J$5:$M$29,25,FALSE),0))+IF(AA70="○",加算と減算!$AH$3,0)</f>
        <v>0</v>
      </c>
      <c r="AD70" s="85">
        <f t="shared" si="48"/>
        <v>0</v>
      </c>
      <c r="AE70" s="262">
        <f t="shared" si="49"/>
        <v>0</v>
      </c>
    </row>
    <row r="71" spans="3:31">
      <c r="O71" s="61" t="str">
        <f>IF(月途中入退所情報!$D21=$B$2,月途中入退所情報!F21,"-")</f>
        <v>-</v>
      </c>
      <c r="P71" s="61" t="str">
        <f>IF(月途中入退所情報!$D21=$B$2,月途中入退所情報!G21,"-")</f>
        <v>-</v>
      </c>
      <c r="Q71" s="61" t="str">
        <f>IF(月途中入退所情報!$D21=$B$2,月途中入退所情報!H21,"-")</f>
        <v>-</v>
      </c>
      <c r="R71" s="61" t="str">
        <f>IF(月途中入退所情報!$D21=$B$2,月途中入退所情報!I21,"-")</f>
        <v>-</v>
      </c>
      <c r="S71" s="61" t="str">
        <f>IF(月途中入退所情報!$D21=$B$2,月途中入退所情報!J21,"-")</f>
        <v>-</v>
      </c>
      <c r="T71" s="84">
        <f>IF($Q71="標準時間",HLOOKUP($P71,$F$5:$I$27,23,FALSE)-SUM($F$10,$F$21:$F$24,$F$26)-HLOOKUP($P71,$F$5:$I$27,16,FALSE)+HLOOKUP($P71,$F$5:$I$29,25,FALSE),IF($Q71="短時間",HLOOKUP($P71,$J$5:$M$27,23,FALSE)-SUM($F$10,$F$21:$F$24,$F$26)-HLOOKUP($P71,$J$5:$M$27,16,FALSE)+HLOOKUP($P71,$J$5:$M$29,25,FALSE),0))+IF(R71="○",加算と減算!$AH$3,0)</f>
        <v>0</v>
      </c>
      <c r="U71" s="85">
        <f t="shared" si="47"/>
        <v>0</v>
      </c>
      <c r="V71" s="262">
        <f t="shared" si="50"/>
        <v>0</v>
      </c>
      <c r="W71" s="262"/>
      <c r="X71" s="61" t="str">
        <f>IF(月途中入退所情報!$N21=$B$2,月途中入退所情報!$P21,"-")</f>
        <v>-</v>
      </c>
      <c r="Y71" s="61" t="str">
        <f>IF(月途中入退所情報!$N21=$B$2,月途中入退所情報!$Q21,"-")</f>
        <v>-</v>
      </c>
      <c r="Z71" s="61" t="str">
        <f>IF(月途中入退所情報!$N21=$B$2,月途中入退所情報!$R21,"-")</f>
        <v>-</v>
      </c>
      <c r="AA71" s="61" t="str">
        <f>IF(月途中入退所情報!$N21=$B$2,月途中入退所情報!$S21,"-")</f>
        <v>-</v>
      </c>
      <c r="AB71" s="61" t="str">
        <f>IF(月途中入退所情報!$N21=$B$2,月途中入退所情報!$T21,"-")</f>
        <v>-</v>
      </c>
      <c r="AC71" s="84">
        <f>IF($Z71="標準時間",HLOOKUP($Y71,$F$5:$I$27,23,FALSE)-SUM($F$10,$F$21:$F$24,$F$26)-HLOOKUP($Y71,$F$5:$I$27,16,FALSE)+HLOOKUP($Y71,$F$5:$I$29,25,FALSE),IF($Z71="短時間",HLOOKUP($Y71,$J$5:$M$27,23,FALSE)-SUM($F$10,$F$21:$F$24,$F$26)-HLOOKUP($Y71,$J$5:$M$27,16,FALSE)+HLOOKUP($Y71,$J$5:$M$29,25,FALSE),0))+IF(AA71="○",加算と減算!$AH$3,0)</f>
        <v>0</v>
      </c>
      <c r="AD71" s="85">
        <f t="shared" si="48"/>
        <v>0</v>
      </c>
      <c r="AE71" s="262">
        <f t="shared" si="49"/>
        <v>0</v>
      </c>
    </row>
    <row r="72" spans="3:31">
      <c r="O72" s="61" t="str">
        <f>IF(月途中入退所情報!$D22=$B$2,月途中入退所情報!F22,"-")</f>
        <v>-</v>
      </c>
      <c r="P72" s="61" t="str">
        <f>IF(月途中入退所情報!$D22=$B$2,月途中入退所情報!G22,"-")</f>
        <v>-</v>
      </c>
      <c r="Q72" s="61" t="str">
        <f>IF(月途中入退所情報!$D22=$B$2,月途中入退所情報!H22,"-")</f>
        <v>-</v>
      </c>
      <c r="R72" s="61" t="str">
        <f>IF(月途中入退所情報!$D22=$B$2,月途中入退所情報!I22,"-")</f>
        <v>-</v>
      </c>
      <c r="S72" s="61" t="str">
        <f>IF(月途中入退所情報!$D22=$B$2,月途中入退所情報!J22,"-")</f>
        <v>-</v>
      </c>
      <c r="T72" s="84">
        <f>IF($Q72="標準時間",HLOOKUP($P72,$F$5:$I$27,23,FALSE)-SUM($F$10,$F$21:$F$24,$F$26)-HLOOKUP($P72,$F$5:$I$27,16,FALSE)+HLOOKUP($P72,$F$5:$I$29,25,FALSE),IF($Q72="短時間",HLOOKUP($P72,$J$5:$M$27,23,FALSE)-SUM($F$10,$F$21:$F$24,$F$26)-HLOOKUP($P72,$J$5:$M$27,16,FALSE)+HLOOKUP($P72,$J$5:$M$29,25,FALSE),0))+IF(R72="○",加算と減算!$AH$3,0)</f>
        <v>0</v>
      </c>
      <c r="U72" s="85">
        <f t="shared" si="47"/>
        <v>0</v>
      </c>
      <c r="V72" s="262">
        <f t="shared" si="50"/>
        <v>0</v>
      </c>
      <c r="W72" s="262"/>
      <c r="X72" s="61" t="str">
        <f>IF(月途中入退所情報!$N22=$B$2,月途中入退所情報!$P22,"-")</f>
        <v>-</v>
      </c>
      <c r="Y72" s="61" t="str">
        <f>IF(月途中入退所情報!$N22=$B$2,月途中入退所情報!$Q22,"-")</f>
        <v>-</v>
      </c>
      <c r="Z72" s="61" t="str">
        <f>IF(月途中入退所情報!$N22=$B$2,月途中入退所情報!$R22,"-")</f>
        <v>-</v>
      </c>
      <c r="AA72" s="61" t="str">
        <f>IF(月途中入退所情報!$N22=$B$2,月途中入退所情報!$S22,"-")</f>
        <v>-</v>
      </c>
      <c r="AB72" s="61" t="str">
        <f>IF(月途中入退所情報!$N22=$B$2,月途中入退所情報!$T22,"-")</f>
        <v>-</v>
      </c>
      <c r="AC72" s="84">
        <f>IF($Z72="標準時間",HLOOKUP($Y72,$F$5:$I$27,23,FALSE)-SUM($F$10,$F$21:$F$24,$F$26)-HLOOKUP($Y72,$F$5:$I$27,16,FALSE)+HLOOKUP($Y72,$F$5:$I$29,25,FALSE),IF($Z72="短時間",HLOOKUP($Y72,$J$5:$M$27,23,FALSE)-SUM($F$10,$F$21:$F$24,$F$26)-HLOOKUP($Y72,$J$5:$M$27,16,FALSE)+HLOOKUP($Y72,$J$5:$M$29,25,FALSE),0))+IF(AA72="○",加算と減算!$AH$3,0)</f>
        <v>0</v>
      </c>
      <c r="AD72" s="85">
        <f t="shared" si="48"/>
        <v>0</v>
      </c>
      <c r="AE72" s="262">
        <f t="shared" si="49"/>
        <v>0</v>
      </c>
    </row>
    <row r="73" spans="3:31">
      <c r="O73" s="61" t="str">
        <f>IF(月途中入退所情報!$D23=$B$2,月途中入退所情報!F23,"-")</f>
        <v>-</v>
      </c>
      <c r="P73" s="61" t="str">
        <f>IF(月途中入退所情報!$D23=$B$2,月途中入退所情報!G23,"-")</f>
        <v>-</v>
      </c>
      <c r="Q73" s="61" t="str">
        <f>IF(月途中入退所情報!$D23=$B$2,月途中入退所情報!H23,"-")</f>
        <v>-</v>
      </c>
      <c r="R73" s="61" t="str">
        <f>IF(月途中入退所情報!$D23=$B$2,月途中入退所情報!I23,"-")</f>
        <v>-</v>
      </c>
      <c r="S73" s="61" t="str">
        <f>IF(月途中入退所情報!$D23=$B$2,月途中入退所情報!J23,"-")</f>
        <v>-</v>
      </c>
      <c r="T73" s="84">
        <f>IF($Q73="標準時間",HLOOKUP($P73,$F$5:$I$27,23,FALSE)-SUM($F$10,$F$21:$F$24,$F$26)-HLOOKUP($P73,$F$5:$I$27,16,FALSE)+HLOOKUP($P73,$F$5:$I$29,25,FALSE),IF($Q73="短時間",HLOOKUP($P73,$J$5:$M$27,23,FALSE)-SUM($F$10,$F$21:$F$24,$F$26)-HLOOKUP($P73,$J$5:$M$27,16,FALSE)+HLOOKUP($P73,$J$5:$M$29,25,FALSE),0))+IF(R73="○",加算と減算!$AH$3,0)</f>
        <v>0</v>
      </c>
      <c r="U73" s="85">
        <f t="shared" si="47"/>
        <v>0</v>
      </c>
      <c r="V73" s="262">
        <f t="shared" si="50"/>
        <v>0</v>
      </c>
      <c r="W73" s="262"/>
      <c r="X73" s="61" t="str">
        <f>IF(月途中入退所情報!$N23=$B$2,月途中入退所情報!$P23,"-")</f>
        <v>-</v>
      </c>
      <c r="Y73" s="61" t="str">
        <f>IF(月途中入退所情報!$N23=$B$2,月途中入退所情報!$Q23,"-")</f>
        <v>-</v>
      </c>
      <c r="Z73" s="61" t="str">
        <f>IF(月途中入退所情報!$N23=$B$2,月途中入退所情報!$R23,"-")</f>
        <v>-</v>
      </c>
      <c r="AA73" s="61" t="str">
        <f>IF(月途中入退所情報!$N23=$B$2,月途中入退所情報!$S23,"-")</f>
        <v>-</v>
      </c>
      <c r="AB73" s="61" t="str">
        <f>IF(月途中入退所情報!$N23=$B$2,月途中入退所情報!$T23,"-")</f>
        <v>-</v>
      </c>
      <c r="AC73" s="84">
        <f>IF($Z73="標準時間",HLOOKUP($Y73,$F$5:$I$27,23,FALSE)-SUM($F$10,$F$21:$F$24,$F$26)-HLOOKUP($Y73,$F$5:$I$27,16,FALSE)+HLOOKUP($Y73,$F$5:$I$29,25,FALSE),IF($Z73="短時間",HLOOKUP($Y73,$J$5:$M$27,23,FALSE)-SUM($F$10,$F$21:$F$24,$F$26)-HLOOKUP($Y73,$J$5:$M$27,16,FALSE)+HLOOKUP($Y73,$J$5:$M$29,25,FALSE),0))+IF(AA73="○",加算と減算!$AH$3,0)</f>
        <v>0</v>
      </c>
      <c r="AD73" s="85">
        <f t="shared" si="48"/>
        <v>0</v>
      </c>
      <c r="AE73" s="262">
        <f t="shared" si="49"/>
        <v>0</v>
      </c>
    </row>
    <row r="74" spans="3:31">
      <c r="O74" s="61" t="str">
        <f>IF(月途中入退所情報!$D24=$B$2,月途中入退所情報!F24,"-")</f>
        <v>-</v>
      </c>
      <c r="P74" s="61" t="str">
        <f>IF(月途中入退所情報!$D24=$B$2,月途中入退所情報!G24,"-")</f>
        <v>-</v>
      </c>
      <c r="Q74" s="61" t="str">
        <f>IF(月途中入退所情報!$D24=$B$2,月途中入退所情報!H24,"-")</f>
        <v>-</v>
      </c>
      <c r="R74" s="61" t="str">
        <f>IF(月途中入退所情報!$D24=$B$2,月途中入退所情報!I24,"-")</f>
        <v>-</v>
      </c>
      <c r="S74" s="61" t="str">
        <f>IF(月途中入退所情報!$D24=$B$2,月途中入退所情報!J24,"-")</f>
        <v>-</v>
      </c>
      <c r="T74" s="84">
        <f>IF($Q74="標準時間",HLOOKUP($P74,$F$5:$I$27,23,FALSE)-SUM($F$10,$F$21:$F$24,$F$26)-HLOOKUP($P74,$F$5:$I$27,16,FALSE)+HLOOKUP($P74,$F$5:$I$29,25,FALSE),IF($Q74="短時間",HLOOKUP($P74,$J$5:$M$27,23,FALSE)-SUM($F$10,$F$21:$F$24,$F$26)-HLOOKUP($P74,$J$5:$M$27,16,FALSE)+HLOOKUP($P74,$J$5:$M$29,25,FALSE),0))+IF(R74="○",加算と減算!$AH$3,0)</f>
        <v>0</v>
      </c>
      <c r="U74" s="85">
        <f t="shared" si="47"/>
        <v>0</v>
      </c>
      <c r="V74" s="262">
        <f t="shared" si="50"/>
        <v>0</v>
      </c>
      <c r="W74" s="262"/>
      <c r="X74" s="61" t="str">
        <f>IF(月途中入退所情報!$N24=$B$2,月途中入退所情報!$P24,"-")</f>
        <v>-</v>
      </c>
      <c r="Y74" s="61" t="str">
        <f>IF(月途中入退所情報!$N24=$B$2,月途中入退所情報!$Q24,"-")</f>
        <v>-</v>
      </c>
      <c r="Z74" s="61" t="str">
        <f>IF(月途中入退所情報!$N24=$B$2,月途中入退所情報!$R24,"-")</f>
        <v>-</v>
      </c>
      <c r="AA74" s="61" t="str">
        <f>IF(月途中入退所情報!$N24=$B$2,月途中入退所情報!$S24,"-")</f>
        <v>-</v>
      </c>
      <c r="AB74" s="61" t="str">
        <f>IF(月途中入退所情報!$N24=$B$2,月途中入退所情報!$T24,"-")</f>
        <v>-</v>
      </c>
      <c r="AC74" s="84">
        <f>IF($Z74="標準時間",HLOOKUP($Y74,$F$5:$I$27,23,FALSE)-SUM($F$10,$F$21:$F$24,$F$26)-HLOOKUP($Y74,$F$5:$I$27,16,FALSE)+HLOOKUP($Y74,$F$5:$I$29,25,FALSE),IF($Z74="短時間",HLOOKUP($Y74,$J$5:$M$27,23,FALSE)-SUM($F$10,$F$21:$F$24,$F$26)-HLOOKUP($Y74,$J$5:$M$27,16,FALSE)+HLOOKUP($Y74,$J$5:$M$29,25,FALSE),0))+IF(AA74="○",加算と減算!$AH$3,0)</f>
        <v>0</v>
      </c>
      <c r="AD74" s="85">
        <f t="shared" si="48"/>
        <v>0</v>
      </c>
      <c r="AE74" s="262">
        <f t="shared" si="49"/>
        <v>0</v>
      </c>
    </row>
    <row r="75" spans="3:31">
      <c r="O75" s="61" t="str">
        <f>IF(月途中入退所情報!$D25=$B$2,月途中入退所情報!F25,"-")</f>
        <v>-</v>
      </c>
      <c r="P75" s="61" t="str">
        <f>IF(月途中入退所情報!$D25=$B$2,月途中入退所情報!G25,"-")</f>
        <v>-</v>
      </c>
      <c r="Q75" s="61" t="str">
        <f>IF(月途中入退所情報!$D25=$B$2,月途中入退所情報!H25,"-")</f>
        <v>-</v>
      </c>
      <c r="R75" s="61" t="str">
        <f>IF(月途中入退所情報!$D25=$B$2,月途中入退所情報!I25,"-")</f>
        <v>-</v>
      </c>
      <c r="S75" s="61" t="str">
        <f>IF(月途中入退所情報!$D25=$B$2,月途中入退所情報!J25,"-")</f>
        <v>-</v>
      </c>
      <c r="T75" s="84">
        <f>IF($Q75="標準時間",HLOOKUP($P75,$F$5:$I$27,23,FALSE)-SUM($F$10,$F$21:$F$24,$F$26)-HLOOKUP($P75,$F$5:$I$27,16,FALSE)+HLOOKUP($P75,$F$5:$I$29,25,FALSE),IF($Q75="短時間",HLOOKUP($P75,$J$5:$M$27,23,FALSE)-SUM($F$10,$F$21:$F$24,$F$26)-HLOOKUP($P75,$J$5:$M$27,16,FALSE)+HLOOKUP($P75,$J$5:$M$29,25,FALSE),0))+IF(R75="○",加算と減算!$AH$3,0)</f>
        <v>0</v>
      </c>
      <c r="U75" s="85">
        <f t="shared" si="47"/>
        <v>0</v>
      </c>
      <c r="V75" s="262">
        <f t="shared" si="50"/>
        <v>0</v>
      </c>
      <c r="W75" s="262"/>
      <c r="X75" s="61" t="str">
        <f>IF(月途中入退所情報!$N25=$B$2,月途中入退所情報!$P25,"-")</f>
        <v>-</v>
      </c>
      <c r="Y75" s="61" t="str">
        <f>IF(月途中入退所情報!$N25=$B$2,月途中入退所情報!$Q25,"-")</f>
        <v>-</v>
      </c>
      <c r="Z75" s="61" t="str">
        <f>IF(月途中入退所情報!$N25=$B$2,月途中入退所情報!$R25,"-")</f>
        <v>-</v>
      </c>
      <c r="AA75" s="61" t="str">
        <f>IF(月途中入退所情報!$N25=$B$2,月途中入退所情報!$S25,"-")</f>
        <v>-</v>
      </c>
      <c r="AB75" s="61" t="str">
        <f>IF(月途中入退所情報!$N25=$B$2,月途中入退所情報!$T25,"-")</f>
        <v>-</v>
      </c>
      <c r="AC75" s="84">
        <f>IF($Z75="標準時間",HLOOKUP($Y75,$F$5:$I$27,23,FALSE)-SUM($F$10,$F$21:$F$24,$F$26)-HLOOKUP($Y75,$F$5:$I$27,16,FALSE)+HLOOKUP($Y75,$F$5:$I$29,25,FALSE),IF($Z75="短時間",HLOOKUP($Y75,$J$5:$M$27,23,FALSE)-SUM($F$10,$F$21:$F$24,$F$26)-HLOOKUP($Y75,$J$5:$M$27,16,FALSE)+HLOOKUP($Y75,$J$5:$M$29,25,FALSE),0))+IF(AA75="○",加算と減算!$AH$3,0)</f>
        <v>0</v>
      </c>
      <c r="AD75" s="85">
        <f t="shared" si="48"/>
        <v>0</v>
      </c>
      <c r="AE75" s="262">
        <f t="shared" si="49"/>
        <v>0</v>
      </c>
    </row>
    <row r="76" spans="3:31">
      <c r="O76" s="61" t="str">
        <f>IF(月途中入退所情報!$D26=$B$2,月途中入退所情報!F26,"-")</f>
        <v>-</v>
      </c>
      <c r="P76" s="61" t="str">
        <f>IF(月途中入退所情報!$D26=$B$2,月途中入退所情報!G26,"-")</f>
        <v>-</v>
      </c>
      <c r="Q76" s="61" t="str">
        <f>IF(月途中入退所情報!$D26=$B$2,月途中入退所情報!H26,"-")</f>
        <v>-</v>
      </c>
      <c r="R76" s="61" t="str">
        <f>IF(月途中入退所情報!$D26=$B$2,月途中入退所情報!I26,"-")</f>
        <v>-</v>
      </c>
      <c r="S76" s="61" t="str">
        <f>IF(月途中入退所情報!$D26=$B$2,月途中入退所情報!J26,"-")</f>
        <v>-</v>
      </c>
      <c r="T76" s="84">
        <f>IF($Q76="標準時間",HLOOKUP($P76,$F$5:$I$27,23,FALSE)-SUM($F$10,$F$21:$F$24,$F$26)-HLOOKUP($P76,$F$5:$I$27,16,FALSE)+HLOOKUP($P76,$F$5:$I$29,25,FALSE),IF($Q76="短時間",HLOOKUP($P76,$J$5:$M$27,23,FALSE)-SUM($F$10,$F$21:$F$24,$F$26)-HLOOKUP($P76,$J$5:$M$27,16,FALSE)+HLOOKUP($P76,$J$5:$M$29,25,FALSE),0))+IF(R76="○",加算と減算!$AH$3,0)</f>
        <v>0</v>
      </c>
      <c r="U76" s="85">
        <f t="shared" si="47"/>
        <v>0</v>
      </c>
      <c r="V76" s="262">
        <f t="shared" si="50"/>
        <v>0</v>
      </c>
      <c r="W76" s="262"/>
      <c r="X76" s="61" t="str">
        <f>IF(月途中入退所情報!$N26=$B$2,月途中入退所情報!$P26,"-")</f>
        <v>-</v>
      </c>
      <c r="Y76" s="61" t="str">
        <f>IF(月途中入退所情報!$N26=$B$2,月途中入退所情報!$Q26,"-")</f>
        <v>-</v>
      </c>
      <c r="Z76" s="61" t="str">
        <f>IF(月途中入退所情報!$N26=$B$2,月途中入退所情報!$R26,"-")</f>
        <v>-</v>
      </c>
      <c r="AA76" s="61" t="str">
        <f>IF(月途中入退所情報!$N26=$B$2,月途中入退所情報!$S26,"-")</f>
        <v>-</v>
      </c>
      <c r="AB76" s="61" t="str">
        <f>IF(月途中入退所情報!$N26=$B$2,月途中入退所情報!$T26,"-")</f>
        <v>-</v>
      </c>
      <c r="AC76" s="84">
        <f>IF($Z76="標準時間",HLOOKUP($Y76,$F$5:$I$27,23,FALSE)-SUM($F$10,$F$21:$F$24,$F$26)-HLOOKUP($Y76,$F$5:$I$27,16,FALSE)+HLOOKUP($Y76,$F$5:$I$29,25,FALSE),IF($Z76="短時間",HLOOKUP($Y76,$J$5:$M$27,23,FALSE)-SUM($F$10,$F$21:$F$24,$F$26)-HLOOKUP($Y76,$J$5:$M$27,16,FALSE)+HLOOKUP($Y76,$J$5:$M$29,25,FALSE),0))+IF(AA76="○",加算と減算!$AH$3,0)</f>
        <v>0</v>
      </c>
      <c r="AD76" s="85">
        <f t="shared" si="48"/>
        <v>0</v>
      </c>
      <c r="AE76" s="262">
        <f t="shared" si="49"/>
        <v>0</v>
      </c>
    </row>
    <row r="77" spans="3:31">
      <c r="O77" s="61" t="str">
        <f>IF(月途中入退所情報!$D27=$B$2,月途中入退所情報!F27,"-")</f>
        <v>-</v>
      </c>
      <c r="P77" s="61" t="str">
        <f>IF(月途中入退所情報!$D27=$B$2,月途中入退所情報!G27,"-")</f>
        <v>-</v>
      </c>
      <c r="Q77" s="61" t="str">
        <f>IF(月途中入退所情報!$D27=$B$2,月途中入退所情報!H27,"-")</f>
        <v>-</v>
      </c>
      <c r="R77" s="61" t="str">
        <f>IF(月途中入退所情報!$D27=$B$2,月途中入退所情報!I27,"-")</f>
        <v>-</v>
      </c>
      <c r="S77" s="61" t="str">
        <f>IF(月途中入退所情報!$D27=$B$2,月途中入退所情報!J27,"-")</f>
        <v>-</v>
      </c>
      <c r="T77" s="84">
        <f>IF($Q77="標準時間",HLOOKUP($P77,$F$5:$I$27,23,FALSE)-SUM($F$10,$F$21:$F$24,$F$26)-HLOOKUP($P77,$F$5:$I$27,16,FALSE)+HLOOKUP($P77,$F$5:$I$29,25,FALSE),IF($Q77="短時間",HLOOKUP($P77,$J$5:$M$27,23,FALSE)-SUM($F$10,$F$21:$F$24,$F$26)-HLOOKUP($P77,$J$5:$M$27,16,FALSE)+HLOOKUP($P77,$J$5:$M$29,25,FALSE),0))+IF(R77="○",加算と減算!$AH$3,0)</f>
        <v>0</v>
      </c>
      <c r="U77" s="85">
        <f t="shared" si="47"/>
        <v>0</v>
      </c>
      <c r="V77" s="262">
        <f t="shared" si="50"/>
        <v>0</v>
      </c>
      <c r="W77" s="262"/>
      <c r="X77" s="61" t="str">
        <f>IF(月途中入退所情報!$N27=$B$2,月途中入退所情報!$P27,"-")</f>
        <v>-</v>
      </c>
      <c r="Y77" s="61" t="str">
        <f>IF(月途中入退所情報!$N27=$B$2,月途中入退所情報!$Q27,"-")</f>
        <v>-</v>
      </c>
      <c r="Z77" s="61" t="str">
        <f>IF(月途中入退所情報!$N27=$B$2,月途中入退所情報!$R27,"-")</f>
        <v>-</v>
      </c>
      <c r="AA77" s="61" t="str">
        <f>IF(月途中入退所情報!$N27=$B$2,月途中入退所情報!$S27,"-")</f>
        <v>-</v>
      </c>
      <c r="AB77" s="61" t="str">
        <f>IF(月途中入退所情報!$N27=$B$2,月途中入退所情報!$T27,"-")</f>
        <v>-</v>
      </c>
      <c r="AC77" s="84">
        <f>IF($Z77="標準時間",HLOOKUP($Y77,$F$5:$I$27,23,FALSE)-SUM($F$10,$F$21:$F$24,$F$26)-HLOOKUP($Y77,$F$5:$I$27,16,FALSE)+HLOOKUP($Y77,$F$5:$I$29,25,FALSE),IF($Z77="短時間",HLOOKUP($Y77,$J$5:$M$27,23,FALSE)-SUM($F$10,$F$21:$F$24,$F$26)-HLOOKUP($Y77,$J$5:$M$27,16,FALSE)+HLOOKUP($Y77,$J$5:$M$29,25,FALSE),0))+IF(AA77="○",加算と減算!$AH$3,0)</f>
        <v>0</v>
      </c>
      <c r="AD77" s="85">
        <f t="shared" si="48"/>
        <v>0</v>
      </c>
      <c r="AE77" s="262">
        <f t="shared" si="49"/>
        <v>0</v>
      </c>
    </row>
    <row r="78" spans="3:31">
      <c r="T78" s="86" t="s">
        <v>36</v>
      </c>
      <c r="U78" s="85">
        <f>SUM(U58:U77)</f>
        <v>0</v>
      </c>
      <c r="V78" s="262">
        <f>SUM(V58:V77)</f>
        <v>0</v>
      </c>
      <c r="W78" s="262"/>
      <c r="AC78" s="86" t="s">
        <v>36</v>
      </c>
      <c r="AD78" s="85">
        <f>SUM(AD58:AD77)</f>
        <v>0</v>
      </c>
      <c r="AE78" s="264">
        <f>SUM(AE58:AE77)</f>
        <v>0</v>
      </c>
    </row>
    <row r="79" spans="3:31">
      <c r="O79" s="1430" t="s">
        <v>430</v>
      </c>
      <c r="P79" s="1430"/>
      <c r="X79" s="385" t="s">
        <v>431</v>
      </c>
      <c r="Y79" s="385"/>
    </row>
    <row r="80" spans="3:31">
      <c r="O80" s="83" t="s">
        <v>429</v>
      </c>
      <c r="P80" s="83" t="s">
        <v>206</v>
      </c>
      <c r="Q80" s="83" t="s">
        <v>207</v>
      </c>
      <c r="R80" s="83" t="s">
        <v>448</v>
      </c>
      <c r="S80" s="83" t="s">
        <v>214</v>
      </c>
      <c r="T80" s="83" t="s">
        <v>215</v>
      </c>
      <c r="U80" s="83" t="s">
        <v>216</v>
      </c>
      <c r="V80" s="282" t="s">
        <v>455</v>
      </c>
      <c r="W80" s="261"/>
      <c r="X80" s="83" t="s">
        <v>429</v>
      </c>
      <c r="Y80" s="83" t="s">
        <v>206</v>
      </c>
      <c r="Z80" s="83" t="s">
        <v>207</v>
      </c>
      <c r="AA80" s="83" t="s">
        <v>448</v>
      </c>
      <c r="AB80" s="83" t="s">
        <v>218</v>
      </c>
      <c r="AC80" s="83" t="s">
        <v>215</v>
      </c>
      <c r="AD80" s="280" t="s">
        <v>453</v>
      </c>
      <c r="AE80" s="282" t="s">
        <v>455</v>
      </c>
    </row>
    <row r="81" spans="15:31">
      <c r="O81" s="61" t="str">
        <f>IF(月途中入退所情報!$D31=$B$2,月途中入退所情報!F31,"-")</f>
        <v>-</v>
      </c>
      <c r="P81" s="61" t="str">
        <f>IF(月途中入退所情報!$D31=$B$2,月途中入退所情報!G31,"-")</f>
        <v>-</v>
      </c>
      <c r="Q81" s="61" t="str">
        <f>IF(月途中入退所情報!$D31=$B$2,月途中入退所情報!H31,"-")</f>
        <v>-</v>
      </c>
      <c r="R81" s="61" t="str">
        <f>IF(月途中入退所情報!$D31=$B$2,月途中入退所情報!I31,"-")</f>
        <v>-</v>
      </c>
      <c r="S81" s="61" t="str">
        <f>IF(月途中入退所情報!$D31=$B$2,月途中入退所情報!J31,"-")</f>
        <v>-</v>
      </c>
      <c r="T81" s="84">
        <f>IF($Q81="標準時間",HLOOKUP($P81,$F$31:$I$54,24,FALSE)-SUM($F$10,$F$21:$F$24,$F$26)-HLOOKUP($P81,$F$31:$I$54,17,FALSE)+HLOOKUP($P81,$F$31:$I$56,26,FALSE),IF($Q81="短時間",HLOOKUP($P81,$J$31:$M$54,24,FALSE)-SUM($F$10,$F$21:$F$24,$F$26)-HLOOKUP($P81,$J$31:$M$54,17,FALSE)+HLOOKUP($P81,$J$31:$M$56,26,FALSE),0))+IF(R81="○",加算と減算!$AH$3,0)</f>
        <v>0</v>
      </c>
      <c r="U81" s="85">
        <f t="shared" ref="U81:U100" si="56">IFERROR(ROUNDDOWN(T81*S81/25,-1),0)</f>
        <v>0</v>
      </c>
      <c r="V81" s="262">
        <f>IFERROR(ROUNDDOWN(IF($Q81="標準時間",HLOOKUP($P81,$F$31:$I$55,25,FALSE),IF($Q81="短時間",HLOOKUP($P81,$J$31:$M$55,25,FALSE),0))*S81/25,-1),0)</f>
        <v>0</v>
      </c>
      <c r="W81" s="262"/>
      <c r="X81" s="61" t="str">
        <f>IF(月途中入退所情報!$N31=$B$2,月途中入退所情報!$P31,"-")</f>
        <v>-</v>
      </c>
      <c r="Y81" s="61" t="str">
        <f>IF(月途中入退所情報!$N31=$B$2,月途中入退所情報!$Q31,"-")</f>
        <v>-</v>
      </c>
      <c r="Z81" s="61" t="str">
        <f>IF(月途中入退所情報!$N31=$B$2,月途中入退所情報!$R31,"-")</f>
        <v>-</v>
      </c>
      <c r="AA81" s="61" t="str">
        <f>IF(月途中入退所情報!$N31=$B$2,月途中入退所情報!$S31,"-")</f>
        <v>-</v>
      </c>
      <c r="AB81" s="61" t="str">
        <f>IF(月途中入退所情報!$N31=$B$2,月途中入退所情報!$T31,"-")</f>
        <v>-</v>
      </c>
      <c r="AC81" s="84">
        <f>IF($Z81="標準時間",HLOOKUP($Y81,$F$31:$I$54,24,FALSE)-SUM($F$10,$F$21:$F$24,$F$26)-HLOOKUP($Y81,$F$31:$I$54,17,FALSE)+HLOOKUP($Y81,$F$31:$I$56,26,FALSE),IF($Z81="短時間",HLOOKUP($Y81,$J$31:$M$54,24,FALSE)-SUM($F$10,$F$21:$F$24,$F$26)-HLOOKUP($Y81,$J$31:$M$54,17,FALSE)+HLOOKUP($Y81,$J$31:$M$56,26,FALSE),0))+IF(AA81="○",加算と減算!$AH$3,0)</f>
        <v>0</v>
      </c>
      <c r="AD81" s="85">
        <f t="shared" ref="AD81:AD100" si="57">IFERROR(-ROUNDUP(AC81*AB81/25,-1),0)</f>
        <v>0</v>
      </c>
      <c r="AE81" s="262">
        <f t="shared" ref="AE81:AE100" si="58">IFERROR(-ROUNDUP(IF($Z81="標準時間",HLOOKUP($Y81,$F$31:$I$55,25,FALSE),IF($Z81="短時間",HLOOKUP($Y81,$J$31:$M$55,25,FALSE),0))*AB81/25,-1),0)</f>
        <v>0</v>
      </c>
    </row>
    <row r="82" spans="15:31">
      <c r="O82" s="61" t="str">
        <f>IF(月途中入退所情報!$D32=$B$2,月途中入退所情報!F32,"-")</f>
        <v>-</v>
      </c>
      <c r="P82" s="61" t="str">
        <f>IF(月途中入退所情報!$D32=$B$2,月途中入退所情報!G32,"-")</f>
        <v>-</v>
      </c>
      <c r="Q82" s="61" t="str">
        <f>IF(月途中入退所情報!$D32=$B$2,月途中入退所情報!H32,"-")</f>
        <v>-</v>
      </c>
      <c r="R82" s="61" t="str">
        <f>IF(月途中入退所情報!$D32=$B$2,月途中入退所情報!I32,"-")</f>
        <v>-</v>
      </c>
      <c r="S82" s="61" t="str">
        <f>IF(月途中入退所情報!$D32=$B$2,月途中入退所情報!J32,"-")</f>
        <v>-</v>
      </c>
      <c r="T82" s="84">
        <f>IF($Q82="標準時間",HLOOKUP($P82,$F$31:$I$54,24,FALSE)-SUM($F$10,$F$21:$F$24,$F$26)-HLOOKUP($P82,$F$31:$I$54,17,FALSE)+HLOOKUP($P82,$F$31:$I$56,26,FALSE),IF($Q82="短時間",HLOOKUP($P82,$J$31:$M$54,24,FALSE)-SUM($F$10,$F$21:$F$24,$F$26)-HLOOKUP($P82,$J$31:$M$54,17,FALSE)+HLOOKUP($P82,$J$31:$M$56,26,FALSE),0))+IF(R82="○",加算と減算!$AH$3,0)</f>
        <v>0</v>
      </c>
      <c r="U82" s="85">
        <f t="shared" si="56"/>
        <v>0</v>
      </c>
      <c r="V82" s="262">
        <f t="shared" ref="V82:V100" si="59">IFERROR(ROUNDDOWN(IF($Q82="標準時間",HLOOKUP($P82,$F$31:$I$55,25,FALSE),IF($Q82="短時間",HLOOKUP($P82,$J$31:$M$55,25,FALSE),0))*S82/25,-1),0)</f>
        <v>0</v>
      </c>
      <c r="W82" s="262"/>
      <c r="X82" s="61" t="str">
        <f>IF(月途中入退所情報!$N32=$B$2,月途中入退所情報!$P32,"-")</f>
        <v>-</v>
      </c>
      <c r="Y82" s="61" t="str">
        <f>IF(月途中入退所情報!$N32=$B$2,月途中入退所情報!$Q32,"-")</f>
        <v>-</v>
      </c>
      <c r="Z82" s="61" t="str">
        <f>IF(月途中入退所情報!$N32=$B$2,月途中入退所情報!$R32,"-")</f>
        <v>-</v>
      </c>
      <c r="AA82" s="61" t="str">
        <f>IF(月途中入退所情報!$N32=$B$2,月途中入退所情報!$S32,"-")</f>
        <v>-</v>
      </c>
      <c r="AB82" s="61" t="str">
        <f>IF(月途中入退所情報!$N32=$B$2,月途中入退所情報!$T32,"-")</f>
        <v>-</v>
      </c>
      <c r="AC82" s="84">
        <f>IF($Z82="標準時間",HLOOKUP($Y82,$F$31:$I$54,24,FALSE)-SUM($F$10,$F$21:$F$24,$F$26)-HLOOKUP($Y82,$F$31:$I$54,17,FALSE)+HLOOKUP($Y82,$F$31:$I$56,26,FALSE),IF($Z82="短時間",HLOOKUP($Y82,$J$31:$M$54,24,FALSE)-SUM($F$10,$F$21:$F$24,$F$26)-HLOOKUP($Y82,$J$31:$M$54,17,FALSE)+HLOOKUP($Y82,$J$31:$M$56,26,FALSE),0))+IF(AA82="○",加算と減算!$AH$3,0)</f>
        <v>0</v>
      </c>
      <c r="AD82" s="85">
        <f t="shared" si="57"/>
        <v>0</v>
      </c>
      <c r="AE82" s="262">
        <f t="shared" si="58"/>
        <v>0</v>
      </c>
    </row>
    <row r="83" spans="15:31">
      <c r="O83" s="61" t="str">
        <f>IF(月途中入退所情報!$D33=$B$2,月途中入退所情報!F33,"-")</f>
        <v>-</v>
      </c>
      <c r="P83" s="61" t="str">
        <f>IF(月途中入退所情報!$D33=$B$2,月途中入退所情報!G33,"-")</f>
        <v>-</v>
      </c>
      <c r="Q83" s="61" t="str">
        <f>IF(月途中入退所情報!$D33=$B$2,月途中入退所情報!H33,"-")</f>
        <v>-</v>
      </c>
      <c r="R83" s="61" t="str">
        <f>IF(月途中入退所情報!$D33=$B$2,月途中入退所情報!I33,"-")</f>
        <v>-</v>
      </c>
      <c r="S83" s="61" t="str">
        <f>IF(月途中入退所情報!$D33=$B$2,月途中入退所情報!J33,"-")</f>
        <v>-</v>
      </c>
      <c r="T83" s="84">
        <f>IF($Q83="標準時間",HLOOKUP($P83,$F$31:$I$54,24,FALSE)-SUM($F$10,$F$21:$F$24,$F$26)-HLOOKUP($P83,$F$31:$I$54,17,FALSE)+HLOOKUP($P83,$F$31:$I$56,26,FALSE),IF($Q83="短時間",HLOOKUP($P83,$J$31:$M$54,24,FALSE)-SUM($F$10,$F$21:$F$24,$F$26)-HLOOKUP($P83,$J$31:$M$54,17,FALSE)+HLOOKUP($P83,$J$31:$M$56,26,FALSE),0))+IF(R83="○",加算と減算!$AH$3,0)</f>
        <v>0</v>
      </c>
      <c r="U83" s="85">
        <f t="shared" si="56"/>
        <v>0</v>
      </c>
      <c r="V83" s="262">
        <f t="shared" si="59"/>
        <v>0</v>
      </c>
      <c r="W83" s="262"/>
      <c r="X83" s="61" t="str">
        <f>IF(月途中入退所情報!$N33=$B$2,月途中入退所情報!$P33,"-")</f>
        <v>-</v>
      </c>
      <c r="Y83" s="61" t="str">
        <f>IF(月途中入退所情報!$N33=$B$2,月途中入退所情報!$Q33,"-")</f>
        <v>-</v>
      </c>
      <c r="Z83" s="61" t="str">
        <f>IF(月途中入退所情報!$N33=$B$2,月途中入退所情報!$R33,"-")</f>
        <v>-</v>
      </c>
      <c r="AA83" s="61" t="str">
        <f>IF(月途中入退所情報!$N33=$B$2,月途中入退所情報!$S33,"-")</f>
        <v>-</v>
      </c>
      <c r="AB83" s="61" t="str">
        <f>IF(月途中入退所情報!$N33=$B$2,月途中入退所情報!$T33,"-")</f>
        <v>-</v>
      </c>
      <c r="AC83" s="84">
        <f>IF($Z83="標準時間",HLOOKUP($Y83,$F$31:$I$54,24,FALSE)-SUM($F$10,$F$21:$F$24,$F$26)-HLOOKUP($Y83,$F$31:$I$54,17,FALSE)+HLOOKUP($Y83,$F$31:$I$56,26,FALSE),IF($Z83="短時間",HLOOKUP($Y83,$J$31:$M$54,24,FALSE)-SUM($F$10,$F$21:$F$24,$F$26)-HLOOKUP($Y83,$J$31:$M$54,17,FALSE)+HLOOKUP($Y83,$J$31:$M$56,26,FALSE),0))+IF(AA83="○",加算と減算!$AH$3,0)</f>
        <v>0</v>
      </c>
      <c r="AD83" s="85">
        <f t="shared" si="57"/>
        <v>0</v>
      </c>
      <c r="AE83" s="262">
        <f t="shared" si="58"/>
        <v>0</v>
      </c>
    </row>
    <row r="84" spans="15:31">
      <c r="O84" s="61" t="str">
        <f>IF(月途中入退所情報!$D34=$B$2,月途中入退所情報!F34,"-")</f>
        <v>-</v>
      </c>
      <c r="P84" s="61" t="str">
        <f>IF(月途中入退所情報!$D34=$B$2,月途中入退所情報!G34,"-")</f>
        <v>-</v>
      </c>
      <c r="Q84" s="61" t="str">
        <f>IF(月途中入退所情報!$D34=$B$2,月途中入退所情報!H34,"-")</f>
        <v>-</v>
      </c>
      <c r="R84" s="61" t="str">
        <f>IF(月途中入退所情報!$D34=$B$2,月途中入退所情報!I34,"-")</f>
        <v>-</v>
      </c>
      <c r="S84" s="61" t="str">
        <f>IF(月途中入退所情報!$D34=$B$2,月途中入退所情報!J34,"-")</f>
        <v>-</v>
      </c>
      <c r="T84" s="84">
        <f>IF($Q84="標準時間",HLOOKUP($P84,$F$31:$I$54,24,FALSE)-SUM($F$10,$F$21:$F$24,$F$26)-HLOOKUP($P84,$F$31:$I$54,17,FALSE)+HLOOKUP($P84,$F$31:$I$56,26,FALSE),IF($Q84="短時間",HLOOKUP($P84,$J$31:$M$54,24,FALSE)-SUM($F$10,$F$21:$F$24,$F$26)-HLOOKUP($P84,$J$31:$M$54,17,FALSE)+HLOOKUP($P84,$J$31:$M$56,26,FALSE),0))+IF(R84="○",加算と減算!$AH$3,0)</f>
        <v>0</v>
      </c>
      <c r="U84" s="85">
        <f t="shared" si="56"/>
        <v>0</v>
      </c>
      <c r="V84" s="262">
        <f t="shared" si="59"/>
        <v>0</v>
      </c>
      <c r="W84" s="262"/>
      <c r="X84" s="61" t="str">
        <f>IF(月途中入退所情報!$N34=$B$2,月途中入退所情報!$P34,"-")</f>
        <v>-</v>
      </c>
      <c r="Y84" s="61" t="str">
        <f>IF(月途中入退所情報!$N34=$B$2,月途中入退所情報!$Q34,"-")</f>
        <v>-</v>
      </c>
      <c r="Z84" s="61" t="str">
        <f>IF(月途中入退所情報!$N34=$B$2,月途中入退所情報!$R34,"-")</f>
        <v>-</v>
      </c>
      <c r="AA84" s="61" t="str">
        <f>IF(月途中入退所情報!$N34=$B$2,月途中入退所情報!$S34,"-")</f>
        <v>-</v>
      </c>
      <c r="AB84" s="61" t="str">
        <f>IF(月途中入退所情報!$N34=$B$2,月途中入退所情報!$T34,"-")</f>
        <v>-</v>
      </c>
      <c r="AC84" s="84">
        <f>IF($Z84="標準時間",HLOOKUP($Y84,$F$31:$I$54,24,FALSE)-SUM($F$10,$F$21:$F$24,$F$26)-HLOOKUP($Y84,$F$31:$I$54,17,FALSE)+HLOOKUP($Y84,$F$31:$I$56,26,FALSE),IF($Z84="短時間",HLOOKUP($Y84,$J$31:$M$54,24,FALSE)-SUM($F$10,$F$21:$F$24,$F$26)-HLOOKUP($Y84,$J$31:$M$54,17,FALSE)+HLOOKUP($Y84,$J$31:$M$56,26,FALSE),0))+IF(AA84="○",加算と減算!$AH$3,0)</f>
        <v>0</v>
      </c>
      <c r="AD84" s="85">
        <f t="shared" si="57"/>
        <v>0</v>
      </c>
      <c r="AE84" s="262">
        <f t="shared" si="58"/>
        <v>0</v>
      </c>
    </row>
    <row r="85" spans="15:31">
      <c r="O85" s="61" t="str">
        <f>IF(月途中入退所情報!$D35=$B$2,月途中入退所情報!F35,"-")</f>
        <v>-</v>
      </c>
      <c r="P85" s="61" t="str">
        <f>IF(月途中入退所情報!$D35=$B$2,月途中入退所情報!G35,"-")</f>
        <v>-</v>
      </c>
      <c r="Q85" s="61" t="str">
        <f>IF(月途中入退所情報!$D35=$B$2,月途中入退所情報!H35,"-")</f>
        <v>-</v>
      </c>
      <c r="R85" s="61" t="str">
        <f>IF(月途中入退所情報!$D35=$B$2,月途中入退所情報!I35,"-")</f>
        <v>-</v>
      </c>
      <c r="S85" s="61" t="str">
        <f>IF(月途中入退所情報!$D35=$B$2,月途中入退所情報!J35,"-")</f>
        <v>-</v>
      </c>
      <c r="T85" s="84">
        <f>IF($Q85="標準時間",HLOOKUP($P85,$F$31:$I$54,24,FALSE)-SUM($F$10,$F$21:$F$24,$F$26)-HLOOKUP($P85,$F$31:$I$54,17,FALSE)+HLOOKUP($P85,$F$31:$I$56,26,FALSE),IF($Q85="短時間",HLOOKUP($P85,$J$31:$M$54,24,FALSE)-SUM($F$10,$F$21:$F$24,$F$26)-HLOOKUP($P85,$J$31:$M$54,17,FALSE)+HLOOKUP($P85,$J$31:$M$56,26,FALSE),0))+IF(R85="○",加算と減算!$AH$3,0)</f>
        <v>0</v>
      </c>
      <c r="U85" s="85">
        <f t="shared" si="56"/>
        <v>0</v>
      </c>
      <c r="V85" s="262">
        <f t="shared" si="59"/>
        <v>0</v>
      </c>
      <c r="W85" s="262"/>
      <c r="X85" s="61" t="str">
        <f>IF(月途中入退所情報!$N35=$B$2,月途中入退所情報!$P35,"-")</f>
        <v>-</v>
      </c>
      <c r="Y85" s="61" t="str">
        <f>IF(月途中入退所情報!$N35=$B$2,月途中入退所情報!$Q35,"-")</f>
        <v>-</v>
      </c>
      <c r="Z85" s="61" t="str">
        <f>IF(月途中入退所情報!$N35=$B$2,月途中入退所情報!$R35,"-")</f>
        <v>-</v>
      </c>
      <c r="AA85" s="61" t="str">
        <f>IF(月途中入退所情報!$N35=$B$2,月途中入退所情報!$S35,"-")</f>
        <v>-</v>
      </c>
      <c r="AB85" s="61" t="str">
        <f>IF(月途中入退所情報!$N35=$B$2,月途中入退所情報!$T35,"-")</f>
        <v>-</v>
      </c>
      <c r="AC85" s="84">
        <f>IF($Z85="標準時間",HLOOKUP($Y85,$F$31:$I$54,24,FALSE)-SUM($F$10,$F$21:$F$24,$F$26)-HLOOKUP($Y85,$F$31:$I$54,17,FALSE)+HLOOKUP($Y85,$F$31:$I$56,26,FALSE),IF($Z85="短時間",HLOOKUP($Y85,$J$31:$M$54,24,FALSE)-SUM($F$10,$F$21:$F$24,$F$26)-HLOOKUP($Y85,$J$31:$M$54,17,FALSE)+HLOOKUP($Y85,$J$31:$M$56,26,FALSE),0))+IF(AA85="○",加算と減算!$AH$3,0)</f>
        <v>0</v>
      </c>
      <c r="AD85" s="85">
        <f t="shared" si="57"/>
        <v>0</v>
      </c>
      <c r="AE85" s="262">
        <f t="shared" si="58"/>
        <v>0</v>
      </c>
    </row>
    <row r="86" spans="15:31">
      <c r="O86" s="61" t="str">
        <f>IF(月途中入退所情報!$D36=$B$2,月途中入退所情報!F36,"-")</f>
        <v>-</v>
      </c>
      <c r="P86" s="61" t="str">
        <f>IF(月途中入退所情報!$D36=$B$2,月途中入退所情報!G36,"-")</f>
        <v>-</v>
      </c>
      <c r="Q86" s="61" t="str">
        <f>IF(月途中入退所情報!$D36=$B$2,月途中入退所情報!H36,"-")</f>
        <v>-</v>
      </c>
      <c r="R86" s="61" t="str">
        <f>IF(月途中入退所情報!$D36=$B$2,月途中入退所情報!I36,"-")</f>
        <v>-</v>
      </c>
      <c r="S86" s="61" t="str">
        <f>IF(月途中入退所情報!$D36=$B$2,月途中入退所情報!J36,"-")</f>
        <v>-</v>
      </c>
      <c r="T86" s="84">
        <f>IF($Q86="標準時間",HLOOKUP($P86,$F$31:$I$54,24,FALSE)-SUM($F$10,$F$21:$F$24,$F$26)-HLOOKUP($P86,$F$31:$I$54,17,FALSE)+HLOOKUP($P86,$F$31:$I$56,26,FALSE),IF($Q86="短時間",HLOOKUP($P86,$J$31:$M$54,24,FALSE)-SUM($F$10,$F$21:$F$24,$F$26)-HLOOKUP($P86,$J$31:$M$54,17,FALSE)+HLOOKUP($P86,$J$31:$M$56,26,FALSE),0))+IF(R86="○",加算と減算!$AH$3,0)</f>
        <v>0</v>
      </c>
      <c r="U86" s="85">
        <f t="shared" si="56"/>
        <v>0</v>
      </c>
      <c r="V86" s="262">
        <f t="shared" si="59"/>
        <v>0</v>
      </c>
      <c r="W86" s="262"/>
      <c r="X86" s="61" t="str">
        <f>IF(月途中入退所情報!$N36=$B$2,月途中入退所情報!$P36,"-")</f>
        <v>-</v>
      </c>
      <c r="Y86" s="61" t="str">
        <f>IF(月途中入退所情報!$N36=$B$2,月途中入退所情報!$Q36,"-")</f>
        <v>-</v>
      </c>
      <c r="Z86" s="61" t="str">
        <f>IF(月途中入退所情報!$N36=$B$2,月途中入退所情報!$R36,"-")</f>
        <v>-</v>
      </c>
      <c r="AA86" s="61" t="str">
        <f>IF(月途中入退所情報!$N36=$B$2,月途中入退所情報!$S36,"-")</f>
        <v>-</v>
      </c>
      <c r="AB86" s="61" t="str">
        <f>IF(月途中入退所情報!$N36=$B$2,月途中入退所情報!$T36,"-")</f>
        <v>-</v>
      </c>
      <c r="AC86" s="84">
        <f>IF($Z86="標準時間",HLOOKUP($Y86,$F$31:$I$54,24,FALSE)-SUM($F$10,$F$21:$F$24,$F$26)-HLOOKUP($Y86,$F$31:$I$54,17,FALSE)+HLOOKUP($Y86,$F$31:$I$56,26,FALSE),IF($Z86="短時間",HLOOKUP($Y86,$J$31:$M$54,24,FALSE)-SUM($F$10,$F$21:$F$24,$F$26)-HLOOKUP($Y86,$J$31:$M$54,17,FALSE)+HLOOKUP($Y86,$J$31:$M$56,26,FALSE),0))+IF(AA86="○",加算と減算!$AH$3,0)</f>
        <v>0</v>
      </c>
      <c r="AD86" s="85">
        <f t="shared" si="57"/>
        <v>0</v>
      </c>
      <c r="AE86" s="262">
        <f t="shared" si="58"/>
        <v>0</v>
      </c>
    </row>
    <row r="87" spans="15:31">
      <c r="O87" s="61" t="str">
        <f>IF(月途中入退所情報!$D37=$B$2,月途中入退所情報!F37,"-")</f>
        <v>-</v>
      </c>
      <c r="P87" s="61" t="str">
        <f>IF(月途中入退所情報!$D37=$B$2,月途中入退所情報!G37,"-")</f>
        <v>-</v>
      </c>
      <c r="Q87" s="61" t="str">
        <f>IF(月途中入退所情報!$D37=$B$2,月途中入退所情報!H37,"-")</f>
        <v>-</v>
      </c>
      <c r="R87" s="61" t="str">
        <f>IF(月途中入退所情報!$D37=$B$2,月途中入退所情報!I37,"-")</f>
        <v>-</v>
      </c>
      <c r="S87" s="61" t="str">
        <f>IF(月途中入退所情報!$D37=$B$2,月途中入退所情報!J37,"-")</f>
        <v>-</v>
      </c>
      <c r="T87" s="84">
        <f>IF($Q87="標準時間",HLOOKUP($P87,$F$31:$I$54,24,FALSE)-SUM($F$10,$F$21:$F$24,$F$26)-HLOOKUP($P87,$F$31:$I$54,17,FALSE)+HLOOKUP($P87,$F$31:$I$56,26,FALSE),IF($Q87="短時間",HLOOKUP($P87,$J$31:$M$54,24,FALSE)-SUM($F$10,$F$21:$F$24,$F$26)-HLOOKUP($P87,$J$31:$M$54,17,FALSE)+HLOOKUP($P87,$J$31:$M$56,26,FALSE),0))+IF(R87="○",加算と減算!$AH$3,0)</f>
        <v>0</v>
      </c>
      <c r="U87" s="85">
        <f t="shared" si="56"/>
        <v>0</v>
      </c>
      <c r="V87" s="262">
        <f t="shared" si="59"/>
        <v>0</v>
      </c>
      <c r="W87" s="262"/>
      <c r="X87" s="61" t="str">
        <f>IF(月途中入退所情報!$N37=$B$2,月途中入退所情報!$P37,"-")</f>
        <v>-</v>
      </c>
      <c r="Y87" s="61" t="str">
        <f>IF(月途中入退所情報!$N37=$B$2,月途中入退所情報!$Q37,"-")</f>
        <v>-</v>
      </c>
      <c r="Z87" s="61" t="str">
        <f>IF(月途中入退所情報!$N37=$B$2,月途中入退所情報!$R37,"-")</f>
        <v>-</v>
      </c>
      <c r="AA87" s="61" t="str">
        <f>IF(月途中入退所情報!$N37=$B$2,月途中入退所情報!$S37,"-")</f>
        <v>-</v>
      </c>
      <c r="AB87" s="61" t="str">
        <f>IF(月途中入退所情報!$N37=$B$2,月途中入退所情報!$T37,"-")</f>
        <v>-</v>
      </c>
      <c r="AC87" s="84">
        <f>IF($Z87="標準時間",HLOOKUP($Y87,$F$31:$I$54,24,FALSE)-SUM($F$10,$F$21:$F$24,$F$26)-HLOOKUP($Y87,$F$31:$I$54,17,FALSE)+HLOOKUP($Y87,$F$31:$I$56,26,FALSE),IF($Z87="短時間",HLOOKUP($Y87,$J$31:$M$54,24,FALSE)-SUM($F$10,$F$21:$F$24,$F$26)-HLOOKUP($Y87,$J$31:$M$54,17,FALSE)+HLOOKUP($Y87,$J$31:$M$56,26,FALSE),0))+IF(AA87="○",加算と減算!$AH$3,0)</f>
        <v>0</v>
      </c>
      <c r="AD87" s="85">
        <f t="shared" si="57"/>
        <v>0</v>
      </c>
      <c r="AE87" s="262">
        <f t="shared" si="58"/>
        <v>0</v>
      </c>
    </row>
    <row r="88" spans="15:31">
      <c r="O88" s="61" t="str">
        <f>IF(月途中入退所情報!$D38=$B$2,月途中入退所情報!F38,"-")</f>
        <v>-</v>
      </c>
      <c r="P88" s="61" t="str">
        <f>IF(月途中入退所情報!$D38=$B$2,月途中入退所情報!G38,"-")</f>
        <v>-</v>
      </c>
      <c r="Q88" s="61" t="str">
        <f>IF(月途中入退所情報!$D38=$B$2,月途中入退所情報!H38,"-")</f>
        <v>-</v>
      </c>
      <c r="R88" s="61" t="str">
        <f>IF(月途中入退所情報!$D38=$B$2,月途中入退所情報!I38,"-")</f>
        <v>-</v>
      </c>
      <c r="S88" s="61" t="str">
        <f>IF(月途中入退所情報!$D38=$B$2,月途中入退所情報!J38,"-")</f>
        <v>-</v>
      </c>
      <c r="T88" s="84">
        <f>IF($Q88="標準時間",HLOOKUP($P88,$F$31:$I$54,24,FALSE)-SUM($F$10,$F$21:$F$24,$F$26)-HLOOKUP($P88,$F$31:$I$54,17,FALSE)+HLOOKUP($P88,$F$31:$I$56,26,FALSE),IF($Q88="短時間",HLOOKUP($P88,$J$31:$M$54,24,FALSE)-SUM($F$10,$F$21:$F$24,$F$26)-HLOOKUP($P88,$J$31:$M$54,17,FALSE)+HLOOKUP($P88,$J$31:$M$56,26,FALSE),0))+IF(R88="○",加算と減算!$AH$3,0)</f>
        <v>0</v>
      </c>
      <c r="U88" s="85">
        <f t="shared" si="56"/>
        <v>0</v>
      </c>
      <c r="V88" s="262">
        <f t="shared" si="59"/>
        <v>0</v>
      </c>
      <c r="W88" s="262"/>
      <c r="X88" s="61" t="str">
        <f>IF(月途中入退所情報!$N38=$B$2,月途中入退所情報!$P38,"-")</f>
        <v>-</v>
      </c>
      <c r="Y88" s="61" t="str">
        <f>IF(月途中入退所情報!$N38=$B$2,月途中入退所情報!$Q38,"-")</f>
        <v>-</v>
      </c>
      <c r="Z88" s="61" t="str">
        <f>IF(月途中入退所情報!$N38=$B$2,月途中入退所情報!$R38,"-")</f>
        <v>-</v>
      </c>
      <c r="AA88" s="61" t="str">
        <f>IF(月途中入退所情報!$N38=$B$2,月途中入退所情報!$S38,"-")</f>
        <v>-</v>
      </c>
      <c r="AB88" s="61" t="str">
        <f>IF(月途中入退所情報!$N38=$B$2,月途中入退所情報!$T38,"-")</f>
        <v>-</v>
      </c>
      <c r="AC88" s="84">
        <f>IF($Z88="標準時間",HLOOKUP($Y88,$F$31:$I$54,24,FALSE)-SUM($F$10,$F$21:$F$24,$F$26)-HLOOKUP($Y88,$F$31:$I$54,17,FALSE)+HLOOKUP($Y88,$F$31:$I$56,26,FALSE),IF($Z88="短時間",HLOOKUP($Y88,$J$31:$M$54,24,FALSE)-SUM($F$10,$F$21:$F$24,$F$26)-HLOOKUP($Y88,$J$31:$M$54,17,FALSE)+HLOOKUP($Y88,$J$31:$M$56,26,FALSE),0))+IF(AA88="○",加算と減算!$AH$3,0)</f>
        <v>0</v>
      </c>
      <c r="AD88" s="85">
        <f t="shared" si="57"/>
        <v>0</v>
      </c>
      <c r="AE88" s="262">
        <f t="shared" si="58"/>
        <v>0</v>
      </c>
    </row>
    <row r="89" spans="15:31">
      <c r="O89" s="61" t="str">
        <f>IF(月途中入退所情報!$D39=$B$2,月途中入退所情報!F39,"-")</f>
        <v>-</v>
      </c>
      <c r="P89" s="61" t="str">
        <f>IF(月途中入退所情報!$D39=$B$2,月途中入退所情報!G39,"-")</f>
        <v>-</v>
      </c>
      <c r="Q89" s="61" t="str">
        <f>IF(月途中入退所情報!$D39=$B$2,月途中入退所情報!H39,"-")</f>
        <v>-</v>
      </c>
      <c r="R89" s="61" t="str">
        <f>IF(月途中入退所情報!$D39=$B$2,月途中入退所情報!I39,"-")</f>
        <v>-</v>
      </c>
      <c r="S89" s="61" t="str">
        <f>IF(月途中入退所情報!$D39=$B$2,月途中入退所情報!J39,"-")</f>
        <v>-</v>
      </c>
      <c r="T89" s="84">
        <f>IF($Q89="標準時間",HLOOKUP($P89,$F$31:$I$54,24,FALSE)-SUM($F$10,$F$21:$F$24,$F$26)-HLOOKUP($P89,$F$31:$I$54,17,FALSE)+HLOOKUP($P89,$F$31:$I$56,26,FALSE),IF($Q89="短時間",HLOOKUP($P89,$J$31:$M$54,24,FALSE)-SUM($F$10,$F$21:$F$24,$F$26)-HLOOKUP($P89,$J$31:$M$54,17,FALSE)+HLOOKUP($P89,$J$31:$M$56,26,FALSE),0))+IF(R89="○",加算と減算!$AH$3,0)</f>
        <v>0</v>
      </c>
      <c r="U89" s="85">
        <f t="shared" si="56"/>
        <v>0</v>
      </c>
      <c r="V89" s="262">
        <f t="shared" si="59"/>
        <v>0</v>
      </c>
      <c r="W89" s="262"/>
      <c r="X89" s="61" t="str">
        <f>IF(月途中入退所情報!$N39=$B$2,月途中入退所情報!$P39,"-")</f>
        <v>-</v>
      </c>
      <c r="Y89" s="61" t="str">
        <f>IF(月途中入退所情報!$N39=$B$2,月途中入退所情報!$Q39,"-")</f>
        <v>-</v>
      </c>
      <c r="Z89" s="61" t="str">
        <f>IF(月途中入退所情報!$N39=$B$2,月途中入退所情報!$R39,"-")</f>
        <v>-</v>
      </c>
      <c r="AA89" s="61" t="str">
        <f>IF(月途中入退所情報!$N39=$B$2,月途中入退所情報!$S39,"-")</f>
        <v>-</v>
      </c>
      <c r="AB89" s="61" t="str">
        <f>IF(月途中入退所情報!$N39=$B$2,月途中入退所情報!$T39,"-")</f>
        <v>-</v>
      </c>
      <c r="AC89" s="84">
        <f>IF($Z89="標準時間",HLOOKUP($Y89,$F$31:$I$54,24,FALSE)-SUM($F$10,$F$21:$F$24,$F$26)-HLOOKUP($Y89,$F$31:$I$54,17,FALSE)+HLOOKUP($Y89,$F$31:$I$56,26,FALSE),IF($Z89="短時間",HLOOKUP($Y89,$J$31:$M$54,24,FALSE)-SUM($F$10,$F$21:$F$24,$F$26)-HLOOKUP($Y89,$J$31:$M$54,17,FALSE)+HLOOKUP($Y89,$J$31:$M$56,26,FALSE),0))+IF(AA89="○",加算と減算!$AH$3,0)</f>
        <v>0</v>
      </c>
      <c r="AD89" s="85">
        <f t="shared" si="57"/>
        <v>0</v>
      </c>
      <c r="AE89" s="262">
        <f t="shared" si="58"/>
        <v>0</v>
      </c>
    </row>
    <row r="90" spans="15:31">
      <c r="O90" s="61" t="str">
        <f>IF(月途中入退所情報!$D40=$B$2,月途中入退所情報!F40,"-")</f>
        <v>-</v>
      </c>
      <c r="P90" s="61" t="str">
        <f>IF(月途中入退所情報!$D40=$B$2,月途中入退所情報!G40,"-")</f>
        <v>-</v>
      </c>
      <c r="Q90" s="61" t="str">
        <f>IF(月途中入退所情報!$D40=$B$2,月途中入退所情報!H40,"-")</f>
        <v>-</v>
      </c>
      <c r="R90" s="61" t="str">
        <f>IF(月途中入退所情報!$D40=$B$2,月途中入退所情報!I40,"-")</f>
        <v>-</v>
      </c>
      <c r="S90" s="61" t="str">
        <f>IF(月途中入退所情報!$D40=$B$2,月途中入退所情報!J40,"-")</f>
        <v>-</v>
      </c>
      <c r="T90" s="84">
        <f>IF($Q90="標準時間",HLOOKUP($P90,$F$31:$I$54,24,FALSE)-SUM($F$10,$F$21:$F$24,$F$26)-HLOOKUP($P90,$F$31:$I$54,17,FALSE)+HLOOKUP($P90,$F$31:$I$56,26,FALSE),IF($Q90="短時間",HLOOKUP($P90,$J$31:$M$54,24,FALSE)-SUM($F$10,$F$21:$F$24,$F$26)-HLOOKUP($P90,$J$31:$M$54,17,FALSE)+HLOOKUP($P90,$J$31:$M$56,26,FALSE),0))+IF(R90="○",加算と減算!$AH$3,0)</f>
        <v>0</v>
      </c>
      <c r="U90" s="85">
        <f t="shared" si="56"/>
        <v>0</v>
      </c>
      <c r="V90" s="262">
        <f t="shared" si="59"/>
        <v>0</v>
      </c>
      <c r="W90" s="262"/>
      <c r="X90" s="61" t="str">
        <f>IF(月途中入退所情報!$N40=$B$2,月途中入退所情報!$P40,"-")</f>
        <v>-</v>
      </c>
      <c r="Y90" s="61" t="str">
        <f>IF(月途中入退所情報!$N40=$B$2,月途中入退所情報!$Q40,"-")</f>
        <v>-</v>
      </c>
      <c r="Z90" s="61" t="str">
        <f>IF(月途中入退所情報!$N40=$B$2,月途中入退所情報!$R40,"-")</f>
        <v>-</v>
      </c>
      <c r="AA90" s="61" t="str">
        <f>IF(月途中入退所情報!$N40=$B$2,月途中入退所情報!$S40,"-")</f>
        <v>-</v>
      </c>
      <c r="AB90" s="61" t="str">
        <f>IF(月途中入退所情報!$N40=$B$2,月途中入退所情報!$T40,"-")</f>
        <v>-</v>
      </c>
      <c r="AC90" s="84">
        <f>IF($Z90="標準時間",HLOOKUP($Y90,$F$31:$I$54,24,FALSE)-SUM($F$10,$F$21:$F$24,$F$26)-HLOOKUP($Y90,$F$31:$I$54,17,FALSE)+HLOOKUP($Y90,$F$31:$I$56,26,FALSE),IF($Z90="短時間",HLOOKUP($Y90,$J$31:$M$54,24,FALSE)-SUM($F$10,$F$21:$F$24,$F$26)-HLOOKUP($Y90,$J$31:$M$54,17,FALSE)+HLOOKUP($Y90,$J$31:$M$56,26,FALSE),0))+IF(AA90="○",加算と減算!$AH$3,0)</f>
        <v>0</v>
      </c>
      <c r="AD90" s="85">
        <f t="shared" si="57"/>
        <v>0</v>
      </c>
      <c r="AE90" s="262">
        <f t="shared" si="58"/>
        <v>0</v>
      </c>
    </row>
    <row r="91" spans="15:31">
      <c r="O91" s="61" t="str">
        <f>IF(月途中入退所情報!$D41=$B$2,月途中入退所情報!F41,"-")</f>
        <v>-</v>
      </c>
      <c r="P91" s="61" t="str">
        <f>IF(月途中入退所情報!$D41=$B$2,月途中入退所情報!G41,"-")</f>
        <v>-</v>
      </c>
      <c r="Q91" s="61" t="str">
        <f>IF(月途中入退所情報!$D41=$B$2,月途中入退所情報!H41,"-")</f>
        <v>-</v>
      </c>
      <c r="R91" s="61" t="str">
        <f>IF(月途中入退所情報!$D41=$B$2,月途中入退所情報!I41,"-")</f>
        <v>-</v>
      </c>
      <c r="S91" s="61" t="str">
        <f>IF(月途中入退所情報!$D41=$B$2,月途中入退所情報!J41,"-")</f>
        <v>-</v>
      </c>
      <c r="T91" s="84">
        <f>IF($Q91="標準時間",HLOOKUP($P91,$F$31:$I$54,24,FALSE)-SUM($F$10,$F$21:$F$24,$F$26)-HLOOKUP($P91,$F$31:$I$54,17,FALSE)+HLOOKUP($P91,$F$31:$I$56,26,FALSE),IF($Q91="短時間",HLOOKUP($P91,$J$31:$M$54,24,FALSE)-SUM($F$10,$F$21:$F$24,$F$26)-HLOOKUP($P91,$J$31:$M$54,17,FALSE)+HLOOKUP($P91,$J$31:$M$56,26,FALSE),0))+IF(R91="○",加算と減算!$AH$3,0)</f>
        <v>0</v>
      </c>
      <c r="U91" s="85">
        <f t="shared" si="56"/>
        <v>0</v>
      </c>
      <c r="V91" s="262">
        <f t="shared" si="59"/>
        <v>0</v>
      </c>
      <c r="W91" s="262"/>
      <c r="X91" s="61" t="str">
        <f>IF(月途中入退所情報!$N41=$B$2,月途中入退所情報!$P41,"-")</f>
        <v>-</v>
      </c>
      <c r="Y91" s="61" t="str">
        <f>IF(月途中入退所情報!$N41=$B$2,月途中入退所情報!$Q41,"-")</f>
        <v>-</v>
      </c>
      <c r="Z91" s="61" t="str">
        <f>IF(月途中入退所情報!$N41=$B$2,月途中入退所情報!$R41,"-")</f>
        <v>-</v>
      </c>
      <c r="AA91" s="61" t="str">
        <f>IF(月途中入退所情報!$N41=$B$2,月途中入退所情報!$S41,"-")</f>
        <v>-</v>
      </c>
      <c r="AB91" s="61" t="str">
        <f>IF(月途中入退所情報!$N41=$B$2,月途中入退所情報!$T41,"-")</f>
        <v>-</v>
      </c>
      <c r="AC91" s="84">
        <f>IF($Z91="標準時間",HLOOKUP($Y91,$F$31:$I$54,24,FALSE)-SUM($F$10,$F$21:$F$24,$F$26)-HLOOKUP($Y91,$F$31:$I$54,17,FALSE)+HLOOKUP($Y91,$F$31:$I$56,26,FALSE),IF($Z91="短時間",HLOOKUP($Y91,$J$31:$M$54,24,FALSE)-SUM($F$10,$F$21:$F$24,$F$26)-HLOOKUP($Y91,$J$31:$M$54,17,FALSE)+HLOOKUP($Y91,$J$31:$M$56,26,FALSE),0))+IF(AA91="○",加算と減算!$AH$3,0)</f>
        <v>0</v>
      </c>
      <c r="AD91" s="85">
        <f t="shared" si="57"/>
        <v>0</v>
      </c>
      <c r="AE91" s="262">
        <f t="shared" si="58"/>
        <v>0</v>
      </c>
    </row>
    <row r="92" spans="15:31">
      <c r="O92" s="61" t="str">
        <f>IF(月途中入退所情報!$D42=$B$2,月途中入退所情報!F42,"-")</f>
        <v>-</v>
      </c>
      <c r="P92" s="61" t="str">
        <f>IF(月途中入退所情報!$D42=$B$2,月途中入退所情報!G42,"-")</f>
        <v>-</v>
      </c>
      <c r="Q92" s="61" t="str">
        <f>IF(月途中入退所情報!$D42=$B$2,月途中入退所情報!H42,"-")</f>
        <v>-</v>
      </c>
      <c r="R92" s="61" t="str">
        <f>IF(月途中入退所情報!$D42=$B$2,月途中入退所情報!I42,"-")</f>
        <v>-</v>
      </c>
      <c r="S92" s="61" t="str">
        <f>IF(月途中入退所情報!$D42=$B$2,月途中入退所情報!J42,"-")</f>
        <v>-</v>
      </c>
      <c r="T92" s="84">
        <f>IF($Q92="標準時間",HLOOKUP($P92,$F$31:$I$54,24,FALSE)-SUM($F$10,$F$21:$F$24,$F$26)-HLOOKUP($P92,$F$31:$I$54,17,FALSE)+HLOOKUP($P92,$F$31:$I$56,26,FALSE),IF($Q92="短時間",HLOOKUP($P92,$J$31:$M$54,24,FALSE)-SUM($F$10,$F$21:$F$24,$F$26)-HLOOKUP($P92,$J$31:$M$54,17,FALSE)+HLOOKUP($P92,$J$31:$M$56,26,FALSE),0))+IF(R92="○",加算と減算!$AH$3,0)</f>
        <v>0</v>
      </c>
      <c r="U92" s="85">
        <f t="shared" si="56"/>
        <v>0</v>
      </c>
      <c r="V92" s="262">
        <f t="shared" si="59"/>
        <v>0</v>
      </c>
      <c r="W92" s="262"/>
      <c r="X92" s="61" t="str">
        <f>IF(月途中入退所情報!$N42=$B$2,月途中入退所情報!$P42,"-")</f>
        <v>-</v>
      </c>
      <c r="Y92" s="61" t="str">
        <f>IF(月途中入退所情報!$N42=$B$2,月途中入退所情報!$Q42,"-")</f>
        <v>-</v>
      </c>
      <c r="Z92" s="61" t="str">
        <f>IF(月途中入退所情報!$N42=$B$2,月途中入退所情報!$R42,"-")</f>
        <v>-</v>
      </c>
      <c r="AA92" s="61" t="str">
        <f>IF(月途中入退所情報!$N42=$B$2,月途中入退所情報!$S42,"-")</f>
        <v>-</v>
      </c>
      <c r="AB92" s="61" t="str">
        <f>IF(月途中入退所情報!$N42=$B$2,月途中入退所情報!$T42,"-")</f>
        <v>-</v>
      </c>
      <c r="AC92" s="84">
        <f>IF($Z92="標準時間",HLOOKUP($Y92,$F$31:$I$54,24,FALSE)-SUM($F$10,$F$21:$F$24,$F$26)-HLOOKUP($Y92,$F$31:$I$54,17,FALSE)+HLOOKUP($Y92,$F$31:$I$56,26,FALSE),IF($Z92="短時間",HLOOKUP($Y92,$J$31:$M$54,24,FALSE)-SUM($F$10,$F$21:$F$24,$F$26)-HLOOKUP($Y92,$J$31:$M$54,17,FALSE)+HLOOKUP($Y92,$J$31:$M$56,26,FALSE),0))+IF(AA92="○",加算と減算!$AH$3,0)</f>
        <v>0</v>
      </c>
      <c r="AD92" s="85">
        <f t="shared" si="57"/>
        <v>0</v>
      </c>
      <c r="AE92" s="262">
        <f t="shared" si="58"/>
        <v>0</v>
      </c>
    </row>
    <row r="93" spans="15:31">
      <c r="O93" s="61" t="str">
        <f>IF(月途中入退所情報!$D43=$B$2,月途中入退所情報!F43,"-")</f>
        <v>-</v>
      </c>
      <c r="P93" s="61" t="str">
        <f>IF(月途中入退所情報!$D43=$B$2,月途中入退所情報!G43,"-")</f>
        <v>-</v>
      </c>
      <c r="Q93" s="61" t="str">
        <f>IF(月途中入退所情報!$D43=$B$2,月途中入退所情報!H43,"-")</f>
        <v>-</v>
      </c>
      <c r="R93" s="61" t="str">
        <f>IF(月途中入退所情報!$D43=$B$2,月途中入退所情報!I43,"-")</f>
        <v>-</v>
      </c>
      <c r="S93" s="61" t="str">
        <f>IF(月途中入退所情報!$D43=$B$2,月途中入退所情報!J43,"-")</f>
        <v>-</v>
      </c>
      <c r="T93" s="84">
        <f>IF($Q93="標準時間",HLOOKUP($P93,$F$31:$I$54,24,FALSE)-SUM($F$10,$F$21:$F$24,$F$26)-HLOOKUP($P93,$F$31:$I$54,17,FALSE)+HLOOKUP($P93,$F$31:$I$56,26,FALSE),IF($Q93="短時間",HLOOKUP($P93,$J$31:$M$54,24,FALSE)-SUM($F$10,$F$21:$F$24,$F$26)-HLOOKUP($P93,$J$31:$M$54,17,FALSE)+HLOOKUP($P93,$J$31:$M$56,26,FALSE),0))+IF(R93="○",加算と減算!$AH$3,0)</f>
        <v>0</v>
      </c>
      <c r="U93" s="85">
        <f t="shared" si="56"/>
        <v>0</v>
      </c>
      <c r="V93" s="262">
        <f t="shared" si="59"/>
        <v>0</v>
      </c>
      <c r="W93" s="262"/>
      <c r="X93" s="61" t="str">
        <f>IF(月途中入退所情報!$N43=$B$2,月途中入退所情報!$P43,"-")</f>
        <v>-</v>
      </c>
      <c r="Y93" s="61" t="str">
        <f>IF(月途中入退所情報!$N43=$B$2,月途中入退所情報!$Q43,"-")</f>
        <v>-</v>
      </c>
      <c r="Z93" s="61" t="str">
        <f>IF(月途中入退所情報!$N43=$B$2,月途中入退所情報!$R43,"-")</f>
        <v>-</v>
      </c>
      <c r="AA93" s="61" t="str">
        <f>IF(月途中入退所情報!$N43=$B$2,月途中入退所情報!$S43,"-")</f>
        <v>-</v>
      </c>
      <c r="AB93" s="61" t="str">
        <f>IF(月途中入退所情報!$N43=$B$2,月途中入退所情報!$T43,"-")</f>
        <v>-</v>
      </c>
      <c r="AC93" s="84">
        <f>IF($Z93="標準時間",HLOOKUP($Y93,$F$31:$I$54,24,FALSE)-SUM($F$10,$F$21:$F$24,$F$26)-HLOOKUP($Y93,$F$31:$I$54,17,FALSE)+HLOOKUP($Y93,$F$31:$I$56,26,FALSE),IF($Z93="短時間",HLOOKUP($Y93,$J$31:$M$54,24,FALSE)-SUM($F$10,$F$21:$F$24,$F$26)-HLOOKUP($Y93,$J$31:$M$54,17,FALSE)+HLOOKUP($Y93,$J$31:$M$56,26,FALSE),0))+IF(AA93="○",加算と減算!$AH$3,0)</f>
        <v>0</v>
      </c>
      <c r="AD93" s="85">
        <f t="shared" si="57"/>
        <v>0</v>
      </c>
      <c r="AE93" s="262">
        <f t="shared" si="58"/>
        <v>0</v>
      </c>
    </row>
    <row r="94" spans="15:31">
      <c r="O94" s="61" t="str">
        <f>IF(月途中入退所情報!$D44=$B$2,月途中入退所情報!F44,"-")</f>
        <v>-</v>
      </c>
      <c r="P94" s="61" t="str">
        <f>IF(月途中入退所情報!$D44=$B$2,月途中入退所情報!G44,"-")</f>
        <v>-</v>
      </c>
      <c r="Q94" s="61" t="str">
        <f>IF(月途中入退所情報!$D44=$B$2,月途中入退所情報!H44,"-")</f>
        <v>-</v>
      </c>
      <c r="R94" s="61" t="str">
        <f>IF(月途中入退所情報!$D44=$B$2,月途中入退所情報!I44,"-")</f>
        <v>-</v>
      </c>
      <c r="S94" s="61" t="str">
        <f>IF(月途中入退所情報!$D44=$B$2,月途中入退所情報!J44,"-")</f>
        <v>-</v>
      </c>
      <c r="T94" s="84">
        <f>IF($Q94="標準時間",HLOOKUP($P94,$F$31:$I$54,24,FALSE)-SUM($F$10,$F$21:$F$24,$F$26)-HLOOKUP($P94,$F$31:$I$54,17,FALSE)+HLOOKUP($P94,$F$31:$I$56,26,FALSE),IF($Q94="短時間",HLOOKUP($P94,$J$31:$M$54,24,FALSE)-SUM($F$10,$F$21:$F$24,$F$26)-HLOOKUP($P94,$J$31:$M$54,17,FALSE)+HLOOKUP($P94,$J$31:$M$56,26,FALSE),0))+IF(R94="○",加算と減算!$AH$3,0)</f>
        <v>0</v>
      </c>
      <c r="U94" s="85">
        <f t="shared" si="56"/>
        <v>0</v>
      </c>
      <c r="V94" s="262">
        <f t="shared" si="59"/>
        <v>0</v>
      </c>
      <c r="W94" s="262"/>
      <c r="X94" s="61" t="str">
        <f>IF(月途中入退所情報!$N44=$B$2,月途中入退所情報!$P44,"-")</f>
        <v>-</v>
      </c>
      <c r="Y94" s="61" t="str">
        <f>IF(月途中入退所情報!$N44=$B$2,月途中入退所情報!$Q44,"-")</f>
        <v>-</v>
      </c>
      <c r="Z94" s="61" t="str">
        <f>IF(月途中入退所情報!$N44=$B$2,月途中入退所情報!$R44,"-")</f>
        <v>-</v>
      </c>
      <c r="AA94" s="61" t="str">
        <f>IF(月途中入退所情報!$N44=$B$2,月途中入退所情報!$S44,"-")</f>
        <v>-</v>
      </c>
      <c r="AB94" s="61" t="str">
        <f>IF(月途中入退所情報!$N44=$B$2,月途中入退所情報!$T44,"-")</f>
        <v>-</v>
      </c>
      <c r="AC94" s="84">
        <f>IF($Z94="標準時間",HLOOKUP($Y94,$F$31:$I$54,24,FALSE)-SUM($F$10,$F$21:$F$24,$F$26)-HLOOKUP($Y94,$F$31:$I$54,17,FALSE)+HLOOKUP($Y94,$F$31:$I$56,26,FALSE),IF($Z94="短時間",HLOOKUP($Y94,$J$31:$M$54,24,FALSE)-SUM($F$10,$F$21:$F$24,$F$26)-HLOOKUP($Y94,$J$31:$M$54,17,FALSE)+HLOOKUP($Y94,$J$31:$M$56,26,FALSE),0))+IF(AA94="○",加算と減算!$AH$3,0)</f>
        <v>0</v>
      </c>
      <c r="AD94" s="85">
        <f t="shared" si="57"/>
        <v>0</v>
      </c>
      <c r="AE94" s="262">
        <f t="shared" si="58"/>
        <v>0</v>
      </c>
    </row>
    <row r="95" spans="15:31">
      <c r="O95" s="61" t="str">
        <f>IF(月途中入退所情報!$D45=$B$2,月途中入退所情報!F45,"-")</f>
        <v>-</v>
      </c>
      <c r="P95" s="61" t="str">
        <f>IF(月途中入退所情報!$D45=$B$2,月途中入退所情報!G45,"-")</f>
        <v>-</v>
      </c>
      <c r="Q95" s="61" t="str">
        <f>IF(月途中入退所情報!$D45=$B$2,月途中入退所情報!H45,"-")</f>
        <v>-</v>
      </c>
      <c r="R95" s="61" t="str">
        <f>IF(月途中入退所情報!$D45=$B$2,月途中入退所情報!I45,"-")</f>
        <v>-</v>
      </c>
      <c r="S95" s="61" t="str">
        <f>IF(月途中入退所情報!$D45=$B$2,月途中入退所情報!J45,"-")</f>
        <v>-</v>
      </c>
      <c r="T95" s="84">
        <f>IF($Q95="標準時間",HLOOKUP($P95,$F$31:$I$54,24,FALSE)-SUM($F$10,$F$21:$F$24,$F$26)-HLOOKUP($P95,$F$31:$I$54,17,FALSE)+HLOOKUP($P95,$F$31:$I$56,26,FALSE),IF($Q95="短時間",HLOOKUP($P95,$J$31:$M$54,24,FALSE)-SUM($F$10,$F$21:$F$24,$F$26)-HLOOKUP($P95,$J$31:$M$54,17,FALSE)+HLOOKUP($P95,$J$31:$M$56,26,FALSE),0))+IF(R95="○",加算と減算!$AH$3,0)</f>
        <v>0</v>
      </c>
      <c r="U95" s="85">
        <f t="shared" si="56"/>
        <v>0</v>
      </c>
      <c r="V95" s="262">
        <f t="shared" si="59"/>
        <v>0</v>
      </c>
      <c r="W95" s="262"/>
      <c r="X95" s="61" t="str">
        <f>IF(月途中入退所情報!$N45=$B$2,月途中入退所情報!$P45,"-")</f>
        <v>-</v>
      </c>
      <c r="Y95" s="61" t="str">
        <f>IF(月途中入退所情報!$N45=$B$2,月途中入退所情報!$Q45,"-")</f>
        <v>-</v>
      </c>
      <c r="Z95" s="61" t="str">
        <f>IF(月途中入退所情報!$N45=$B$2,月途中入退所情報!$R45,"-")</f>
        <v>-</v>
      </c>
      <c r="AA95" s="61" t="str">
        <f>IF(月途中入退所情報!$N45=$B$2,月途中入退所情報!$S45,"-")</f>
        <v>-</v>
      </c>
      <c r="AB95" s="61" t="str">
        <f>IF(月途中入退所情報!$N45=$B$2,月途中入退所情報!$T45,"-")</f>
        <v>-</v>
      </c>
      <c r="AC95" s="84">
        <f>IF($Z95="標準時間",HLOOKUP($Y95,$F$31:$I$54,24,FALSE)-SUM($F$10,$F$21:$F$24,$F$26)-HLOOKUP($Y95,$F$31:$I$54,17,FALSE)+HLOOKUP($Y95,$F$31:$I$56,26,FALSE),IF($Z95="短時間",HLOOKUP($Y95,$J$31:$M$54,24,FALSE)-SUM($F$10,$F$21:$F$24,$F$26)-HLOOKUP($Y95,$J$31:$M$54,17,FALSE)+HLOOKUP($Y95,$J$31:$M$56,26,FALSE),0))+IF(AA95="○",加算と減算!$AH$3,0)</f>
        <v>0</v>
      </c>
      <c r="AD95" s="85">
        <f t="shared" si="57"/>
        <v>0</v>
      </c>
      <c r="AE95" s="262">
        <f t="shared" si="58"/>
        <v>0</v>
      </c>
    </row>
    <row r="96" spans="15:31">
      <c r="O96" s="61" t="str">
        <f>IF(月途中入退所情報!$D46=$B$2,月途中入退所情報!F46,"-")</f>
        <v>-</v>
      </c>
      <c r="P96" s="61" t="str">
        <f>IF(月途中入退所情報!$D46=$B$2,月途中入退所情報!G46,"-")</f>
        <v>-</v>
      </c>
      <c r="Q96" s="61" t="str">
        <f>IF(月途中入退所情報!$D46=$B$2,月途中入退所情報!H46,"-")</f>
        <v>-</v>
      </c>
      <c r="R96" s="61" t="str">
        <f>IF(月途中入退所情報!$D46=$B$2,月途中入退所情報!I46,"-")</f>
        <v>-</v>
      </c>
      <c r="S96" s="61" t="str">
        <f>IF(月途中入退所情報!$D46=$B$2,月途中入退所情報!J46,"-")</f>
        <v>-</v>
      </c>
      <c r="T96" s="84">
        <f>IF($Q96="標準時間",HLOOKUP($P96,$F$31:$I$54,24,FALSE)-SUM($F$10,$F$21:$F$24,$F$26)-HLOOKUP($P96,$F$31:$I$54,17,FALSE)+HLOOKUP($P96,$F$31:$I$56,26,FALSE),IF($Q96="短時間",HLOOKUP($P96,$J$31:$M$54,24,FALSE)-SUM($F$10,$F$21:$F$24,$F$26)-HLOOKUP($P96,$J$31:$M$54,17,FALSE)+HLOOKUP($P96,$J$31:$M$56,26,FALSE),0))+IF(R96="○",加算と減算!$AH$3,0)</f>
        <v>0</v>
      </c>
      <c r="U96" s="85">
        <f t="shared" si="56"/>
        <v>0</v>
      </c>
      <c r="V96" s="262">
        <f t="shared" si="59"/>
        <v>0</v>
      </c>
      <c r="W96" s="262"/>
      <c r="X96" s="61" t="str">
        <f>IF(月途中入退所情報!$N46=$B$2,月途中入退所情報!$P46,"-")</f>
        <v>-</v>
      </c>
      <c r="Y96" s="61" t="str">
        <f>IF(月途中入退所情報!$N46=$B$2,月途中入退所情報!$Q46,"-")</f>
        <v>-</v>
      </c>
      <c r="Z96" s="61" t="str">
        <f>IF(月途中入退所情報!$N46=$B$2,月途中入退所情報!$R46,"-")</f>
        <v>-</v>
      </c>
      <c r="AA96" s="61" t="str">
        <f>IF(月途中入退所情報!$N46=$B$2,月途中入退所情報!$S46,"-")</f>
        <v>-</v>
      </c>
      <c r="AB96" s="61" t="str">
        <f>IF(月途中入退所情報!$N46=$B$2,月途中入退所情報!$T46,"-")</f>
        <v>-</v>
      </c>
      <c r="AC96" s="84">
        <f>IF($Z96="標準時間",HLOOKUP($Y96,$F$31:$I$54,24,FALSE)-SUM($F$10,$F$21:$F$24,$F$26)-HLOOKUP($Y96,$F$31:$I$54,17,FALSE)+HLOOKUP($Y96,$F$31:$I$56,26,FALSE),IF($Z96="短時間",HLOOKUP($Y96,$J$31:$M$54,24,FALSE)-SUM($F$10,$F$21:$F$24,$F$26)-HLOOKUP($Y96,$J$31:$M$54,17,FALSE)+HLOOKUP($Y96,$J$31:$M$56,26,FALSE),0))+IF(AA96="○",加算と減算!$AH$3,0)</f>
        <v>0</v>
      </c>
      <c r="AD96" s="85">
        <f t="shared" si="57"/>
        <v>0</v>
      </c>
      <c r="AE96" s="262">
        <f t="shared" si="58"/>
        <v>0</v>
      </c>
    </row>
    <row r="97" spans="15:31">
      <c r="O97" s="61" t="str">
        <f>IF(月途中入退所情報!$D47=$B$2,月途中入退所情報!F47,"-")</f>
        <v>-</v>
      </c>
      <c r="P97" s="61" t="str">
        <f>IF(月途中入退所情報!$D47=$B$2,月途中入退所情報!G47,"-")</f>
        <v>-</v>
      </c>
      <c r="Q97" s="61" t="str">
        <f>IF(月途中入退所情報!$D47=$B$2,月途中入退所情報!H47,"-")</f>
        <v>-</v>
      </c>
      <c r="R97" s="61" t="str">
        <f>IF(月途中入退所情報!$D47=$B$2,月途中入退所情報!I47,"-")</f>
        <v>-</v>
      </c>
      <c r="S97" s="61" t="str">
        <f>IF(月途中入退所情報!$D47=$B$2,月途中入退所情報!J47,"-")</f>
        <v>-</v>
      </c>
      <c r="T97" s="84">
        <f>IF($Q97="標準時間",HLOOKUP($P97,$F$31:$I$54,24,FALSE)-SUM($F$10,$F$21:$F$24,$F$26)-HLOOKUP($P97,$F$31:$I$54,17,FALSE)+HLOOKUP($P97,$F$31:$I$56,26,FALSE),IF($Q97="短時間",HLOOKUP($P97,$J$31:$M$54,24,FALSE)-SUM($F$10,$F$21:$F$24,$F$26)-HLOOKUP($P97,$J$31:$M$54,17,FALSE)+HLOOKUP($P97,$J$31:$M$56,26,FALSE),0))+IF(R97="○",加算と減算!$AH$3,0)</f>
        <v>0</v>
      </c>
      <c r="U97" s="85">
        <f t="shared" si="56"/>
        <v>0</v>
      </c>
      <c r="V97" s="262">
        <f t="shared" si="59"/>
        <v>0</v>
      </c>
      <c r="W97" s="262"/>
      <c r="X97" s="61" t="str">
        <f>IF(月途中入退所情報!$N47=$B$2,月途中入退所情報!$P47,"-")</f>
        <v>-</v>
      </c>
      <c r="Y97" s="61" t="str">
        <f>IF(月途中入退所情報!$N47=$B$2,月途中入退所情報!$Q47,"-")</f>
        <v>-</v>
      </c>
      <c r="Z97" s="61" t="str">
        <f>IF(月途中入退所情報!$N47=$B$2,月途中入退所情報!$R47,"-")</f>
        <v>-</v>
      </c>
      <c r="AA97" s="61" t="str">
        <f>IF(月途中入退所情報!$N47=$B$2,月途中入退所情報!$S47,"-")</f>
        <v>-</v>
      </c>
      <c r="AB97" s="61" t="str">
        <f>IF(月途中入退所情報!$N47=$B$2,月途中入退所情報!$T47,"-")</f>
        <v>-</v>
      </c>
      <c r="AC97" s="84">
        <f>IF($Z97="標準時間",HLOOKUP($Y97,$F$31:$I$54,24,FALSE)-SUM($F$10,$F$21:$F$24,$F$26)-HLOOKUP($Y97,$F$31:$I$54,17,FALSE)+HLOOKUP($Y97,$F$31:$I$56,26,FALSE),IF($Z97="短時間",HLOOKUP($Y97,$J$31:$M$54,24,FALSE)-SUM($F$10,$F$21:$F$24,$F$26)-HLOOKUP($Y97,$J$31:$M$54,17,FALSE)+HLOOKUP($Y97,$J$31:$M$56,26,FALSE),0))+IF(AA97="○",加算と減算!$AH$3,0)</f>
        <v>0</v>
      </c>
      <c r="AD97" s="85">
        <f t="shared" si="57"/>
        <v>0</v>
      </c>
      <c r="AE97" s="262">
        <f t="shared" si="58"/>
        <v>0</v>
      </c>
    </row>
    <row r="98" spans="15:31">
      <c r="O98" s="61" t="str">
        <f>IF(月途中入退所情報!$D48=$B$2,月途中入退所情報!F48,"-")</f>
        <v>-</v>
      </c>
      <c r="P98" s="61" t="str">
        <f>IF(月途中入退所情報!$D48=$B$2,月途中入退所情報!G48,"-")</f>
        <v>-</v>
      </c>
      <c r="Q98" s="61" t="str">
        <f>IF(月途中入退所情報!$D48=$B$2,月途中入退所情報!H48,"-")</f>
        <v>-</v>
      </c>
      <c r="R98" s="61" t="str">
        <f>IF(月途中入退所情報!$D48=$B$2,月途中入退所情報!I48,"-")</f>
        <v>-</v>
      </c>
      <c r="S98" s="61" t="str">
        <f>IF(月途中入退所情報!$D48=$B$2,月途中入退所情報!J48,"-")</f>
        <v>-</v>
      </c>
      <c r="T98" s="84">
        <f>IF($Q98="標準時間",HLOOKUP($P98,$F$31:$I$54,24,FALSE)-SUM($F$10,$F$21:$F$24,$F$26)-HLOOKUP($P98,$F$31:$I$54,17,FALSE)+HLOOKUP($P98,$F$31:$I$56,26,FALSE),IF($Q98="短時間",HLOOKUP($P98,$J$31:$M$54,24,FALSE)-SUM($F$10,$F$21:$F$24,$F$26)-HLOOKUP($P98,$J$31:$M$54,17,FALSE)+HLOOKUP($P98,$J$31:$M$56,26,FALSE),0))+IF(R98="○",加算と減算!$AH$3,0)</f>
        <v>0</v>
      </c>
      <c r="U98" s="85">
        <f t="shared" si="56"/>
        <v>0</v>
      </c>
      <c r="V98" s="262">
        <f t="shared" si="59"/>
        <v>0</v>
      </c>
      <c r="W98" s="262"/>
      <c r="X98" s="61" t="str">
        <f>IF(月途中入退所情報!$N48=$B$2,月途中入退所情報!$P48,"-")</f>
        <v>-</v>
      </c>
      <c r="Y98" s="61" t="str">
        <f>IF(月途中入退所情報!$N48=$B$2,月途中入退所情報!$Q48,"-")</f>
        <v>-</v>
      </c>
      <c r="Z98" s="61" t="str">
        <f>IF(月途中入退所情報!$N48=$B$2,月途中入退所情報!$R48,"-")</f>
        <v>-</v>
      </c>
      <c r="AA98" s="61" t="str">
        <f>IF(月途中入退所情報!$N48=$B$2,月途中入退所情報!$S48,"-")</f>
        <v>-</v>
      </c>
      <c r="AB98" s="61" t="str">
        <f>IF(月途中入退所情報!$N48=$B$2,月途中入退所情報!$T48,"-")</f>
        <v>-</v>
      </c>
      <c r="AC98" s="84">
        <f>IF($Z98="標準時間",HLOOKUP($Y98,$F$31:$I$54,24,FALSE)-SUM($F$10,$F$21:$F$24,$F$26)-HLOOKUP($Y98,$F$31:$I$54,17,FALSE)+HLOOKUP($Y98,$F$31:$I$56,26,FALSE),IF($Z98="短時間",HLOOKUP($Y98,$J$31:$M$54,24,FALSE)-SUM($F$10,$F$21:$F$24,$F$26)-HLOOKUP($Y98,$J$31:$M$54,17,FALSE)+HLOOKUP($Y98,$J$31:$M$56,26,FALSE),0))+IF(AA98="○",加算と減算!$AH$3,0)</f>
        <v>0</v>
      </c>
      <c r="AD98" s="85">
        <f t="shared" si="57"/>
        <v>0</v>
      </c>
      <c r="AE98" s="262">
        <f t="shared" si="58"/>
        <v>0</v>
      </c>
    </row>
    <row r="99" spans="15:31">
      <c r="O99" s="61" t="str">
        <f>IF(月途中入退所情報!$D49=$B$2,月途中入退所情報!F49,"-")</f>
        <v>-</v>
      </c>
      <c r="P99" s="61" t="str">
        <f>IF(月途中入退所情報!$D49=$B$2,月途中入退所情報!G49,"-")</f>
        <v>-</v>
      </c>
      <c r="Q99" s="61" t="str">
        <f>IF(月途中入退所情報!$D49=$B$2,月途中入退所情報!H49,"-")</f>
        <v>-</v>
      </c>
      <c r="R99" s="61" t="str">
        <f>IF(月途中入退所情報!$D49=$B$2,月途中入退所情報!I49,"-")</f>
        <v>-</v>
      </c>
      <c r="S99" s="61" t="str">
        <f>IF(月途中入退所情報!$D49=$B$2,月途中入退所情報!J49,"-")</f>
        <v>-</v>
      </c>
      <c r="T99" s="84">
        <f>IF($Q99="標準時間",HLOOKUP($P99,$F$31:$I$54,24,FALSE)-SUM($F$10,$F$21:$F$24,$F$26)-HLOOKUP($P99,$F$31:$I$54,17,FALSE)+HLOOKUP($P99,$F$31:$I$56,26,FALSE),IF($Q99="短時間",HLOOKUP($P99,$J$31:$M$54,24,FALSE)-SUM($F$10,$F$21:$F$24,$F$26)-HLOOKUP($P99,$J$31:$M$54,17,FALSE)+HLOOKUP($P99,$J$31:$M$56,26,FALSE),0))+IF(R99="○",加算と減算!$AH$3,0)</f>
        <v>0</v>
      </c>
      <c r="U99" s="85">
        <f t="shared" si="56"/>
        <v>0</v>
      </c>
      <c r="V99" s="262">
        <f t="shared" si="59"/>
        <v>0</v>
      </c>
      <c r="W99" s="262"/>
      <c r="X99" s="61" t="str">
        <f>IF(月途中入退所情報!$N49=$B$2,月途中入退所情報!$P49,"-")</f>
        <v>-</v>
      </c>
      <c r="Y99" s="61" t="str">
        <f>IF(月途中入退所情報!$N49=$B$2,月途中入退所情報!$Q49,"-")</f>
        <v>-</v>
      </c>
      <c r="Z99" s="61" t="str">
        <f>IF(月途中入退所情報!$N49=$B$2,月途中入退所情報!$R49,"-")</f>
        <v>-</v>
      </c>
      <c r="AA99" s="61" t="str">
        <f>IF(月途中入退所情報!$N49=$B$2,月途中入退所情報!$S49,"-")</f>
        <v>-</v>
      </c>
      <c r="AB99" s="61" t="str">
        <f>IF(月途中入退所情報!$N49=$B$2,月途中入退所情報!$T49,"-")</f>
        <v>-</v>
      </c>
      <c r="AC99" s="84">
        <f>IF($Z99="標準時間",HLOOKUP($Y99,$F$31:$I$54,24,FALSE)-SUM($F$10,$F$21:$F$24,$F$26)-HLOOKUP($Y99,$F$31:$I$54,17,FALSE)+HLOOKUP($Y99,$F$31:$I$56,26,FALSE),IF($Z99="短時間",HLOOKUP($Y99,$J$31:$M$54,24,FALSE)-SUM($F$10,$F$21:$F$24,$F$26)-HLOOKUP($Y99,$J$31:$M$54,17,FALSE)+HLOOKUP($Y99,$J$31:$M$56,26,FALSE),0))+IF(AA99="○",加算と減算!$AH$3,0)</f>
        <v>0</v>
      </c>
      <c r="AD99" s="85">
        <f t="shared" si="57"/>
        <v>0</v>
      </c>
      <c r="AE99" s="262">
        <f t="shared" si="58"/>
        <v>0</v>
      </c>
    </row>
    <row r="100" spans="15:31">
      <c r="O100" s="61" t="str">
        <f>IF(月途中入退所情報!$D50=$B$2,月途中入退所情報!F50,"-")</f>
        <v>-</v>
      </c>
      <c r="P100" s="61" t="str">
        <f>IF(月途中入退所情報!$D50=$B$2,月途中入退所情報!G50,"-")</f>
        <v>-</v>
      </c>
      <c r="Q100" s="61" t="str">
        <f>IF(月途中入退所情報!$D50=$B$2,月途中入退所情報!H50,"-")</f>
        <v>-</v>
      </c>
      <c r="R100" s="61" t="str">
        <f>IF(月途中入退所情報!$D50=$B$2,月途中入退所情報!I50,"-")</f>
        <v>-</v>
      </c>
      <c r="S100" s="61" t="str">
        <f>IF(月途中入退所情報!$D50=$B$2,月途中入退所情報!J50,"-")</f>
        <v>-</v>
      </c>
      <c r="T100" s="84">
        <f>IF($Q100="標準時間",HLOOKUP($P100,$F$31:$I$54,24,FALSE)-SUM($F$10,$F$21:$F$24,$F$26)-HLOOKUP($P100,$F$31:$I$54,17,FALSE)+HLOOKUP($P100,$F$31:$I$56,26,FALSE),IF($Q100="短時間",HLOOKUP($P100,$J$31:$M$54,24,FALSE)-SUM($F$10,$F$21:$F$24,$F$26)-HLOOKUP($P100,$J$31:$M$54,17,FALSE)+HLOOKUP($P100,$J$31:$M$56,26,FALSE),0))+IF(R100="○",加算と減算!$AH$3,0)</f>
        <v>0</v>
      </c>
      <c r="U100" s="85">
        <f t="shared" si="56"/>
        <v>0</v>
      </c>
      <c r="V100" s="262">
        <f t="shared" si="59"/>
        <v>0</v>
      </c>
      <c r="W100" s="262"/>
      <c r="X100" s="61" t="str">
        <f>IF(月途中入退所情報!$N50=$B$2,月途中入退所情報!$P50,"-")</f>
        <v>-</v>
      </c>
      <c r="Y100" s="61" t="str">
        <f>IF(月途中入退所情報!$N50=$B$2,月途中入退所情報!$Q50,"-")</f>
        <v>-</v>
      </c>
      <c r="Z100" s="61" t="str">
        <f>IF(月途中入退所情報!$N50=$B$2,月途中入退所情報!$R50,"-")</f>
        <v>-</v>
      </c>
      <c r="AA100" s="61" t="str">
        <f>IF(月途中入退所情報!$N50=$B$2,月途中入退所情報!$S50,"-")</f>
        <v>-</v>
      </c>
      <c r="AB100" s="61" t="str">
        <f>IF(月途中入退所情報!$N50=$B$2,月途中入退所情報!$T50,"-")</f>
        <v>-</v>
      </c>
      <c r="AC100" s="84">
        <f>IF($Z100="標準時間",HLOOKUP($Y100,$F$31:$I$54,24,FALSE)-SUM($F$10,$F$21:$F$24,$F$26)-HLOOKUP($Y100,$F$31:$I$54,17,FALSE)+HLOOKUP($Y100,$F$31:$I$56,26,FALSE),IF($Z100="短時間",HLOOKUP($Y100,$J$31:$M$54,24,FALSE)-SUM($F$10,$F$21:$F$24,$F$26)-HLOOKUP($Y100,$J$31:$M$54,17,FALSE)+HLOOKUP($Y100,$J$31:$M$56,26,FALSE),0))+IF(AA100="○",加算と減算!$AH$3,0)</f>
        <v>0</v>
      </c>
      <c r="AD100" s="85">
        <f t="shared" si="57"/>
        <v>0</v>
      </c>
      <c r="AE100" s="262">
        <f t="shared" si="58"/>
        <v>0</v>
      </c>
    </row>
    <row r="101" spans="15:31">
      <c r="T101" s="86" t="s">
        <v>36</v>
      </c>
      <c r="U101" s="85">
        <f>SUM(U81:U100)</f>
        <v>0</v>
      </c>
      <c r="V101" s="262">
        <f>SUM(V81:V100)</f>
        <v>0</v>
      </c>
      <c r="W101" s="262"/>
      <c r="AC101" s="86" t="s">
        <v>36</v>
      </c>
      <c r="AD101" s="85">
        <f>SUM(AD81:AD100)</f>
        <v>0</v>
      </c>
      <c r="AE101" s="264">
        <f>SUM(AE81:AE100)</f>
        <v>0</v>
      </c>
    </row>
  </sheetData>
  <sheetProtection algorithmName="SHA-512" hashValue="/RDHX9w6cpSq2t6fwLEYOAUrYQNoTieE581vwFOjF+3/dl3eilkq399HiuS+LKBCMDqWHLzkP8HsNRQnirKaVw==" saltValue="CfoSgzfYJ9uK6Pz1ncuO+g==" spinCount="100000" sheet="1" objects="1" scenarios="1"/>
  <mergeCells count="89">
    <mergeCell ref="B2:D2"/>
    <mergeCell ref="B4:B27"/>
    <mergeCell ref="C4:D5"/>
    <mergeCell ref="E4:E5"/>
    <mergeCell ref="F4:I4"/>
    <mergeCell ref="C17:C20"/>
    <mergeCell ref="C21:C26"/>
    <mergeCell ref="D15:D16"/>
    <mergeCell ref="D17:D18"/>
    <mergeCell ref="C8:C16"/>
    <mergeCell ref="U4:X4"/>
    <mergeCell ref="Y4:Y5"/>
    <mergeCell ref="C6:D7"/>
    <mergeCell ref="D8:D9"/>
    <mergeCell ref="D11:D12"/>
    <mergeCell ref="J4:M4"/>
    <mergeCell ref="O4:O11"/>
    <mergeCell ref="P4:P5"/>
    <mergeCell ref="Q4:T4"/>
    <mergeCell ref="O13:O20"/>
    <mergeCell ref="P13:P14"/>
    <mergeCell ref="Q13:T13"/>
    <mergeCell ref="U13:X13"/>
    <mergeCell ref="Y13:Y14"/>
    <mergeCell ref="O22:O28"/>
    <mergeCell ref="T22:T28"/>
    <mergeCell ref="C27:D27"/>
    <mergeCell ref="B30:B54"/>
    <mergeCell ref="C30:D31"/>
    <mergeCell ref="E30:E31"/>
    <mergeCell ref="F30:I30"/>
    <mergeCell ref="J30:M30"/>
    <mergeCell ref="O30:O37"/>
    <mergeCell ref="P30:P31"/>
    <mergeCell ref="Q30:T30"/>
    <mergeCell ref="C48:C53"/>
    <mergeCell ref="O48:O54"/>
    <mergeCell ref="T48:T54"/>
    <mergeCell ref="U30:X30"/>
    <mergeCell ref="Y30:Y31"/>
    <mergeCell ref="C32:D33"/>
    <mergeCell ref="C34:C42"/>
    <mergeCell ref="D34:D35"/>
    <mergeCell ref="D37:D38"/>
    <mergeCell ref="O39:O46"/>
    <mergeCell ref="P39:P40"/>
    <mergeCell ref="Q39:T39"/>
    <mergeCell ref="Y39:Y40"/>
    <mergeCell ref="D41:D42"/>
    <mergeCell ref="C43:C47"/>
    <mergeCell ref="D44:D45"/>
    <mergeCell ref="U39:X39"/>
    <mergeCell ref="O79:P79"/>
    <mergeCell ref="X48:Y48"/>
    <mergeCell ref="C54:D54"/>
    <mergeCell ref="O56:P56"/>
    <mergeCell ref="X56:Y56"/>
    <mergeCell ref="F59:I59"/>
    <mergeCell ref="J59:M59"/>
    <mergeCell ref="D61:D62"/>
    <mergeCell ref="D65:D66"/>
    <mergeCell ref="D68:E69"/>
    <mergeCell ref="F69:M69"/>
    <mergeCell ref="AM4:AM27"/>
    <mergeCell ref="AN4:AO5"/>
    <mergeCell ref="AP4:AP5"/>
    <mergeCell ref="AN6:AO7"/>
    <mergeCell ref="AN8:AN16"/>
    <mergeCell ref="AO8:AO9"/>
    <mergeCell ref="AO11:AO12"/>
    <mergeCell ref="AO15:AO16"/>
    <mergeCell ref="AN17:AN20"/>
    <mergeCell ref="AO17:AO18"/>
    <mergeCell ref="AN21:AN26"/>
    <mergeCell ref="AN27:AO27"/>
    <mergeCell ref="AN55:AO55"/>
    <mergeCell ref="AN28:AO28"/>
    <mergeCell ref="AM30:AM54"/>
    <mergeCell ref="AN30:AO31"/>
    <mergeCell ref="AP30:AP31"/>
    <mergeCell ref="AN32:AO33"/>
    <mergeCell ref="AN34:AN42"/>
    <mergeCell ref="AO34:AO35"/>
    <mergeCell ref="AO37:AO38"/>
    <mergeCell ref="AO41:AO42"/>
    <mergeCell ref="AN43:AN47"/>
    <mergeCell ref="AO44:AO45"/>
    <mergeCell ref="AN48:AN53"/>
    <mergeCell ref="AN54:AO54"/>
  </mergeCells>
  <phoneticPr fontId="2"/>
  <pageMargins left="0.7" right="0.7" top="0.75" bottom="0.75" header="0.3" footer="0.3"/>
  <pageSetup paperSize="9"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8251E-6EDE-4AFA-9A05-9C254EECFF9E}">
  <sheetPr>
    <tabColor theme="1"/>
  </sheetPr>
  <dimension ref="B1:AQ101"/>
  <sheetViews>
    <sheetView view="pageBreakPreview" zoomScale="85" zoomScaleNormal="55" zoomScaleSheetLayoutView="85" workbookViewId="0">
      <pane ySplit="5" topLeftCell="A6" activePane="bottomLeft" state="frozen"/>
      <selection activeCell="V65" sqref="V65"/>
      <selection pane="bottomLeft" activeCell="A6" sqref="A6"/>
    </sheetView>
  </sheetViews>
  <sheetFormatPr defaultColWidth="8.75" defaultRowHeight="15"/>
  <cols>
    <col min="1" max="1" width="1" style="2" customWidth="1"/>
    <col min="2" max="3" width="2.75" style="2" customWidth="1"/>
    <col min="4" max="4" width="16.5" style="1" customWidth="1"/>
    <col min="5" max="5" width="8.25" style="57" customWidth="1"/>
    <col min="6" max="13" width="7.25" style="2" customWidth="1"/>
    <col min="14" max="14" width="1" style="2" customWidth="1"/>
    <col min="15" max="16" width="8.625" style="2" customWidth="1"/>
    <col min="17" max="25" width="9.75" style="2" customWidth="1"/>
    <col min="26" max="27" width="8.75" style="2" customWidth="1"/>
    <col min="28" max="31" width="8.875" style="2" customWidth="1"/>
    <col min="32" max="38" width="8.75" style="2"/>
    <col min="39" max="40" width="3.875" style="2" bestFit="1" customWidth="1"/>
    <col min="41" max="41" width="16.5" style="2" bestFit="1" customWidth="1"/>
    <col min="42" max="42" width="8.75" style="2"/>
    <col min="43" max="43" width="9.375" style="264" bestFit="1" customWidth="1"/>
    <col min="44" max="16384" width="8.75" style="2"/>
  </cols>
  <sheetData>
    <row r="1" spans="2:43" ht="4.9000000000000004" customHeight="1" thickBot="1">
      <c r="F1" s="57"/>
      <c r="G1" s="57"/>
      <c r="H1" s="57"/>
      <c r="I1" s="57"/>
      <c r="J1" s="57"/>
      <c r="K1" s="57"/>
      <c r="L1" s="57"/>
      <c r="M1" s="57"/>
    </row>
    <row r="2" spans="2:43" ht="15.75" thickBot="1">
      <c r="B2" s="1450">
        <v>9</v>
      </c>
      <c r="C2" s="1451"/>
      <c r="D2" s="1452"/>
      <c r="E2" s="2"/>
      <c r="F2" s="55" t="s">
        <v>183</v>
      </c>
      <c r="G2" s="72">
        <f>児童数!O13</f>
        <v>0</v>
      </c>
      <c r="H2" s="73" t="s">
        <v>184</v>
      </c>
      <c r="I2" s="72">
        <f>児童数!AB13</f>
        <v>0</v>
      </c>
      <c r="J2" s="73" t="s">
        <v>182</v>
      </c>
      <c r="K2" s="72">
        <f>G2+I2</f>
        <v>0</v>
      </c>
      <c r="L2" s="62"/>
      <c r="N2" s="1"/>
      <c r="O2" s="55" t="s">
        <v>192</v>
      </c>
      <c r="P2" s="78">
        <f>IF(基本情報!E5="",0,基本情報!G10)</f>
        <v>0</v>
      </c>
      <c r="Q2" s="77" t="s">
        <v>11</v>
      </c>
      <c r="R2" s="55" t="s">
        <v>202</v>
      </c>
      <c r="S2" s="257">
        <f>IF(基本情報!E12="１日",単価表!BB11,IF(基本情報!E12="２日",単価表!BC11,IF(基本情報!E12="３日",単価表!BD11,IF(基本情報!E12="全て",単価表!BE11,0))))*100</f>
        <v>0</v>
      </c>
      <c r="T2" s="258">
        <f>IF(基本情報!E12="１日",単価表!BB27,IF(基本情報!E12="２日",単価表!BC27,IF(基本情報!E12="３日",単価表!BD27,IF(基本情報!E12="全て",単価表!BE27,0))))*100</f>
        <v>0</v>
      </c>
      <c r="U2" s="55" t="s">
        <v>198</v>
      </c>
      <c r="V2" s="257">
        <f>IF(基本情報!E14="該当",定員超過減算率!C2,0)</f>
        <v>0</v>
      </c>
      <c r="W2" s="258">
        <f>IF(基本情報!E14="該当",定員超過減算率!C3,0)</f>
        <v>0</v>
      </c>
      <c r="X2" s="55"/>
      <c r="Y2" s="55"/>
      <c r="AC2" s="1" t="s">
        <v>206</v>
      </c>
      <c r="AD2" s="1" t="s">
        <v>207</v>
      </c>
    </row>
    <row r="3" spans="2:43" ht="6" customHeight="1">
      <c r="K3" s="1"/>
    </row>
    <row r="4" spans="2:43" ht="15" customHeight="1">
      <c r="B4" s="1426" t="s">
        <v>181</v>
      </c>
      <c r="C4" s="1429"/>
      <c r="D4" s="1429"/>
      <c r="E4" s="1416" t="s">
        <v>172</v>
      </c>
      <c r="F4" s="1418" t="s">
        <v>15</v>
      </c>
      <c r="G4" s="1418"/>
      <c r="H4" s="1418"/>
      <c r="I4" s="1418"/>
      <c r="J4" s="1418" t="s">
        <v>16</v>
      </c>
      <c r="K4" s="1418"/>
      <c r="L4" s="1418"/>
      <c r="M4" s="1418"/>
      <c r="O4" s="1449" t="s">
        <v>40</v>
      </c>
      <c r="P4" s="1446" t="s">
        <v>171</v>
      </c>
      <c r="Q4" s="1440" t="s">
        <v>15</v>
      </c>
      <c r="R4" s="1440"/>
      <c r="S4" s="1440"/>
      <c r="T4" s="1440"/>
      <c r="U4" s="1440" t="s">
        <v>16</v>
      </c>
      <c r="V4" s="1440"/>
      <c r="W4" s="1440"/>
      <c r="X4" s="1440"/>
      <c r="Y4" s="1441" t="s">
        <v>177</v>
      </c>
      <c r="Z4" s="11"/>
      <c r="AA4" s="1"/>
      <c r="AM4" s="1426" t="s">
        <v>181</v>
      </c>
      <c r="AN4" s="1429"/>
      <c r="AO4" s="1429"/>
      <c r="AP4" s="1416" t="s">
        <v>172</v>
      </c>
      <c r="AQ4" s="85"/>
    </row>
    <row r="5" spans="2:43" s="1" customFormat="1">
      <c r="B5" s="1427"/>
      <c r="C5" s="1429"/>
      <c r="D5" s="1429"/>
      <c r="E5" s="1417"/>
      <c r="F5" s="370" t="s">
        <v>6</v>
      </c>
      <c r="G5" s="370" t="s">
        <v>7</v>
      </c>
      <c r="H5" s="370" t="s">
        <v>8</v>
      </c>
      <c r="I5" s="370" t="s">
        <v>9</v>
      </c>
      <c r="J5" s="370" t="s">
        <v>6</v>
      </c>
      <c r="K5" s="370" t="s">
        <v>7</v>
      </c>
      <c r="L5" s="370" t="s">
        <v>8</v>
      </c>
      <c r="M5" s="370" t="s">
        <v>9</v>
      </c>
      <c r="O5" s="1444"/>
      <c r="P5" s="1446"/>
      <c r="Q5" s="368" t="s">
        <v>6</v>
      </c>
      <c r="R5" s="368" t="s">
        <v>7</v>
      </c>
      <c r="S5" s="368" t="s">
        <v>8</v>
      </c>
      <c r="T5" s="368" t="s">
        <v>9</v>
      </c>
      <c r="U5" s="368" t="s">
        <v>6</v>
      </c>
      <c r="V5" s="368" t="s">
        <v>7</v>
      </c>
      <c r="W5" s="368" t="s">
        <v>8</v>
      </c>
      <c r="X5" s="368" t="s">
        <v>9</v>
      </c>
      <c r="Y5" s="1442"/>
      <c r="Z5" s="11"/>
      <c r="AC5" s="1" t="s">
        <v>6</v>
      </c>
      <c r="AD5" s="1" t="s">
        <v>212</v>
      </c>
      <c r="AM5" s="1427"/>
      <c r="AN5" s="1429"/>
      <c r="AO5" s="1429"/>
      <c r="AP5" s="1417"/>
      <c r="AQ5" s="85"/>
    </row>
    <row r="6" spans="2:43" s="1" customFormat="1">
      <c r="B6" s="1427"/>
      <c r="C6" s="1418" t="s">
        <v>17</v>
      </c>
      <c r="D6" s="1418"/>
      <c r="E6" s="53" t="s">
        <v>169</v>
      </c>
      <c r="F6" s="3" t="e">
        <f>単価表!AV7</f>
        <v>#VALUE!</v>
      </c>
      <c r="G6" s="3" t="e">
        <f>単価表!AV9</f>
        <v>#VALUE!</v>
      </c>
      <c r="H6" s="3" t="e">
        <f>単価表!AV11</f>
        <v>#VALUE!</v>
      </c>
      <c r="I6" s="3" t="e">
        <f>単価表!AV13</f>
        <v>#VALUE!</v>
      </c>
      <c r="J6" s="3" t="e">
        <f>単価表!AW7</f>
        <v>#VALUE!</v>
      </c>
      <c r="K6" s="3" t="e">
        <f>単価表!AW9</f>
        <v>#VALUE!</v>
      </c>
      <c r="L6" s="3" t="e">
        <f>単価表!AW11</f>
        <v>#VALUE!</v>
      </c>
      <c r="M6" s="3" t="e">
        <f>単価表!AW13</f>
        <v>#VALUE!</v>
      </c>
      <c r="O6" s="1444"/>
      <c r="P6" s="630">
        <f>基本情報!E17</f>
        <v>0</v>
      </c>
      <c r="Q6" s="3">
        <f>児童数!E27</f>
        <v>0</v>
      </c>
      <c r="R6" s="3">
        <f>児童数!F27</f>
        <v>0</v>
      </c>
      <c r="S6" s="3">
        <f>児童数!G27</f>
        <v>0</v>
      </c>
      <c r="T6" s="3">
        <f>児童数!H27</f>
        <v>0</v>
      </c>
      <c r="U6" s="3">
        <f>児童数!J27</f>
        <v>0</v>
      </c>
      <c r="V6" s="3">
        <f>児童数!K27</f>
        <v>0</v>
      </c>
      <c r="W6" s="3">
        <f>児童数!L27</f>
        <v>0</v>
      </c>
      <c r="X6" s="3">
        <f>児童数!M27</f>
        <v>0</v>
      </c>
      <c r="Y6" s="64">
        <f>SUM(Q6:X6)</f>
        <v>0</v>
      </c>
      <c r="Z6" s="2"/>
      <c r="AC6" s="1" t="s">
        <v>7</v>
      </c>
      <c r="AD6" s="1" t="s">
        <v>16</v>
      </c>
      <c r="AM6" s="1427"/>
      <c r="AN6" s="1418" t="s">
        <v>17</v>
      </c>
      <c r="AO6" s="1418"/>
      <c r="AP6" s="53" t="s">
        <v>169</v>
      </c>
      <c r="AQ6" s="85" t="e">
        <f>SUMPRODUCT(F6:M6,$Q$11:$X$11)</f>
        <v>#VALUE!</v>
      </c>
    </row>
    <row r="7" spans="2:43" s="1" customFormat="1">
      <c r="B7" s="1427"/>
      <c r="C7" s="1418"/>
      <c r="D7" s="1418"/>
      <c r="E7" s="53" t="s">
        <v>167</v>
      </c>
      <c r="F7" s="3" t="e">
        <f>単価表!AX7*基本情報!G7</f>
        <v>#VALUE!</v>
      </c>
      <c r="G7" s="3" t="e">
        <f>単価表!AX9*基本情報!G7</f>
        <v>#VALUE!</v>
      </c>
      <c r="H7" s="3" t="e">
        <f>単価表!AX11*基本情報!G7</f>
        <v>#VALUE!</v>
      </c>
      <c r="I7" s="3" t="e">
        <f>単価表!AX13*基本情報!G7</f>
        <v>#VALUE!</v>
      </c>
      <c r="J7" s="3" t="e">
        <f>単価表!AY7*基本情報!G7</f>
        <v>#VALUE!</v>
      </c>
      <c r="K7" s="3" t="e">
        <f>単価表!AY9*基本情報!G7</f>
        <v>#VALUE!</v>
      </c>
      <c r="L7" s="3" t="e">
        <f>単価表!AY11*基本情報!G7</f>
        <v>#VALUE!</v>
      </c>
      <c r="M7" s="3" t="e">
        <f>単価表!AY13*基本情報!G7</f>
        <v>#VALUE!</v>
      </c>
      <c r="O7" s="1444"/>
      <c r="P7" s="631">
        <f>基本情報!E18</f>
        <v>0</v>
      </c>
      <c r="Q7" s="3">
        <f>児童数!E41</f>
        <v>0</v>
      </c>
      <c r="R7" s="3">
        <f>児童数!F41</f>
        <v>0</v>
      </c>
      <c r="S7" s="3">
        <f>児童数!G41</f>
        <v>0</v>
      </c>
      <c r="T7" s="3">
        <f>児童数!H41</f>
        <v>0</v>
      </c>
      <c r="U7" s="3">
        <f>児童数!J41</f>
        <v>0</v>
      </c>
      <c r="V7" s="3">
        <f>児童数!K41</f>
        <v>0</v>
      </c>
      <c r="W7" s="3">
        <f>児童数!L41</f>
        <v>0</v>
      </c>
      <c r="X7" s="3">
        <f>児童数!M41</f>
        <v>0</v>
      </c>
      <c r="Y7" s="64">
        <f t="shared" ref="Y7:Y10" si="0">SUM(Q7:X7)</f>
        <v>0</v>
      </c>
      <c r="Z7" s="2"/>
      <c r="AA7" s="2"/>
      <c r="AC7" s="1" t="s">
        <v>8</v>
      </c>
      <c r="AM7" s="1427"/>
      <c r="AN7" s="1418"/>
      <c r="AO7" s="1418"/>
      <c r="AP7" s="53" t="s">
        <v>167</v>
      </c>
      <c r="AQ7" s="85" t="e">
        <f t="shared" ref="AQ7:AQ26" si="1">SUMPRODUCT(F7:M7,$Q$11:$X$11)</f>
        <v>#VALUE!</v>
      </c>
    </row>
    <row r="8" spans="2:43" ht="15" customHeight="1">
      <c r="B8" s="1427"/>
      <c r="C8" s="1419" t="s">
        <v>203</v>
      </c>
      <c r="D8" s="1422" t="s">
        <v>37</v>
      </c>
      <c r="E8" s="53" t="s">
        <v>169</v>
      </c>
      <c r="F8" s="6"/>
      <c r="G8" s="3">
        <f>IF(加算と減算!J5="○",単価表!AV41,0)</f>
        <v>0</v>
      </c>
      <c r="H8" s="6"/>
      <c r="I8" s="6"/>
      <c r="J8" s="6"/>
      <c r="K8" s="3">
        <f>G8</f>
        <v>0</v>
      </c>
      <c r="L8" s="6"/>
      <c r="M8" s="6"/>
      <c r="O8" s="1444"/>
      <c r="P8" s="632">
        <f>基本情報!E19</f>
        <v>0</v>
      </c>
      <c r="Q8" s="3">
        <f>児童数!E55</f>
        <v>0</v>
      </c>
      <c r="R8" s="3">
        <f>児童数!F55</f>
        <v>0</v>
      </c>
      <c r="S8" s="3">
        <f>児童数!G55</f>
        <v>0</v>
      </c>
      <c r="T8" s="3">
        <f>児童数!H55</f>
        <v>0</v>
      </c>
      <c r="U8" s="3">
        <f>児童数!J55</f>
        <v>0</v>
      </c>
      <c r="V8" s="3">
        <f>児童数!K55</f>
        <v>0</v>
      </c>
      <c r="W8" s="3">
        <f>児童数!L55</f>
        <v>0</v>
      </c>
      <c r="X8" s="3">
        <f>児童数!M55</f>
        <v>0</v>
      </c>
      <c r="Y8" s="64">
        <f t="shared" si="0"/>
        <v>0</v>
      </c>
      <c r="AC8" s="1" t="s">
        <v>9</v>
      </c>
      <c r="AM8" s="1427"/>
      <c r="AN8" s="1419" t="s">
        <v>203</v>
      </c>
      <c r="AO8" s="1422" t="s">
        <v>37</v>
      </c>
      <c r="AP8" s="732" t="s">
        <v>559</v>
      </c>
      <c r="AQ8" s="85">
        <f t="shared" si="1"/>
        <v>0</v>
      </c>
    </row>
    <row r="9" spans="2:43">
      <c r="B9" s="1427"/>
      <c r="C9" s="1420"/>
      <c r="D9" s="1422"/>
      <c r="E9" s="53" t="s">
        <v>167</v>
      </c>
      <c r="F9" s="6"/>
      <c r="G9" s="3">
        <f>IF(加算と減算!J5="○",単価表!AW41*基本情報!G7,0)</f>
        <v>0</v>
      </c>
      <c r="H9" s="6"/>
      <c r="I9" s="6"/>
      <c r="J9" s="6"/>
      <c r="K9" s="3">
        <f>G9</f>
        <v>0</v>
      </c>
      <c r="L9" s="6"/>
      <c r="M9" s="6"/>
      <c r="O9" s="1444"/>
      <c r="P9" s="633">
        <f>基本情報!E20</f>
        <v>0</v>
      </c>
      <c r="Q9" s="3">
        <f>児童数!E69</f>
        <v>0</v>
      </c>
      <c r="R9" s="3">
        <f>児童数!F69</f>
        <v>0</v>
      </c>
      <c r="S9" s="3">
        <f>児童数!G69</f>
        <v>0</v>
      </c>
      <c r="T9" s="3">
        <f>児童数!H69</f>
        <v>0</v>
      </c>
      <c r="U9" s="3">
        <f>児童数!J69</f>
        <v>0</v>
      </c>
      <c r="V9" s="3">
        <f>児童数!K69</f>
        <v>0</v>
      </c>
      <c r="W9" s="3">
        <f>児童数!L69</f>
        <v>0</v>
      </c>
      <c r="X9" s="3">
        <f>児童数!M69</f>
        <v>0</v>
      </c>
      <c r="Y9" s="64">
        <f t="shared" si="0"/>
        <v>0</v>
      </c>
      <c r="AM9" s="1427"/>
      <c r="AN9" s="1420"/>
      <c r="AO9" s="1422"/>
      <c r="AP9" s="53" t="s">
        <v>167</v>
      </c>
      <c r="AQ9" s="85">
        <f t="shared" si="1"/>
        <v>0</v>
      </c>
    </row>
    <row r="10" spans="2:43">
      <c r="B10" s="1427"/>
      <c r="C10" s="1420"/>
      <c r="D10" s="383" t="s">
        <v>69</v>
      </c>
      <c r="E10" s="60"/>
      <c r="F10" s="3">
        <f>IF(K2=0,0,IF(加算と減算!J6="○",ROUNDDOWN((加算と減算!R6+(加算と減算!S6*基本情報!G7))/'9月'!K2,-1),0))</f>
        <v>0</v>
      </c>
      <c r="G10" s="3">
        <f t="shared" ref="G10:G18" si="2">F10</f>
        <v>0</v>
      </c>
      <c r="H10" s="3">
        <f>F10</f>
        <v>0</v>
      </c>
      <c r="I10" s="3">
        <f>F10</f>
        <v>0</v>
      </c>
      <c r="J10" s="3">
        <f t="shared" ref="J10:J18" si="3">F10</f>
        <v>0</v>
      </c>
      <c r="K10" s="3">
        <f t="shared" ref="K10:K18" si="4">F10</f>
        <v>0</v>
      </c>
      <c r="L10" s="3">
        <f>F10</f>
        <v>0</v>
      </c>
      <c r="M10" s="3">
        <f>F10</f>
        <v>0</v>
      </c>
      <c r="O10" s="1444"/>
      <c r="P10" s="634">
        <f>基本情報!E21</f>
        <v>0</v>
      </c>
      <c r="Q10" s="3">
        <f>児童数!E83</f>
        <v>0</v>
      </c>
      <c r="R10" s="3">
        <f>児童数!F83</f>
        <v>0</v>
      </c>
      <c r="S10" s="3">
        <f>児童数!G83</f>
        <v>0</v>
      </c>
      <c r="T10" s="3">
        <f>児童数!H83</f>
        <v>0</v>
      </c>
      <c r="U10" s="3">
        <f>児童数!J83</f>
        <v>0</v>
      </c>
      <c r="V10" s="3">
        <f>児童数!K83</f>
        <v>0</v>
      </c>
      <c r="W10" s="3">
        <f>児童数!L83</f>
        <v>0</v>
      </c>
      <c r="X10" s="3">
        <f>児童数!M83</f>
        <v>0</v>
      </c>
      <c r="Y10" s="64">
        <f t="shared" si="0"/>
        <v>0</v>
      </c>
      <c r="AM10" s="1427"/>
      <c r="AN10" s="1420"/>
      <c r="AO10" s="383" t="s">
        <v>69</v>
      </c>
      <c r="AP10" s="629"/>
      <c r="AQ10" s="85">
        <f t="shared" si="1"/>
        <v>0</v>
      </c>
    </row>
    <row r="11" spans="2:43">
      <c r="B11" s="1427"/>
      <c r="C11" s="1420"/>
      <c r="D11" s="1422" t="s">
        <v>161</v>
      </c>
      <c r="E11" s="53" t="s">
        <v>169</v>
      </c>
      <c r="F11" s="3">
        <f>IF(加算と減算!J7="○",単価表!AZ39,0)</f>
        <v>0</v>
      </c>
      <c r="G11" s="3">
        <f t="shared" si="2"/>
        <v>0</v>
      </c>
      <c r="H11" s="3">
        <f>IF(加算と減算!J7="○",単価表!AZ43,0)</f>
        <v>0</v>
      </c>
      <c r="I11" s="3">
        <f>H11</f>
        <v>0</v>
      </c>
      <c r="J11" s="3">
        <f t="shared" si="3"/>
        <v>0</v>
      </c>
      <c r="K11" s="3">
        <f t="shared" si="4"/>
        <v>0</v>
      </c>
      <c r="L11" s="3">
        <f>H11</f>
        <v>0</v>
      </c>
      <c r="M11" s="3">
        <f>H11</f>
        <v>0</v>
      </c>
      <c r="O11" s="1445"/>
      <c r="P11" s="635" t="s">
        <v>36</v>
      </c>
      <c r="Q11" s="3">
        <f>SUM(Q6:Q10)</f>
        <v>0</v>
      </c>
      <c r="R11" s="3">
        <f t="shared" ref="R11:Y11" si="5">SUM(R6:R10)</f>
        <v>0</v>
      </c>
      <c r="S11" s="3">
        <f t="shared" si="5"/>
        <v>0</v>
      </c>
      <c r="T11" s="3">
        <f t="shared" si="5"/>
        <v>0</v>
      </c>
      <c r="U11" s="3">
        <f t="shared" si="5"/>
        <v>0</v>
      </c>
      <c r="V11" s="3">
        <f t="shared" si="5"/>
        <v>0</v>
      </c>
      <c r="W11" s="3">
        <f t="shared" si="5"/>
        <v>0</v>
      </c>
      <c r="X11" s="3">
        <f t="shared" si="5"/>
        <v>0</v>
      </c>
      <c r="Y11" s="3">
        <f t="shared" si="5"/>
        <v>0</v>
      </c>
      <c r="Z11" s="55" t="s">
        <v>176</v>
      </c>
      <c r="AA11" s="71" t="str">
        <f>IF(SUM(Q11:X11)=G2,"OK",SUM(Q11:X11)-K2)</f>
        <v>OK</v>
      </c>
      <c r="AB11" s="62"/>
      <c r="AM11" s="1427"/>
      <c r="AN11" s="1420"/>
      <c r="AO11" s="1422" t="s">
        <v>161</v>
      </c>
      <c r="AP11" s="53" t="s">
        <v>169</v>
      </c>
      <c r="AQ11" s="85">
        <f t="shared" si="1"/>
        <v>0</v>
      </c>
    </row>
    <row r="12" spans="2:43" ht="15" customHeight="1">
      <c r="B12" s="1427"/>
      <c r="C12" s="1420"/>
      <c r="D12" s="1422"/>
      <c r="E12" s="53" t="s">
        <v>167</v>
      </c>
      <c r="F12" s="3">
        <f>IF(加算と減算!J7="○",単価表!BA39*基本情報!G7,0)</f>
        <v>0</v>
      </c>
      <c r="G12" s="3">
        <f t="shared" si="2"/>
        <v>0</v>
      </c>
      <c r="H12" s="3">
        <f>IF(加算と減算!J7="○",単価表!BA43*基本情報!G7,0)</f>
        <v>0</v>
      </c>
      <c r="I12" s="3">
        <f>H12</f>
        <v>0</v>
      </c>
      <c r="J12" s="3">
        <f t="shared" si="3"/>
        <v>0</v>
      </c>
      <c r="K12" s="3">
        <f t="shared" si="4"/>
        <v>0</v>
      </c>
      <c r="L12" s="3">
        <f>H12</f>
        <v>0</v>
      </c>
      <c r="M12" s="3">
        <f>H12</f>
        <v>0</v>
      </c>
      <c r="O12" s="75"/>
      <c r="P12" s="636"/>
      <c r="Q12" s="54"/>
      <c r="R12" s="54"/>
      <c r="S12" s="54"/>
      <c r="T12" s="54"/>
      <c r="U12" s="54"/>
      <c r="V12" s="54"/>
      <c r="W12" s="54"/>
      <c r="X12" s="54"/>
      <c r="Y12" s="54"/>
      <c r="AA12" s="62"/>
      <c r="AB12" s="62"/>
      <c r="AM12" s="1427"/>
      <c r="AN12" s="1420"/>
      <c r="AO12" s="1422"/>
      <c r="AP12" s="53" t="s">
        <v>167</v>
      </c>
      <c r="AQ12" s="85">
        <f t="shared" si="1"/>
        <v>0</v>
      </c>
    </row>
    <row r="13" spans="2:43" ht="16.5">
      <c r="B13" s="1427"/>
      <c r="C13" s="1420"/>
      <c r="D13" s="366" t="s">
        <v>162</v>
      </c>
      <c r="E13" s="59"/>
      <c r="F13" s="3">
        <f>IF(加算と減算!J8="○",加算と減算!R8,0)</f>
        <v>0</v>
      </c>
      <c r="G13" s="3">
        <f t="shared" si="2"/>
        <v>0</v>
      </c>
      <c r="H13" s="3">
        <f t="shared" ref="H13:H18" si="6">F13</f>
        <v>0</v>
      </c>
      <c r="I13" s="3">
        <f t="shared" ref="I13:I18" si="7">F13</f>
        <v>0</v>
      </c>
      <c r="J13" s="3">
        <f t="shared" si="3"/>
        <v>0</v>
      </c>
      <c r="K13" s="3">
        <f t="shared" si="4"/>
        <v>0</v>
      </c>
      <c r="L13" s="3">
        <f t="shared" ref="L13:L18" si="8">F13</f>
        <v>0</v>
      </c>
      <c r="M13" s="3">
        <f t="shared" ref="M13:M18" si="9">F13</f>
        <v>0</v>
      </c>
      <c r="O13" s="1443" t="s">
        <v>187</v>
      </c>
      <c r="P13" s="1449" t="s">
        <v>171</v>
      </c>
      <c r="Q13" s="1440" t="s">
        <v>15</v>
      </c>
      <c r="R13" s="1440"/>
      <c r="S13" s="1440"/>
      <c r="T13" s="1440"/>
      <c r="U13" s="1440" t="s">
        <v>16</v>
      </c>
      <c r="V13" s="1440"/>
      <c r="W13" s="1440"/>
      <c r="X13" s="1440"/>
      <c r="Y13" s="1449" t="s">
        <v>177</v>
      </c>
      <c r="AA13" s="62"/>
      <c r="AB13" s="62"/>
      <c r="AM13" s="1427"/>
      <c r="AN13" s="1420"/>
      <c r="AO13" s="720" t="s">
        <v>162</v>
      </c>
      <c r="AP13" s="731" t="s">
        <v>353</v>
      </c>
      <c r="AQ13" s="85">
        <f t="shared" si="1"/>
        <v>0</v>
      </c>
    </row>
    <row r="14" spans="2:43" ht="16.5">
      <c r="B14" s="1427"/>
      <c r="C14" s="1420"/>
      <c r="D14" s="366" t="s">
        <v>54</v>
      </c>
      <c r="E14" s="59"/>
      <c r="F14" s="3">
        <f>IF(加算と減算!J9="○",加算と減算!R9,0)</f>
        <v>0</v>
      </c>
      <c r="G14" s="3">
        <f t="shared" si="2"/>
        <v>0</v>
      </c>
      <c r="H14" s="3">
        <f t="shared" si="6"/>
        <v>0</v>
      </c>
      <c r="I14" s="3">
        <f t="shared" si="7"/>
        <v>0</v>
      </c>
      <c r="J14" s="3">
        <f t="shared" si="3"/>
        <v>0</v>
      </c>
      <c r="K14" s="3">
        <f t="shared" si="4"/>
        <v>0</v>
      </c>
      <c r="L14" s="3">
        <f t="shared" si="8"/>
        <v>0</v>
      </c>
      <c r="M14" s="3">
        <f t="shared" si="9"/>
        <v>0</v>
      </c>
      <c r="O14" s="1447"/>
      <c r="P14" s="1445"/>
      <c r="Q14" s="368" t="s">
        <v>6</v>
      </c>
      <c r="R14" s="368" t="s">
        <v>7</v>
      </c>
      <c r="S14" s="368" t="s">
        <v>8</v>
      </c>
      <c r="T14" s="368" t="s">
        <v>9</v>
      </c>
      <c r="U14" s="368" t="s">
        <v>6</v>
      </c>
      <c r="V14" s="368" t="s">
        <v>7</v>
      </c>
      <c r="W14" s="368" t="s">
        <v>8</v>
      </c>
      <c r="X14" s="368" t="s">
        <v>9</v>
      </c>
      <c r="Y14" s="1445"/>
      <c r="AA14" s="62"/>
      <c r="AB14" s="62"/>
      <c r="AM14" s="1427"/>
      <c r="AN14" s="1420"/>
      <c r="AO14" s="720" t="s">
        <v>54</v>
      </c>
      <c r="AP14" s="731" t="s">
        <v>353</v>
      </c>
      <c r="AQ14" s="85">
        <f t="shared" si="1"/>
        <v>0</v>
      </c>
    </row>
    <row r="15" spans="2:43" ht="16.5">
      <c r="B15" s="1427"/>
      <c r="C15" s="1420"/>
      <c r="D15" s="1422" t="s">
        <v>38</v>
      </c>
      <c r="E15" s="53" t="s">
        <v>169</v>
      </c>
      <c r="F15" s="3">
        <f>IF(加算と減算!J10="○",加算と減算!R10,0)</f>
        <v>0</v>
      </c>
      <c r="G15" s="3">
        <f t="shared" si="2"/>
        <v>0</v>
      </c>
      <c r="H15" s="3">
        <f t="shared" si="6"/>
        <v>0</v>
      </c>
      <c r="I15" s="3">
        <f t="shared" si="7"/>
        <v>0</v>
      </c>
      <c r="J15" s="3">
        <f t="shared" si="3"/>
        <v>0</v>
      </c>
      <c r="K15" s="3">
        <f t="shared" si="4"/>
        <v>0</v>
      </c>
      <c r="L15" s="3">
        <f t="shared" si="8"/>
        <v>0</v>
      </c>
      <c r="M15" s="3">
        <f t="shared" si="9"/>
        <v>0</v>
      </c>
      <c r="O15" s="1447"/>
      <c r="P15" s="630">
        <f>P6</f>
        <v>0</v>
      </c>
      <c r="Q15" s="3" t="e">
        <f>F27*Q6</f>
        <v>#VALUE!</v>
      </c>
      <c r="R15" s="3" t="e">
        <f t="shared" ref="R15:X15" si="10">G27*R6</f>
        <v>#VALUE!</v>
      </c>
      <c r="S15" s="3" t="e">
        <f t="shared" si="10"/>
        <v>#VALUE!</v>
      </c>
      <c r="T15" s="3" t="e">
        <f t="shared" si="10"/>
        <v>#VALUE!</v>
      </c>
      <c r="U15" s="3" t="e">
        <f t="shared" si="10"/>
        <v>#VALUE!</v>
      </c>
      <c r="V15" s="3" t="e">
        <f t="shared" si="10"/>
        <v>#VALUE!</v>
      </c>
      <c r="W15" s="3" t="e">
        <f t="shared" si="10"/>
        <v>#VALUE!</v>
      </c>
      <c r="X15" s="3" t="e">
        <f t="shared" si="10"/>
        <v>#VALUE!</v>
      </c>
      <c r="Y15" s="3" t="e">
        <f>SUM(Q15:X15)</f>
        <v>#VALUE!</v>
      </c>
      <c r="AA15" s="62"/>
      <c r="AB15" s="62"/>
      <c r="AM15" s="1427"/>
      <c r="AN15" s="1420"/>
      <c r="AO15" s="1422" t="s">
        <v>38</v>
      </c>
      <c r="AP15" s="732" t="s">
        <v>559</v>
      </c>
      <c r="AQ15" s="85">
        <f t="shared" si="1"/>
        <v>0</v>
      </c>
    </row>
    <row r="16" spans="2:43">
      <c r="B16" s="1427"/>
      <c r="C16" s="1421"/>
      <c r="D16" s="1422"/>
      <c r="E16" s="53" t="s">
        <v>167</v>
      </c>
      <c r="F16" s="3">
        <f>IF(加算と減算!J10="○",加算と減算!S10*基本情報!G7,0)</f>
        <v>0</v>
      </c>
      <c r="G16" s="3">
        <f t="shared" si="2"/>
        <v>0</v>
      </c>
      <c r="H16" s="3">
        <f t="shared" si="6"/>
        <v>0</v>
      </c>
      <c r="I16" s="3">
        <f t="shared" si="7"/>
        <v>0</v>
      </c>
      <c r="J16" s="3">
        <f t="shared" si="3"/>
        <v>0</v>
      </c>
      <c r="K16" s="3">
        <f t="shared" si="4"/>
        <v>0</v>
      </c>
      <c r="L16" s="3">
        <f t="shared" si="8"/>
        <v>0</v>
      </c>
      <c r="M16" s="3">
        <f t="shared" si="9"/>
        <v>0</v>
      </c>
      <c r="O16" s="1447"/>
      <c r="P16" s="631">
        <f>P7</f>
        <v>0</v>
      </c>
      <c r="Q16" s="3" t="e">
        <f>F27*Q7</f>
        <v>#VALUE!</v>
      </c>
      <c r="R16" s="3" t="e">
        <f t="shared" ref="R16:X16" si="11">G27*R7</f>
        <v>#VALUE!</v>
      </c>
      <c r="S16" s="3" t="e">
        <f t="shared" si="11"/>
        <v>#VALUE!</v>
      </c>
      <c r="T16" s="3" t="e">
        <f t="shared" si="11"/>
        <v>#VALUE!</v>
      </c>
      <c r="U16" s="3" t="e">
        <f t="shared" si="11"/>
        <v>#VALUE!</v>
      </c>
      <c r="V16" s="3" t="e">
        <f t="shared" si="11"/>
        <v>#VALUE!</v>
      </c>
      <c r="W16" s="3" t="e">
        <f t="shared" si="11"/>
        <v>#VALUE!</v>
      </c>
      <c r="X16" s="3" t="e">
        <f t="shared" si="11"/>
        <v>#VALUE!</v>
      </c>
      <c r="Y16" s="3" t="e">
        <f t="shared" ref="Y16:Y19" si="12">SUM(Q16:X16)</f>
        <v>#VALUE!</v>
      </c>
      <c r="AA16" s="62"/>
      <c r="AB16" s="62"/>
      <c r="AM16" s="1427"/>
      <c r="AN16" s="1421"/>
      <c r="AO16" s="1422"/>
      <c r="AP16" s="53" t="s">
        <v>167</v>
      </c>
      <c r="AQ16" s="85">
        <f t="shared" si="1"/>
        <v>0</v>
      </c>
    </row>
    <row r="17" spans="2:43">
      <c r="B17" s="1427"/>
      <c r="C17" s="1423" t="s">
        <v>205</v>
      </c>
      <c r="D17" s="1424" t="s">
        <v>43</v>
      </c>
      <c r="E17" s="53" t="s">
        <v>169</v>
      </c>
      <c r="F17" s="74">
        <f>-IF(加算と減算!J32="○",単価表!AZ7,0)</f>
        <v>0</v>
      </c>
      <c r="G17" s="74">
        <f t="shared" si="2"/>
        <v>0</v>
      </c>
      <c r="H17" s="74">
        <f t="shared" si="6"/>
        <v>0</v>
      </c>
      <c r="I17" s="74">
        <f t="shared" si="7"/>
        <v>0</v>
      </c>
      <c r="J17" s="74">
        <f t="shared" si="3"/>
        <v>0</v>
      </c>
      <c r="K17" s="74">
        <f t="shared" si="4"/>
        <v>0</v>
      </c>
      <c r="L17" s="74">
        <f t="shared" si="8"/>
        <v>0</v>
      </c>
      <c r="M17" s="74">
        <f t="shared" si="9"/>
        <v>0</v>
      </c>
      <c r="O17" s="1447"/>
      <c r="P17" s="632">
        <f>P8</f>
        <v>0</v>
      </c>
      <c r="Q17" s="3" t="e">
        <f>F27*Q8</f>
        <v>#VALUE!</v>
      </c>
      <c r="R17" s="3" t="e">
        <f t="shared" ref="R17:X17" si="13">G27*R8</f>
        <v>#VALUE!</v>
      </c>
      <c r="S17" s="3" t="e">
        <f t="shared" si="13"/>
        <v>#VALUE!</v>
      </c>
      <c r="T17" s="3" t="e">
        <f t="shared" si="13"/>
        <v>#VALUE!</v>
      </c>
      <c r="U17" s="3" t="e">
        <f t="shared" si="13"/>
        <v>#VALUE!</v>
      </c>
      <c r="V17" s="3" t="e">
        <f t="shared" si="13"/>
        <v>#VALUE!</v>
      </c>
      <c r="W17" s="3" t="e">
        <f t="shared" si="13"/>
        <v>#VALUE!</v>
      </c>
      <c r="X17" s="3" t="e">
        <f t="shared" si="13"/>
        <v>#VALUE!</v>
      </c>
      <c r="Y17" s="3" t="e">
        <f t="shared" si="12"/>
        <v>#VALUE!</v>
      </c>
      <c r="AA17" s="62"/>
      <c r="AB17" s="62"/>
      <c r="AM17" s="1427"/>
      <c r="AN17" s="1423" t="s">
        <v>205</v>
      </c>
      <c r="AO17" s="1424" t="s">
        <v>43</v>
      </c>
      <c r="AP17" s="53" t="s">
        <v>169</v>
      </c>
      <c r="AQ17" s="85">
        <f t="shared" si="1"/>
        <v>0</v>
      </c>
    </row>
    <row r="18" spans="2:43">
      <c r="B18" s="1427"/>
      <c r="C18" s="1423"/>
      <c r="D18" s="1424"/>
      <c r="E18" s="53" t="s">
        <v>167</v>
      </c>
      <c r="F18" s="74">
        <f>-IF(加算と減算!J32="○",単価表!BA7*基本情報!G7,0)</f>
        <v>0</v>
      </c>
      <c r="G18" s="74">
        <f t="shared" si="2"/>
        <v>0</v>
      </c>
      <c r="H18" s="74">
        <f t="shared" si="6"/>
        <v>0</v>
      </c>
      <c r="I18" s="74">
        <f t="shared" si="7"/>
        <v>0</v>
      </c>
      <c r="J18" s="74">
        <f t="shared" si="3"/>
        <v>0</v>
      </c>
      <c r="K18" s="74">
        <f t="shared" si="4"/>
        <v>0</v>
      </c>
      <c r="L18" s="74">
        <f t="shared" si="8"/>
        <v>0</v>
      </c>
      <c r="M18" s="74">
        <f t="shared" si="9"/>
        <v>0</v>
      </c>
      <c r="O18" s="1447"/>
      <c r="P18" s="633">
        <f>P9</f>
        <v>0</v>
      </c>
      <c r="Q18" s="3" t="e">
        <f>F27*Q9</f>
        <v>#VALUE!</v>
      </c>
      <c r="R18" s="3" t="e">
        <f t="shared" ref="R18:X18" si="14">G27*R9</f>
        <v>#VALUE!</v>
      </c>
      <c r="S18" s="3" t="e">
        <f t="shared" si="14"/>
        <v>#VALUE!</v>
      </c>
      <c r="T18" s="3" t="e">
        <f t="shared" si="14"/>
        <v>#VALUE!</v>
      </c>
      <c r="U18" s="3" t="e">
        <f t="shared" si="14"/>
        <v>#VALUE!</v>
      </c>
      <c r="V18" s="3" t="e">
        <f t="shared" si="14"/>
        <v>#VALUE!</v>
      </c>
      <c r="W18" s="3" t="e">
        <f t="shared" si="14"/>
        <v>#VALUE!</v>
      </c>
      <c r="X18" s="3" t="e">
        <f t="shared" si="14"/>
        <v>#VALUE!</v>
      </c>
      <c r="Y18" s="3" t="e">
        <f t="shared" si="12"/>
        <v>#VALUE!</v>
      </c>
      <c r="AA18" s="62"/>
      <c r="AB18" s="62"/>
      <c r="AM18" s="1427"/>
      <c r="AN18" s="1423"/>
      <c r="AO18" s="1424"/>
      <c r="AP18" s="53" t="s">
        <v>167</v>
      </c>
      <c r="AQ18" s="85">
        <f t="shared" si="1"/>
        <v>0</v>
      </c>
    </row>
    <row r="19" spans="2:43">
      <c r="B19" s="1427"/>
      <c r="C19" s="1423"/>
      <c r="D19" s="371" t="s">
        <v>165</v>
      </c>
      <c r="E19" s="60"/>
      <c r="F19" s="74" t="e">
        <f t="shared" ref="F19:M19" si="15">-ROUNDDOWN((F6+F7+F11+F12+F8+F9)*$S$2/100,-1)</f>
        <v>#VALUE!</v>
      </c>
      <c r="G19" s="74" t="e">
        <f t="shared" si="15"/>
        <v>#VALUE!</v>
      </c>
      <c r="H19" s="74" t="e">
        <f t="shared" si="15"/>
        <v>#VALUE!</v>
      </c>
      <c r="I19" s="74" t="e">
        <f t="shared" si="15"/>
        <v>#VALUE!</v>
      </c>
      <c r="J19" s="74" t="e">
        <f t="shared" si="15"/>
        <v>#VALUE!</v>
      </c>
      <c r="K19" s="74" t="e">
        <f t="shared" si="15"/>
        <v>#VALUE!</v>
      </c>
      <c r="L19" s="74" t="e">
        <f t="shared" si="15"/>
        <v>#VALUE!</v>
      </c>
      <c r="M19" s="74" t="e">
        <f t="shared" si="15"/>
        <v>#VALUE!</v>
      </c>
      <c r="O19" s="1447"/>
      <c r="P19" s="634">
        <f>P10</f>
        <v>0</v>
      </c>
      <c r="Q19" s="3" t="e">
        <f>F27*Q10</f>
        <v>#VALUE!</v>
      </c>
      <c r="R19" s="3" t="e">
        <f t="shared" ref="R19:X19" si="16">G27*R10</f>
        <v>#VALUE!</v>
      </c>
      <c r="S19" s="3" t="e">
        <f t="shared" si="16"/>
        <v>#VALUE!</v>
      </c>
      <c r="T19" s="3" t="e">
        <f t="shared" si="16"/>
        <v>#VALUE!</v>
      </c>
      <c r="U19" s="3" t="e">
        <f t="shared" si="16"/>
        <v>#VALUE!</v>
      </c>
      <c r="V19" s="3" t="e">
        <f t="shared" si="16"/>
        <v>#VALUE!</v>
      </c>
      <c r="W19" s="3" t="e">
        <f t="shared" si="16"/>
        <v>#VALUE!</v>
      </c>
      <c r="X19" s="3" t="e">
        <f t="shared" si="16"/>
        <v>#VALUE!</v>
      </c>
      <c r="Y19" s="3" t="e">
        <f t="shared" si="12"/>
        <v>#VALUE!</v>
      </c>
      <c r="AA19" s="62"/>
      <c r="AB19" s="62"/>
      <c r="AM19" s="1427"/>
      <c r="AN19" s="1423"/>
      <c r="AO19" s="717" t="s">
        <v>165</v>
      </c>
      <c r="AP19" s="60"/>
      <c r="AQ19" s="85" t="e">
        <f t="shared" si="1"/>
        <v>#VALUE!</v>
      </c>
    </row>
    <row r="20" spans="2:43">
      <c r="B20" s="1427"/>
      <c r="C20" s="1423"/>
      <c r="D20" s="371" t="s">
        <v>166</v>
      </c>
      <c r="E20" s="60"/>
      <c r="F20" s="74" t="e">
        <f t="shared" ref="F20:M20" si="17">-ROUNDUP(SUM(F6:F19)*$V$2/100,-1)</f>
        <v>#VALUE!</v>
      </c>
      <c r="G20" s="74" t="e">
        <f t="shared" si="17"/>
        <v>#VALUE!</v>
      </c>
      <c r="H20" s="74" t="e">
        <f t="shared" si="17"/>
        <v>#VALUE!</v>
      </c>
      <c r="I20" s="74" t="e">
        <f t="shared" si="17"/>
        <v>#VALUE!</v>
      </c>
      <c r="J20" s="74" t="e">
        <f t="shared" si="17"/>
        <v>#VALUE!</v>
      </c>
      <c r="K20" s="74" t="e">
        <f t="shared" si="17"/>
        <v>#VALUE!</v>
      </c>
      <c r="L20" s="74" t="e">
        <f t="shared" si="17"/>
        <v>#VALUE!</v>
      </c>
      <c r="M20" s="74" t="e">
        <f t="shared" si="17"/>
        <v>#VALUE!</v>
      </c>
      <c r="O20" s="1448"/>
      <c r="P20" s="635" t="s">
        <v>36</v>
      </c>
      <c r="Q20" s="3" t="e">
        <f>SUM(Q15:Q19)</f>
        <v>#VALUE!</v>
      </c>
      <c r="R20" s="3" t="e">
        <f t="shared" ref="R20:Y20" si="18">SUM(R15:R19)</f>
        <v>#VALUE!</v>
      </c>
      <c r="S20" s="3" t="e">
        <f t="shared" si="18"/>
        <v>#VALUE!</v>
      </c>
      <c r="T20" s="3" t="e">
        <f t="shared" si="18"/>
        <v>#VALUE!</v>
      </c>
      <c r="U20" s="3" t="e">
        <f t="shared" si="18"/>
        <v>#VALUE!</v>
      </c>
      <c r="V20" s="3" t="e">
        <f t="shared" si="18"/>
        <v>#VALUE!</v>
      </c>
      <c r="W20" s="3" t="e">
        <f t="shared" si="18"/>
        <v>#VALUE!</v>
      </c>
      <c r="X20" s="3" t="e">
        <f t="shared" si="18"/>
        <v>#VALUE!</v>
      </c>
      <c r="Y20" s="3" t="e">
        <f t="shared" si="18"/>
        <v>#VALUE!</v>
      </c>
      <c r="AA20" s="62"/>
      <c r="AB20" s="62"/>
      <c r="AM20" s="1427"/>
      <c r="AN20" s="1423"/>
      <c r="AO20" s="717" t="s">
        <v>166</v>
      </c>
      <c r="AP20" s="60"/>
      <c r="AQ20" s="85" t="e">
        <f t="shared" si="1"/>
        <v>#VALUE!</v>
      </c>
    </row>
    <row r="21" spans="2:43" ht="15" customHeight="1">
      <c r="B21" s="1427"/>
      <c r="C21" s="1419" t="s">
        <v>204</v>
      </c>
      <c r="D21" s="366" t="s">
        <v>18</v>
      </c>
      <c r="E21" s="59"/>
      <c r="F21" s="3">
        <f>IF(K2=0,0,IF(加算と減算!J13="",0,ROUNDDOWN(加算と減算!U13/'9月'!$K$2,-1)))</f>
        <v>0</v>
      </c>
      <c r="G21" s="3">
        <f>F21</f>
        <v>0</v>
      </c>
      <c r="H21" s="3">
        <f t="shared" ref="H21:M21" si="19">G21</f>
        <v>0</v>
      </c>
      <c r="I21" s="3">
        <f t="shared" si="19"/>
        <v>0</v>
      </c>
      <c r="J21" s="3">
        <f t="shared" si="19"/>
        <v>0</v>
      </c>
      <c r="K21" s="3">
        <f t="shared" si="19"/>
        <v>0</v>
      </c>
      <c r="L21" s="3">
        <f t="shared" si="19"/>
        <v>0</v>
      </c>
      <c r="M21" s="3">
        <f t="shared" si="19"/>
        <v>0</v>
      </c>
      <c r="O21" s="76"/>
      <c r="P21" s="636"/>
      <c r="Q21" s="54"/>
      <c r="R21" s="54"/>
      <c r="S21" s="9"/>
      <c r="T21" s="9"/>
      <c r="U21" s="54"/>
      <c r="V21" s="54"/>
      <c r="W21" s="10"/>
      <c r="X21" s="10"/>
      <c r="Y21" s="10"/>
      <c r="AA21" s="62"/>
      <c r="AB21" s="62"/>
      <c r="AM21" s="1427"/>
      <c r="AN21" s="1419" t="s">
        <v>204</v>
      </c>
      <c r="AO21" s="720" t="s">
        <v>18</v>
      </c>
      <c r="AP21" s="732" t="s">
        <v>559</v>
      </c>
      <c r="AQ21" s="85">
        <f t="shared" si="1"/>
        <v>0</v>
      </c>
    </row>
    <row r="22" spans="2:43" ht="15" customHeight="1">
      <c r="B22" s="1427"/>
      <c r="C22" s="1420"/>
      <c r="D22" s="366" t="s">
        <v>62</v>
      </c>
      <c r="E22" s="59"/>
      <c r="F22" s="3">
        <f>IF(K2=0,0,ROUNDDOWN(IF(加算と減算!J14="○",加算と減算!U14,IF(加算と減算!J15="○",加算と減算!U15,0))/K2,-1))</f>
        <v>0</v>
      </c>
      <c r="G22" s="3">
        <f t="shared" ref="G22:M26" si="20">F22</f>
        <v>0</v>
      </c>
      <c r="H22" s="3">
        <f t="shared" si="20"/>
        <v>0</v>
      </c>
      <c r="I22" s="3">
        <f t="shared" si="20"/>
        <v>0</v>
      </c>
      <c r="J22" s="3">
        <f t="shared" si="20"/>
        <v>0</v>
      </c>
      <c r="K22" s="3">
        <f t="shared" si="20"/>
        <v>0</v>
      </c>
      <c r="L22" s="3">
        <f t="shared" si="20"/>
        <v>0</v>
      </c>
      <c r="M22" s="3">
        <f>L22</f>
        <v>0</v>
      </c>
      <c r="O22" s="1443" t="s">
        <v>180</v>
      </c>
      <c r="P22" s="367" t="s">
        <v>171</v>
      </c>
      <c r="Q22" s="368" t="s">
        <v>178</v>
      </c>
      <c r="R22" s="367" t="s">
        <v>179</v>
      </c>
      <c r="S22" s="4"/>
      <c r="T22" s="1443" t="s">
        <v>188</v>
      </c>
      <c r="U22" s="367" t="s">
        <v>171</v>
      </c>
      <c r="V22" s="40" t="s">
        <v>179</v>
      </c>
      <c r="AA22" s="62"/>
      <c r="AB22" s="62"/>
      <c r="AM22" s="1427"/>
      <c r="AN22" s="1420"/>
      <c r="AO22" s="720" t="s">
        <v>62</v>
      </c>
      <c r="AP22" s="732" t="s">
        <v>559</v>
      </c>
      <c r="AQ22" s="85">
        <f t="shared" si="1"/>
        <v>0</v>
      </c>
    </row>
    <row r="23" spans="2:43" ht="16.5">
      <c r="B23" s="1427"/>
      <c r="C23" s="1420"/>
      <c r="D23" s="366" t="s">
        <v>19</v>
      </c>
      <c r="E23" s="59"/>
      <c r="F23" s="3">
        <f>IF(K2=0,0,IF(加算と減算!J16="",0,ROUNDDOWN(加算と減算!U16/'9月'!$K$2,-1)))</f>
        <v>0</v>
      </c>
      <c r="G23" s="3">
        <f t="shared" si="20"/>
        <v>0</v>
      </c>
      <c r="H23" s="3">
        <f t="shared" si="20"/>
        <v>0</v>
      </c>
      <c r="I23" s="3">
        <f t="shared" si="20"/>
        <v>0</v>
      </c>
      <c r="J23" s="3">
        <f t="shared" si="20"/>
        <v>0</v>
      </c>
      <c r="K23" s="3">
        <f t="shared" si="20"/>
        <v>0</v>
      </c>
      <c r="L23" s="3">
        <f t="shared" si="20"/>
        <v>0</v>
      </c>
      <c r="M23" s="3">
        <f t="shared" si="20"/>
        <v>0</v>
      </c>
      <c r="O23" s="1447"/>
      <c r="P23" s="630">
        <f>P6</f>
        <v>0</v>
      </c>
      <c r="Q23" s="3">
        <f>児童数!AE27</f>
        <v>0</v>
      </c>
      <c r="R23" s="64">
        <f>4500*Q23</f>
        <v>0</v>
      </c>
      <c r="S23" s="4"/>
      <c r="T23" s="1447"/>
      <c r="U23" s="630">
        <f>P6</f>
        <v>0</v>
      </c>
      <c r="V23" s="65" t="e">
        <f>Y15+R23</f>
        <v>#VALUE!</v>
      </c>
      <c r="AA23" s="62"/>
      <c r="AB23" s="62"/>
      <c r="AM23" s="1427"/>
      <c r="AN23" s="1420"/>
      <c r="AO23" s="720" t="s">
        <v>19</v>
      </c>
      <c r="AP23" s="732" t="s">
        <v>559</v>
      </c>
      <c r="AQ23" s="85">
        <f t="shared" si="1"/>
        <v>0</v>
      </c>
    </row>
    <row r="24" spans="2:43" ht="16.5">
      <c r="B24" s="1427"/>
      <c r="C24" s="1420"/>
      <c r="D24" s="366" t="s">
        <v>41</v>
      </c>
      <c r="E24" s="59"/>
      <c r="F24" s="3">
        <f>IF(K2=0,0,IF(加算と減算!D17="",0,ROUNDDOWN(加算と減算!U17/'9月'!$K$2,-1)))</f>
        <v>0</v>
      </c>
      <c r="G24" s="3">
        <f t="shared" si="20"/>
        <v>0</v>
      </c>
      <c r="H24" s="3">
        <f t="shared" si="20"/>
        <v>0</v>
      </c>
      <c r="I24" s="3">
        <f t="shared" si="20"/>
        <v>0</v>
      </c>
      <c r="J24" s="3">
        <f t="shared" si="20"/>
        <v>0</v>
      </c>
      <c r="K24" s="3">
        <f t="shared" si="20"/>
        <v>0</v>
      </c>
      <c r="L24" s="3">
        <f t="shared" si="20"/>
        <v>0</v>
      </c>
      <c r="M24" s="3">
        <f t="shared" si="20"/>
        <v>0</v>
      </c>
      <c r="O24" s="1447"/>
      <c r="P24" s="631">
        <f>P7</f>
        <v>0</v>
      </c>
      <c r="Q24" s="3">
        <f>児童数!AE41</f>
        <v>0</v>
      </c>
      <c r="R24" s="64">
        <f t="shared" ref="R24:R27" si="21">4500*Q24</f>
        <v>0</v>
      </c>
      <c r="S24" s="4"/>
      <c r="T24" s="1447"/>
      <c r="U24" s="631">
        <f>P7</f>
        <v>0</v>
      </c>
      <c r="V24" s="66" t="e">
        <f>Y16+R24</f>
        <v>#VALUE!</v>
      </c>
      <c r="AA24" s="62"/>
      <c r="AB24" s="62"/>
      <c r="AM24" s="1427"/>
      <c r="AN24" s="1420"/>
      <c r="AO24" s="720" t="s">
        <v>41</v>
      </c>
      <c r="AP24" s="732" t="s">
        <v>559</v>
      </c>
      <c r="AQ24" s="85">
        <f t="shared" si="1"/>
        <v>0</v>
      </c>
    </row>
    <row r="25" spans="2:43" ht="16.5">
      <c r="B25" s="1427"/>
      <c r="C25" s="1420"/>
      <c r="D25" s="366" t="s">
        <v>42</v>
      </c>
      <c r="E25" s="59"/>
      <c r="F25" s="3" t="str">
        <f>加算と減算!U18</f>
        <v/>
      </c>
      <c r="G25" s="3" t="str">
        <f t="shared" si="20"/>
        <v/>
      </c>
      <c r="H25" s="3" t="str">
        <f t="shared" si="20"/>
        <v/>
      </c>
      <c r="I25" s="3" t="str">
        <f t="shared" si="20"/>
        <v/>
      </c>
      <c r="J25" s="3" t="str">
        <f t="shared" si="20"/>
        <v/>
      </c>
      <c r="K25" s="3" t="str">
        <f t="shared" si="20"/>
        <v/>
      </c>
      <c r="L25" s="3" t="str">
        <f t="shared" si="20"/>
        <v/>
      </c>
      <c r="M25" s="3" t="str">
        <f t="shared" si="20"/>
        <v/>
      </c>
      <c r="O25" s="1447"/>
      <c r="P25" s="632">
        <f>P8</f>
        <v>0</v>
      </c>
      <c r="Q25" s="3">
        <f>児童数!AE55</f>
        <v>0</v>
      </c>
      <c r="R25" s="64">
        <f t="shared" si="21"/>
        <v>0</v>
      </c>
      <c r="S25" s="4"/>
      <c r="T25" s="1447"/>
      <c r="U25" s="632">
        <f>P8</f>
        <v>0</v>
      </c>
      <c r="V25" s="67" t="e">
        <f>Y17+R25</f>
        <v>#VALUE!</v>
      </c>
      <c r="AA25" s="62"/>
      <c r="AB25" s="62"/>
      <c r="AM25" s="1427"/>
      <c r="AN25" s="1420"/>
      <c r="AO25" s="718" t="s">
        <v>42</v>
      </c>
      <c r="AP25" s="731" t="s">
        <v>353</v>
      </c>
      <c r="AQ25" s="85">
        <f t="shared" si="1"/>
        <v>0</v>
      </c>
    </row>
    <row r="26" spans="2:43" ht="16.5">
      <c r="B26" s="1427"/>
      <c r="C26" s="1421"/>
      <c r="D26" s="366" t="s">
        <v>80</v>
      </c>
      <c r="E26" s="59"/>
      <c r="F26" s="3">
        <f>IF(K2=0,0,ROUNDDOWN(IF(加算と減算!J26="○",加算と減算!U26,IF(加算と減算!J27="○",加算と減算!U27,IF(加算と減算!J28="○",加算と減算!U28,0)))/K2,-1))</f>
        <v>0</v>
      </c>
      <c r="G26" s="3">
        <f t="shared" si="20"/>
        <v>0</v>
      </c>
      <c r="H26" s="3">
        <f t="shared" si="20"/>
        <v>0</v>
      </c>
      <c r="I26" s="3">
        <f t="shared" si="20"/>
        <v>0</v>
      </c>
      <c r="J26" s="3">
        <f t="shared" si="20"/>
        <v>0</v>
      </c>
      <c r="K26" s="3">
        <f t="shared" si="20"/>
        <v>0</v>
      </c>
      <c r="L26" s="3">
        <f t="shared" si="20"/>
        <v>0</v>
      </c>
      <c r="M26" s="3">
        <f t="shared" si="20"/>
        <v>0</v>
      </c>
      <c r="O26" s="1447"/>
      <c r="P26" s="633">
        <f>P9</f>
        <v>0</v>
      </c>
      <c r="Q26" s="3">
        <f>児童数!AE69</f>
        <v>0</v>
      </c>
      <c r="R26" s="64">
        <f t="shared" si="21"/>
        <v>0</v>
      </c>
      <c r="S26" s="4"/>
      <c r="T26" s="1447"/>
      <c r="U26" s="633">
        <f>P9</f>
        <v>0</v>
      </c>
      <c r="V26" s="68" t="e">
        <f>Y18+R26</f>
        <v>#VALUE!</v>
      </c>
      <c r="AA26" s="62"/>
      <c r="AB26" s="62"/>
      <c r="AM26" s="1427"/>
      <c r="AN26" s="1421"/>
      <c r="AO26" s="720" t="s">
        <v>80</v>
      </c>
      <c r="AP26" s="731" t="s">
        <v>353</v>
      </c>
      <c r="AQ26" s="85">
        <f t="shared" si="1"/>
        <v>0</v>
      </c>
    </row>
    <row r="27" spans="2:43" ht="18.75" customHeight="1" thickBot="1">
      <c r="B27" s="1428"/>
      <c r="C27" s="1410" t="s">
        <v>44</v>
      </c>
      <c r="D27" s="1411"/>
      <c r="E27" s="53"/>
      <c r="F27" s="5" t="e">
        <f t="shared" ref="F27:M27" si="22">SUM(F6:F26)</f>
        <v>#VALUE!</v>
      </c>
      <c r="G27" s="5" t="e">
        <f t="shared" si="22"/>
        <v>#VALUE!</v>
      </c>
      <c r="H27" s="5" t="e">
        <f t="shared" si="22"/>
        <v>#VALUE!</v>
      </c>
      <c r="I27" s="5" t="e">
        <f t="shared" si="22"/>
        <v>#VALUE!</v>
      </c>
      <c r="J27" s="5" t="e">
        <f t="shared" si="22"/>
        <v>#VALUE!</v>
      </c>
      <c r="K27" s="5" t="e">
        <f t="shared" si="22"/>
        <v>#VALUE!</v>
      </c>
      <c r="L27" s="5" t="e">
        <f t="shared" si="22"/>
        <v>#VALUE!</v>
      </c>
      <c r="M27" s="5" t="e">
        <f t="shared" si="22"/>
        <v>#VALUE!</v>
      </c>
      <c r="O27" s="1447"/>
      <c r="P27" s="634">
        <f>P10</f>
        <v>0</v>
      </c>
      <c r="Q27" s="3">
        <f>児童数!AE83</f>
        <v>0</v>
      </c>
      <c r="R27" s="64">
        <f t="shared" si="21"/>
        <v>0</v>
      </c>
      <c r="S27" s="4"/>
      <c r="T27" s="1447"/>
      <c r="U27" s="634">
        <f>P10</f>
        <v>0</v>
      </c>
      <c r="V27" s="69" t="e">
        <f>Y19+R27</f>
        <v>#VALUE!</v>
      </c>
      <c r="AA27" s="62"/>
      <c r="AB27" s="62"/>
      <c r="AM27" s="1428"/>
      <c r="AN27" s="1425" t="s">
        <v>562</v>
      </c>
      <c r="AO27" s="1425"/>
      <c r="AP27" s="733" t="s">
        <v>376</v>
      </c>
      <c r="AQ27" s="85">
        <f>R28</f>
        <v>0</v>
      </c>
    </row>
    <row r="28" spans="2:43" ht="15.75" thickBot="1">
      <c r="B28" s="263"/>
      <c r="C28" s="58"/>
      <c r="D28" s="58"/>
      <c r="E28" s="58" t="s">
        <v>167</v>
      </c>
      <c r="F28" s="7" t="e">
        <f>F7+F9+F12+F16+F18</f>
        <v>#VALUE!</v>
      </c>
      <c r="G28" s="7" t="e">
        <f t="shared" ref="G28:M28" si="23">G7+G9+G12+G16+G18</f>
        <v>#VALUE!</v>
      </c>
      <c r="H28" s="7" t="e">
        <f t="shared" si="23"/>
        <v>#VALUE!</v>
      </c>
      <c r="I28" s="7" t="e">
        <f t="shared" si="23"/>
        <v>#VALUE!</v>
      </c>
      <c r="J28" s="7" t="e">
        <f t="shared" si="23"/>
        <v>#VALUE!</v>
      </c>
      <c r="K28" s="7" t="e">
        <f>K7+K9+K12+K16+K18</f>
        <v>#VALUE!</v>
      </c>
      <c r="L28" s="7" t="e">
        <f>L7+L9+L12+L16+L18</f>
        <v>#VALUE!</v>
      </c>
      <c r="M28" s="7" t="e">
        <f t="shared" si="23"/>
        <v>#VALUE!</v>
      </c>
      <c r="O28" s="1448"/>
      <c r="P28" s="635" t="s">
        <v>36</v>
      </c>
      <c r="Q28" s="3">
        <f>SUM(Q23:Q27)</f>
        <v>0</v>
      </c>
      <c r="R28" s="3">
        <f>SUM(R23:R27)</f>
        <v>0</v>
      </c>
      <c r="S28" s="4"/>
      <c r="T28" s="1448"/>
      <c r="U28" s="635" t="s">
        <v>36</v>
      </c>
      <c r="V28" s="70" t="e">
        <f>SUM(V23:V27)</f>
        <v>#VALUE!</v>
      </c>
      <c r="AA28" s="62"/>
      <c r="AB28" s="62"/>
      <c r="AG28" s="288" t="e">
        <f>SUMPRODUCT(F28:M28,Q11:X11)</f>
        <v>#VALUE!</v>
      </c>
      <c r="AM28" s="263"/>
      <c r="AN28" s="1410" t="s">
        <v>44</v>
      </c>
      <c r="AO28" s="1411"/>
      <c r="AP28" s="53"/>
      <c r="AQ28" s="85" t="e">
        <f>SUM(AQ6:AQ27)</f>
        <v>#VALUE!</v>
      </c>
    </row>
    <row r="29" spans="2:43" ht="15" customHeight="1">
      <c r="E29" s="1020" t="s">
        <v>703</v>
      </c>
      <c r="F29" s="264" t="e">
        <f>-ROUNDUP(SUM(F6:F9,F11:F19)*$V$2/100,-1)</f>
        <v>#VALUE!</v>
      </c>
      <c r="G29" s="264" t="e">
        <f t="shared" ref="G29:M29" si="24">-ROUNDUP(SUM(G6:G9,G11:G19)*$V$2/100,-1)</f>
        <v>#VALUE!</v>
      </c>
      <c r="H29" s="264" t="e">
        <f t="shared" si="24"/>
        <v>#VALUE!</v>
      </c>
      <c r="I29" s="264" t="e">
        <f t="shared" si="24"/>
        <v>#VALUE!</v>
      </c>
      <c r="J29" s="264" t="e">
        <f t="shared" si="24"/>
        <v>#VALUE!</v>
      </c>
      <c r="K29" s="264" t="e">
        <f t="shared" si="24"/>
        <v>#VALUE!</v>
      </c>
      <c r="L29" s="264" t="e">
        <f t="shared" si="24"/>
        <v>#VALUE!</v>
      </c>
      <c r="M29" s="264" t="e">
        <f t="shared" si="24"/>
        <v>#VALUE!</v>
      </c>
      <c r="O29" s="637"/>
      <c r="P29" s="637"/>
      <c r="Q29" s="637"/>
      <c r="R29" s="637"/>
      <c r="S29" s="637"/>
      <c r="T29" s="637"/>
      <c r="U29" s="637"/>
      <c r="V29" s="63"/>
      <c r="AA29" s="62"/>
      <c r="AB29" s="62"/>
      <c r="AO29" s="1"/>
      <c r="AP29" s="57"/>
    </row>
    <row r="30" spans="2:43" ht="15" customHeight="1">
      <c r="B30" s="1412" t="s">
        <v>3</v>
      </c>
      <c r="C30" s="1415"/>
      <c r="D30" s="1415"/>
      <c r="E30" s="1416" t="s">
        <v>172</v>
      </c>
      <c r="F30" s="1418" t="s">
        <v>15</v>
      </c>
      <c r="G30" s="1418"/>
      <c r="H30" s="1418"/>
      <c r="I30" s="1418"/>
      <c r="J30" s="1418" t="s">
        <v>16</v>
      </c>
      <c r="K30" s="1418"/>
      <c r="L30" s="1418"/>
      <c r="M30" s="1418"/>
      <c r="O30" s="1449" t="s">
        <v>40</v>
      </c>
      <c r="P30" s="1446" t="s">
        <v>171</v>
      </c>
      <c r="Q30" s="1440" t="s">
        <v>15</v>
      </c>
      <c r="R30" s="1440"/>
      <c r="S30" s="1440"/>
      <c r="T30" s="1440"/>
      <c r="U30" s="1440" t="s">
        <v>16</v>
      </c>
      <c r="V30" s="1440"/>
      <c r="W30" s="1440"/>
      <c r="X30" s="1440"/>
      <c r="Y30" s="1441" t="s">
        <v>177</v>
      </c>
      <c r="Z30" s="11"/>
      <c r="AA30" s="57"/>
      <c r="AB30" s="62"/>
      <c r="AM30" s="1412" t="s">
        <v>3</v>
      </c>
      <c r="AN30" s="1415"/>
      <c r="AO30" s="1415"/>
      <c r="AP30" s="1416" t="s">
        <v>172</v>
      </c>
      <c r="AQ30" s="85"/>
    </row>
    <row r="31" spans="2:43" s="1" customFormat="1">
      <c r="B31" s="1413"/>
      <c r="C31" s="1415"/>
      <c r="D31" s="1415"/>
      <c r="E31" s="1417"/>
      <c r="F31" s="370" t="s">
        <v>6</v>
      </c>
      <c r="G31" s="370" t="s">
        <v>7</v>
      </c>
      <c r="H31" s="370" t="s">
        <v>8</v>
      </c>
      <c r="I31" s="370" t="s">
        <v>9</v>
      </c>
      <c r="J31" s="370" t="s">
        <v>6</v>
      </c>
      <c r="K31" s="370" t="s">
        <v>7</v>
      </c>
      <c r="L31" s="370" t="s">
        <v>8</v>
      </c>
      <c r="M31" s="370" t="s">
        <v>9</v>
      </c>
      <c r="N31" s="2"/>
      <c r="O31" s="1444"/>
      <c r="P31" s="1446"/>
      <c r="Q31" s="368" t="s">
        <v>6</v>
      </c>
      <c r="R31" s="368" t="s">
        <v>7</v>
      </c>
      <c r="S31" s="368" t="s">
        <v>8</v>
      </c>
      <c r="T31" s="368" t="s">
        <v>9</v>
      </c>
      <c r="U31" s="368" t="s">
        <v>6</v>
      </c>
      <c r="V31" s="368" t="s">
        <v>7</v>
      </c>
      <c r="W31" s="368" t="s">
        <v>8</v>
      </c>
      <c r="X31" s="368" t="s">
        <v>9</v>
      </c>
      <c r="Y31" s="1442"/>
      <c r="Z31" s="11"/>
      <c r="AA31" s="57"/>
      <c r="AB31" s="57"/>
      <c r="AE31" s="2"/>
      <c r="AM31" s="1413"/>
      <c r="AN31" s="1415"/>
      <c r="AO31" s="1415"/>
      <c r="AP31" s="1417"/>
      <c r="AQ31" s="85"/>
    </row>
    <row r="32" spans="2:43" s="1" customFormat="1">
      <c r="B32" s="1413"/>
      <c r="C32" s="1418" t="s">
        <v>17</v>
      </c>
      <c r="D32" s="1418"/>
      <c r="E32" s="53" t="s">
        <v>169</v>
      </c>
      <c r="F32" s="3">
        <f>単価表!AV23</f>
        <v>0</v>
      </c>
      <c r="G32" s="3">
        <f>単価表!AV25</f>
        <v>0</v>
      </c>
      <c r="H32" s="3">
        <f>単価表!AV27</f>
        <v>0</v>
      </c>
      <c r="I32" s="3">
        <f>単価表!AV29</f>
        <v>0</v>
      </c>
      <c r="J32" s="3">
        <f>単価表!AW23</f>
        <v>0</v>
      </c>
      <c r="K32" s="3">
        <f>単価表!AW25</f>
        <v>0</v>
      </c>
      <c r="L32" s="3">
        <f>単価表!AW27</f>
        <v>0</v>
      </c>
      <c r="M32" s="3">
        <f>単価表!AW29</f>
        <v>0</v>
      </c>
      <c r="O32" s="1444"/>
      <c r="P32" s="630">
        <f>P6</f>
        <v>0</v>
      </c>
      <c r="Q32" s="3">
        <f>児童数!R27</f>
        <v>0</v>
      </c>
      <c r="R32" s="3">
        <f>児童数!S27</f>
        <v>0</v>
      </c>
      <c r="S32" s="3">
        <f>児童数!T27</f>
        <v>0</v>
      </c>
      <c r="T32" s="3">
        <f>児童数!U27</f>
        <v>0</v>
      </c>
      <c r="U32" s="3">
        <f>児童数!W27</f>
        <v>0</v>
      </c>
      <c r="V32" s="3">
        <f>児童数!X27</f>
        <v>0</v>
      </c>
      <c r="W32" s="3">
        <f>児童数!Y27</f>
        <v>0</v>
      </c>
      <c r="X32" s="3">
        <f>児童数!Z27</f>
        <v>0</v>
      </c>
      <c r="Y32" s="64">
        <f>SUM(Q32:X32)</f>
        <v>0</v>
      </c>
      <c r="Z32" s="2"/>
      <c r="AA32" s="57"/>
      <c r="AB32" s="57"/>
      <c r="AM32" s="1413"/>
      <c r="AN32" s="1418" t="s">
        <v>17</v>
      </c>
      <c r="AO32" s="1418"/>
      <c r="AP32" s="53" t="s">
        <v>169</v>
      </c>
      <c r="AQ32" s="85">
        <f>SUMPRODUCT(F32:M32,$Q$37:$X$37)</f>
        <v>0</v>
      </c>
    </row>
    <row r="33" spans="2:43" s="1" customFormat="1" ht="15" customHeight="1">
      <c r="B33" s="1413"/>
      <c r="C33" s="1418"/>
      <c r="D33" s="1418"/>
      <c r="E33" s="53" t="s">
        <v>167</v>
      </c>
      <c r="F33" s="3">
        <f>単価表!AX23*基本情報!G7</f>
        <v>0</v>
      </c>
      <c r="G33" s="3">
        <f>単価表!AX25*基本情報!G7</f>
        <v>0</v>
      </c>
      <c r="H33" s="3">
        <f>単価表!AX27*基本情報!G7</f>
        <v>0</v>
      </c>
      <c r="I33" s="3">
        <f>単価表!AX29*基本情報!G7</f>
        <v>0</v>
      </c>
      <c r="J33" s="3">
        <f>単価表!AY23*基本情報!G7</f>
        <v>0</v>
      </c>
      <c r="K33" s="3">
        <f>単価表!AY25*基本情報!G7</f>
        <v>0</v>
      </c>
      <c r="L33" s="3">
        <f>単価表!AY27*基本情報!G7</f>
        <v>0</v>
      </c>
      <c r="M33" s="3">
        <f>単価表!AY29*基本情報!G7</f>
        <v>0</v>
      </c>
      <c r="O33" s="1444"/>
      <c r="P33" s="631">
        <f>P7</f>
        <v>0</v>
      </c>
      <c r="Q33" s="3">
        <f>児童数!R41</f>
        <v>0</v>
      </c>
      <c r="R33" s="3">
        <f>児童数!S41</f>
        <v>0</v>
      </c>
      <c r="S33" s="3">
        <f>児童数!T41</f>
        <v>0</v>
      </c>
      <c r="T33" s="3">
        <f>児童数!U41</f>
        <v>0</v>
      </c>
      <c r="U33" s="3">
        <f>児童数!W41</f>
        <v>0</v>
      </c>
      <c r="V33" s="3">
        <f>児童数!X41</f>
        <v>0</v>
      </c>
      <c r="W33" s="3">
        <f>児童数!Y41</f>
        <v>0</v>
      </c>
      <c r="X33" s="3">
        <f>児童数!Z41</f>
        <v>0</v>
      </c>
      <c r="Y33" s="64">
        <f t="shared" ref="Y33:Y36" si="25">SUM(Q33:X33)</f>
        <v>0</v>
      </c>
      <c r="Z33" s="2"/>
      <c r="AA33" s="62"/>
      <c r="AB33" s="57"/>
      <c r="AM33" s="1413"/>
      <c r="AN33" s="1418"/>
      <c r="AO33" s="1418"/>
      <c r="AP33" s="53" t="s">
        <v>167</v>
      </c>
      <c r="AQ33" s="85">
        <f t="shared" ref="AQ33:AQ53" si="26">SUMPRODUCT(F33:M33,$Q$37:$X$37)</f>
        <v>0</v>
      </c>
    </row>
    <row r="34" spans="2:43" ht="16.5">
      <c r="B34" s="1413"/>
      <c r="C34" s="1419" t="s">
        <v>203</v>
      </c>
      <c r="D34" s="1422" t="s">
        <v>37</v>
      </c>
      <c r="E34" s="53" t="s">
        <v>169</v>
      </c>
      <c r="F34" s="6"/>
      <c r="G34" s="3">
        <f>IF(基本情報!E5="",0,G8)</f>
        <v>0</v>
      </c>
      <c r="H34" s="6"/>
      <c r="I34" s="6"/>
      <c r="J34" s="6"/>
      <c r="K34" s="3">
        <f>IF(基本情報!E5="",0,K8)</f>
        <v>0</v>
      </c>
      <c r="L34" s="6"/>
      <c r="M34" s="6"/>
      <c r="N34" s="1"/>
      <c r="O34" s="1444"/>
      <c r="P34" s="632">
        <f>P8</f>
        <v>0</v>
      </c>
      <c r="Q34" s="3">
        <f>児童数!R55</f>
        <v>0</v>
      </c>
      <c r="R34" s="3">
        <f>児童数!S55</f>
        <v>0</v>
      </c>
      <c r="S34" s="3">
        <f>児童数!T55</f>
        <v>0</v>
      </c>
      <c r="T34" s="3">
        <f>児童数!U55</f>
        <v>0</v>
      </c>
      <c r="U34" s="3">
        <f>児童数!W55</f>
        <v>0</v>
      </c>
      <c r="V34" s="3">
        <f>児童数!X55</f>
        <v>0</v>
      </c>
      <c r="W34" s="3">
        <f>児童数!Y55</f>
        <v>0</v>
      </c>
      <c r="X34" s="3">
        <f>児童数!Z55</f>
        <v>0</v>
      </c>
      <c r="Y34" s="64">
        <f t="shared" si="25"/>
        <v>0</v>
      </c>
      <c r="AA34" s="62"/>
      <c r="AB34" s="62"/>
      <c r="AE34" s="1"/>
      <c r="AM34" s="1413"/>
      <c r="AN34" s="1419" t="s">
        <v>203</v>
      </c>
      <c r="AO34" s="1422" t="s">
        <v>37</v>
      </c>
      <c r="AP34" s="732" t="s">
        <v>559</v>
      </c>
      <c r="AQ34" s="85">
        <f t="shared" si="26"/>
        <v>0</v>
      </c>
    </row>
    <row r="35" spans="2:43">
      <c r="B35" s="1413"/>
      <c r="C35" s="1420"/>
      <c r="D35" s="1422"/>
      <c r="E35" s="53" t="s">
        <v>167</v>
      </c>
      <c r="F35" s="6"/>
      <c r="G35" s="3">
        <f>IF(基本情報!E5="",0,G9)</f>
        <v>0</v>
      </c>
      <c r="H35" s="6"/>
      <c r="I35" s="6"/>
      <c r="J35" s="6"/>
      <c r="K35" s="3">
        <f>IF(基本情報!E5="",0,K9)</f>
        <v>0</v>
      </c>
      <c r="L35" s="6"/>
      <c r="M35" s="6"/>
      <c r="O35" s="1444"/>
      <c r="P35" s="633">
        <f>P9</f>
        <v>0</v>
      </c>
      <c r="Q35" s="3">
        <f>児童数!R69</f>
        <v>0</v>
      </c>
      <c r="R35" s="3">
        <f>児童数!S69</f>
        <v>0</v>
      </c>
      <c r="S35" s="3">
        <f>児童数!T69</f>
        <v>0</v>
      </c>
      <c r="T35" s="3">
        <f>児童数!U69</f>
        <v>0</v>
      </c>
      <c r="U35" s="3">
        <f>児童数!W69</f>
        <v>0</v>
      </c>
      <c r="V35" s="3">
        <f>児童数!X69</f>
        <v>0</v>
      </c>
      <c r="W35" s="3">
        <f>児童数!Y69</f>
        <v>0</v>
      </c>
      <c r="X35" s="3">
        <f>児童数!Z69</f>
        <v>0</v>
      </c>
      <c r="Y35" s="64">
        <f t="shared" si="25"/>
        <v>0</v>
      </c>
      <c r="AA35" s="62"/>
      <c r="AB35" s="62"/>
      <c r="AM35" s="1413"/>
      <c r="AN35" s="1420"/>
      <c r="AO35" s="1422"/>
      <c r="AP35" s="53" t="s">
        <v>167</v>
      </c>
      <c r="AQ35" s="85">
        <f t="shared" si="26"/>
        <v>0</v>
      </c>
    </row>
    <row r="36" spans="2:43">
      <c r="B36" s="1413"/>
      <c r="C36" s="1420"/>
      <c r="D36" s="383" t="s">
        <v>69</v>
      </c>
      <c r="E36" s="60"/>
      <c r="F36" s="3">
        <f>IF(基本情報!E5="",0,F10)</f>
        <v>0</v>
      </c>
      <c r="G36" s="3">
        <f>$F36</f>
        <v>0</v>
      </c>
      <c r="H36" s="3">
        <f t="shared" ref="H36:M36" si="27">$F36</f>
        <v>0</v>
      </c>
      <c r="I36" s="3">
        <f t="shared" si="27"/>
        <v>0</v>
      </c>
      <c r="J36" s="3">
        <f t="shared" si="27"/>
        <v>0</v>
      </c>
      <c r="K36" s="3">
        <f t="shared" si="27"/>
        <v>0</v>
      </c>
      <c r="L36" s="3">
        <f t="shared" si="27"/>
        <v>0</v>
      </c>
      <c r="M36" s="3">
        <f t="shared" si="27"/>
        <v>0</v>
      </c>
      <c r="O36" s="1444"/>
      <c r="P36" s="634">
        <f>P10</f>
        <v>0</v>
      </c>
      <c r="Q36" s="3">
        <f>児童数!R83</f>
        <v>0</v>
      </c>
      <c r="R36" s="3">
        <f>児童数!S83</f>
        <v>0</v>
      </c>
      <c r="S36" s="3">
        <f>児童数!T83</f>
        <v>0</v>
      </c>
      <c r="T36" s="3">
        <f>児童数!U83</f>
        <v>0</v>
      </c>
      <c r="U36" s="3">
        <f>児童数!W83</f>
        <v>0</v>
      </c>
      <c r="V36" s="3">
        <f>児童数!X83</f>
        <v>0</v>
      </c>
      <c r="W36" s="3">
        <f>児童数!Y83</f>
        <v>0</v>
      </c>
      <c r="X36" s="3">
        <f>児童数!Z83</f>
        <v>0</v>
      </c>
      <c r="Y36" s="64">
        <f t="shared" si="25"/>
        <v>0</v>
      </c>
      <c r="AA36" s="62"/>
      <c r="AB36" s="62"/>
      <c r="AM36" s="1413"/>
      <c r="AN36" s="1420"/>
      <c r="AO36" s="383" t="s">
        <v>69</v>
      </c>
      <c r="AP36" s="629"/>
      <c r="AQ36" s="85">
        <f t="shared" si="26"/>
        <v>0</v>
      </c>
    </row>
    <row r="37" spans="2:43">
      <c r="B37" s="1413"/>
      <c r="C37" s="1420"/>
      <c r="D37" s="1422" t="s">
        <v>161</v>
      </c>
      <c r="E37" s="53" t="s">
        <v>169</v>
      </c>
      <c r="F37" s="3">
        <f>IF(基本情報!E5="",0,F11)</f>
        <v>0</v>
      </c>
      <c r="G37" s="3">
        <f>F37</f>
        <v>0</v>
      </c>
      <c r="H37" s="3">
        <f>IF(基本情報!E5="",0,H11)</f>
        <v>0</v>
      </c>
      <c r="I37" s="3">
        <f>H37</f>
        <v>0</v>
      </c>
      <c r="J37" s="3">
        <f>F37</f>
        <v>0</v>
      </c>
      <c r="K37" s="3">
        <f>F37</f>
        <v>0</v>
      </c>
      <c r="L37" s="3">
        <f>H37</f>
        <v>0</v>
      </c>
      <c r="M37" s="3">
        <f>H37</f>
        <v>0</v>
      </c>
      <c r="O37" s="1445"/>
      <c r="P37" s="635" t="s">
        <v>36</v>
      </c>
      <c r="Q37" s="3">
        <f>SUM(Q32:Q36)</f>
        <v>0</v>
      </c>
      <c r="R37" s="3">
        <f t="shared" ref="R37:Y37" si="28">SUM(R32:R36)</f>
        <v>0</v>
      </c>
      <c r="S37" s="3">
        <f t="shared" si="28"/>
        <v>0</v>
      </c>
      <c r="T37" s="3">
        <f t="shared" si="28"/>
        <v>0</v>
      </c>
      <c r="U37" s="3">
        <f t="shared" si="28"/>
        <v>0</v>
      </c>
      <c r="V37" s="3">
        <f t="shared" si="28"/>
        <v>0</v>
      </c>
      <c r="W37" s="3">
        <f t="shared" si="28"/>
        <v>0</v>
      </c>
      <c r="X37" s="3">
        <f t="shared" si="28"/>
        <v>0</v>
      </c>
      <c r="Y37" s="3">
        <f t="shared" si="28"/>
        <v>0</v>
      </c>
      <c r="Z37" s="55" t="s">
        <v>176</v>
      </c>
      <c r="AA37" s="71" t="str">
        <f>IF(SUM(Q37:X37)=I2,"OK",SUM(Q37:X37)-G27)</f>
        <v>OK</v>
      </c>
      <c r="AM37" s="1413"/>
      <c r="AN37" s="1420"/>
      <c r="AO37" s="1422" t="s">
        <v>161</v>
      </c>
      <c r="AP37" s="53" t="s">
        <v>169</v>
      </c>
      <c r="AQ37" s="85">
        <f t="shared" si="26"/>
        <v>0</v>
      </c>
    </row>
    <row r="38" spans="2:43">
      <c r="B38" s="1413"/>
      <c r="C38" s="1420"/>
      <c r="D38" s="1422"/>
      <c r="E38" s="53" t="s">
        <v>167</v>
      </c>
      <c r="F38" s="3">
        <f>IF(基本情報!E5="",0,F12)</f>
        <v>0</v>
      </c>
      <c r="G38" s="3">
        <f>$F38</f>
        <v>0</v>
      </c>
      <c r="H38" s="3">
        <f t="shared" ref="H38:M42" si="29">$F38</f>
        <v>0</v>
      </c>
      <c r="I38" s="3">
        <f t="shared" si="29"/>
        <v>0</v>
      </c>
      <c r="J38" s="3">
        <f t="shared" si="29"/>
        <v>0</v>
      </c>
      <c r="K38" s="3">
        <f t="shared" si="29"/>
        <v>0</v>
      </c>
      <c r="L38" s="3">
        <f t="shared" si="29"/>
        <v>0</v>
      </c>
      <c r="M38" s="3">
        <f t="shared" si="29"/>
        <v>0</v>
      </c>
      <c r="O38" s="58"/>
      <c r="P38" s="58"/>
      <c r="Q38" s="10"/>
      <c r="R38" s="10"/>
      <c r="S38" s="10"/>
      <c r="T38" s="10"/>
      <c r="U38" s="10"/>
      <c r="V38" s="10"/>
      <c r="W38" s="10"/>
      <c r="X38" s="10"/>
      <c r="Y38" s="11"/>
      <c r="Z38" s="11"/>
      <c r="AM38" s="1413"/>
      <c r="AN38" s="1420"/>
      <c r="AO38" s="1422"/>
      <c r="AP38" s="53" t="s">
        <v>167</v>
      </c>
      <c r="AQ38" s="85">
        <f t="shared" si="26"/>
        <v>0</v>
      </c>
    </row>
    <row r="39" spans="2:43" ht="16.5">
      <c r="B39" s="1413"/>
      <c r="C39" s="1420"/>
      <c r="D39" s="366" t="s">
        <v>162</v>
      </c>
      <c r="E39" s="59"/>
      <c r="F39" s="3">
        <f>IF(基本情報!E5="",0,F13)</f>
        <v>0</v>
      </c>
      <c r="G39" s="3">
        <f>$F39</f>
        <v>0</v>
      </c>
      <c r="H39" s="3">
        <f t="shared" si="29"/>
        <v>0</v>
      </c>
      <c r="I39" s="3">
        <f t="shared" si="29"/>
        <v>0</v>
      </c>
      <c r="J39" s="3">
        <f t="shared" si="29"/>
        <v>0</v>
      </c>
      <c r="K39" s="3">
        <f t="shared" si="29"/>
        <v>0</v>
      </c>
      <c r="L39" s="3">
        <f t="shared" si="29"/>
        <v>0</v>
      </c>
      <c r="M39" s="3">
        <f t="shared" si="29"/>
        <v>0</v>
      </c>
      <c r="O39" s="1443" t="s">
        <v>189</v>
      </c>
      <c r="P39" s="1446" t="s">
        <v>171</v>
      </c>
      <c r="Q39" s="1440" t="s">
        <v>15</v>
      </c>
      <c r="R39" s="1440"/>
      <c r="S39" s="1440"/>
      <c r="T39" s="1440"/>
      <c r="U39" s="1440" t="s">
        <v>16</v>
      </c>
      <c r="V39" s="1440"/>
      <c r="W39" s="1440"/>
      <c r="X39" s="1440"/>
      <c r="Y39" s="1441" t="s">
        <v>177</v>
      </c>
      <c r="AM39" s="1413"/>
      <c r="AN39" s="1420"/>
      <c r="AO39" s="720" t="s">
        <v>162</v>
      </c>
      <c r="AP39" s="731" t="s">
        <v>353</v>
      </c>
      <c r="AQ39" s="85">
        <f t="shared" si="26"/>
        <v>0</v>
      </c>
    </row>
    <row r="40" spans="2:43" ht="16.5">
      <c r="B40" s="1413"/>
      <c r="C40" s="1420"/>
      <c r="D40" s="366" t="s">
        <v>54</v>
      </c>
      <c r="E40" s="59"/>
      <c r="F40" s="3">
        <f>IF(基本情報!E5="",0,F14)</f>
        <v>0</v>
      </c>
      <c r="G40" s="3">
        <f>$F40</f>
        <v>0</v>
      </c>
      <c r="H40" s="3">
        <f t="shared" si="29"/>
        <v>0</v>
      </c>
      <c r="I40" s="3">
        <f t="shared" si="29"/>
        <v>0</v>
      </c>
      <c r="J40" s="3">
        <f t="shared" si="29"/>
        <v>0</v>
      </c>
      <c r="K40" s="3">
        <f t="shared" si="29"/>
        <v>0</v>
      </c>
      <c r="L40" s="3">
        <f t="shared" si="29"/>
        <v>0</v>
      </c>
      <c r="M40" s="3">
        <f t="shared" si="29"/>
        <v>0</v>
      </c>
      <c r="O40" s="1444"/>
      <c r="P40" s="1446"/>
      <c r="Q40" s="368" t="s">
        <v>6</v>
      </c>
      <c r="R40" s="368" t="s">
        <v>7</v>
      </c>
      <c r="S40" s="368" t="s">
        <v>8</v>
      </c>
      <c r="T40" s="368" t="s">
        <v>9</v>
      </c>
      <c r="U40" s="368" t="s">
        <v>6</v>
      </c>
      <c r="V40" s="368" t="s">
        <v>7</v>
      </c>
      <c r="W40" s="368" t="s">
        <v>8</v>
      </c>
      <c r="X40" s="368" t="s">
        <v>9</v>
      </c>
      <c r="Y40" s="1442"/>
      <c r="AM40" s="1413"/>
      <c r="AN40" s="1420"/>
      <c r="AO40" s="720" t="s">
        <v>54</v>
      </c>
      <c r="AP40" s="731" t="s">
        <v>353</v>
      </c>
      <c r="AQ40" s="85">
        <f t="shared" si="26"/>
        <v>0</v>
      </c>
    </row>
    <row r="41" spans="2:43" ht="16.5">
      <c r="B41" s="1413"/>
      <c r="C41" s="1420"/>
      <c r="D41" s="1422" t="s">
        <v>38</v>
      </c>
      <c r="E41" s="53" t="s">
        <v>169</v>
      </c>
      <c r="F41" s="3">
        <f>IF(基本情報!E5="",0,F15)</f>
        <v>0</v>
      </c>
      <c r="G41" s="3">
        <f>$F41</f>
        <v>0</v>
      </c>
      <c r="H41" s="3">
        <f t="shared" si="29"/>
        <v>0</v>
      </c>
      <c r="I41" s="3">
        <f t="shared" si="29"/>
        <v>0</v>
      </c>
      <c r="J41" s="3">
        <f t="shared" si="29"/>
        <v>0</v>
      </c>
      <c r="K41" s="3">
        <f t="shared" si="29"/>
        <v>0</v>
      </c>
      <c r="L41" s="3">
        <f t="shared" si="29"/>
        <v>0</v>
      </c>
      <c r="M41" s="3">
        <f t="shared" si="29"/>
        <v>0</v>
      </c>
      <c r="O41" s="1444"/>
      <c r="P41" s="630">
        <f>P32</f>
        <v>0</v>
      </c>
      <c r="Q41" s="3">
        <f t="shared" ref="Q41:X41" si="30">F54*Q32</f>
        <v>0</v>
      </c>
      <c r="R41" s="3">
        <f t="shared" si="30"/>
        <v>0</v>
      </c>
      <c r="S41" s="3">
        <f t="shared" si="30"/>
        <v>0</v>
      </c>
      <c r="T41" s="3">
        <f t="shared" si="30"/>
        <v>0</v>
      </c>
      <c r="U41" s="3">
        <f t="shared" si="30"/>
        <v>0</v>
      </c>
      <c r="V41" s="3">
        <f t="shared" si="30"/>
        <v>0</v>
      </c>
      <c r="W41" s="3">
        <f t="shared" si="30"/>
        <v>0</v>
      </c>
      <c r="X41" s="3">
        <f t="shared" si="30"/>
        <v>0</v>
      </c>
      <c r="Y41" s="3">
        <f>SUM(Q41:X41)</f>
        <v>0</v>
      </c>
      <c r="AM41" s="1413"/>
      <c r="AN41" s="1420"/>
      <c r="AO41" s="1422" t="s">
        <v>38</v>
      </c>
      <c r="AP41" s="732" t="s">
        <v>559</v>
      </c>
      <c r="AQ41" s="85">
        <f t="shared" si="26"/>
        <v>0</v>
      </c>
    </row>
    <row r="42" spans="2:43">
      <c r="B42" s="1413"/>
      <c r="C42" s="1421"/>
      <c r="D42" s="1422"/>
      <c r="E42" s="53" t="s">
        <v>167</v>
      </c>
      <c r="F42" s="3">
        <f>IF(基本情報!E5="",0,F16)</f>
        <v>0</v>
      </c>
      <c r="G42" s="3">
        <f>$F42</f>
        <v>0</v>
      </c>
      <c r="H42" s="3">
        <f t="shared" si="29"/>
        <v>0</v>
      </c>
      <c r="I42" s="3">
        <f t="shared" si="29"/>
        <v>0</v>
      </c>
      <c r="J42" s="3">
        <f t="shared" si="29"/>
        <v>0</v>
      </c>
      <c r="K42" s="3">
        <f t="shared" si="29"/>
        <v>0</v>
      </c>
      <c r="L42" s="3">
        <f t="shared" si="29"/>
        <v>0</v>
      </c>
      <c r="M42" s="3">
        <f>$F42</f>
        <v>0</v>
      </c>
      <c r="O42" s="1444"/>
      <c r="P42" s="631">
        <f>P33</f>
        <v>0</v>
      </c>
      <c r="Q42" s="3">
        <f t="shared" ref="Q42:X42" si="31">F54*Q33</f>
        <v>0</v>
      </c>
      <c r="R42" s="3">
        <f t="shared" si="31"/>
        <v>0</v>
      </c>
      <c r="S42" s="3">
        <f t="shared" si="31"/>
        <v>0</v>
      </c>
      <c r="T42" s="3">
        <f t="shared" si="31"/>
        <v>0</v>
      </c>
      <c r="U42" s="3">
        <f t="shared" si="31"/>
        <v>0</v>
      </c>
      <c r="V42" s="3">
        <f t="shared" si="31"/>
        <v>0</v>
      </c>
      <c r="W42" s="3">
        <f t="shared" si="31"/>
        <v>0</v>
      </c>
      <c r="X42" s="3">
        <f t="shared" si="31"/>
        <v>0</v>
      </c>
      <c r="Y42" s="3">
        <f t="shared" ref="Y42:Y45" si="32">SUM(Q42:X42)</f>
        <v>0</v>
      </c>
      <c r="AM42" s="1413"/>
      <c r="AN42" s="1421"/>
      <c r="AO42" s="1422"/>
      <c r="AP42" s="53" t="s">
        <v>167</v>
      </c>
      <c r="AQ42" s="85">
        <f t="shared" si="26"/>
        <v>0</v>
      </c>
    </row>
    <row r="43" spans="2:43">
      <c r="B43" s="1413"/>
      <c r="C43" s="1423" t="s">
        <v>205</v>
      </c>
      <c r="D43" s="371" t="s">
        <v>164</v>
      </c>
      <c r="E43" s="60"/>
      <c r="F43" s="3">
        <f t="shared" ref="F43:M43" si="33">-ROUNDDOWN((F32+F33)*$P$2%,-1)</f>
        <v>0</v>
      </c>
      <c r="G43" s="3">
        <f t="shared" si="33"/>
        <v>0</v>
      </c>
      <c r="H43" s="3">
        <f t="shared" si="33"/>
        <v>0</v>
      </c>
      <c r="I43" s="3">
        <f t="shared" si="33"/>
        <v>0</v>
      </c>
      <c r="J43" s="3">
        <f t="shared" si="33"/>
        <v>0</v>
      </c>
      <c r="K43" s="3">
        <f t="shared" si="33"/>
        <v>0</v>
      </c>
      <c r="L43" s="3">
        <f t="shared" si="33"/>
        <v>0</v>
      </c>
      <c r="M43" s="3">
        <f t="shared" si="33"/>
        <v>0</v>
      </c>
      <c r="O43" s="1444"/>
      <c r="P43" s="632">
        <f>P34</f>
        <v>0</v>
      </c>
      <c r="Q43" s="3">
        <f t="shared" ref="Q43:X43" si="34">F54*Q34</f>
        <v>0</v>
      </c>
      <c r="R43" s="3">
        <f t="shared" si="34"/>
        <v>0</v>
      </c>
      <c r="S43" s="3">
        <f t="shared" si="34"/>
        <v>0</v>
      </c>
      <c r="T43" s="3">
        <f t="shared" si="34"/>
        <v>0</v>
      </c>
      <c r="U43" s="3">
        <f t="shared" si="34"/>
        <v>0</v>
      </c>
      <c r="V43" s="3">
        <f t="shared" si="34"/>
        <v>0</v>
      </c>
      <c r="W43" s="3">
        <f t="shared" si="34"/>
        <v>0</v>
      </c>
      <c r="X43" s="3">
        <f t="shared" si="34"/>
        <v>0</v>
      </c>
      <c r="Y43" s="3">
        <f t="shared" si="32"/>
        <v>0</v>
      </c>
      <c r="AM43" s="1413"/>
      <c r="AN43" s="1423" t="s">
        <v>205</v>
      </c>
      <c r="AO43" s="717" t="s">
        <v>164</v>
      </c>
      <c r="AP43" s="60"/>
      <c r="AQ43" s="85">
        <f t="shared" si="26"/>
        <v>0</v>
      </c>
    </row>
    <row r="44" spans="2:43">
      <c r="B44" s="1413"/>
      <c r="C44" s="1423"/>
      <c r="D44" s="1424" t="s">
        <v>43</v>
      </c>
      <c r="E44" s="53" t="s">
        <v>169</v>
      </c>
      <c r="F44" s="74">
        <f>-IF(加算と減算!J32="○",単価表!AZ23,0)</f>
        <v>0</v>
      </c>
      <c r="G44" s="74">
        <f>F44</f>
        <v>0</v>
      </c>
      <c r="H44" s="74">
        <f>F44</f>
        <v>0</v>
      </c>
      <c r="I44" s="74">
        <f>F44</f>
        <v>0</v>
      </c>
      <c r="J44" s="74">
        <f>F44</f>
        <v>0</v>
      </c>
      <c r="K44" s="74">
        <f>F44</f>
        <v>0</v>
      </c>
      <c r="L44" s="74">
        <f>F44</f>
        <v>0</v>
      </c>
      <c r="M44" s="74">
        <f>F44</f>
        <v>0</v>
      </c>
      <c r="O44" s="1444"/>
      <c r="P44" s="633">
        <f>P35</f>
        <v>0</v>
      </c>
      <c r="Q44" s="3">
        <f t="shared" ref="Q44:X44" si="35">F54*Q35</f>
        <v>0</v>
      </c>
      <c r="R44" s="3">
        <f t="shared" si="35"/>
        <v>0</v>
      </c>
      <c r="S44" s="3">
        <f t="shared" si="35"/>
        <v>0</v>
      </c>
      <c r="T44" s="3">
        <f t="shared" si="35"/>
        <v>0</v>
      </c>
      <c r="U44" s="3">
        <f t="shared" si="35"/>
        <v>0</v>
      </c>
      <c r="V44" s="3">
        <f t="shared" si="35"/>
        <v>0</v>
      </c>
      <c r="W44" s="3">
        <f t="shared" si="35"/>
        <v>0</v>
      </c>
      <c r="X44" s="3">
        <f t="shared" si="35"/>
        <v>0</v>
      </c>
      <c r="Y44" s="3">
        <f t="shared" si="32"/>
        <v>0</v>
      </c>
      <c r="AM44" s="1413"/>
      <c r="AN44" s="1423"/>
      <c r="AO44" s="1424" t="s">
        <v>43</v>
      </c>
      <c r="AP44" s="53" t="s">
        <v>169</v>
      </c>
      <c r="AQ44" s="85">
        <f t="shared" si="26"/>
        <v>0</v>
      </c>
    </row>
    <row r="45" spans="2:43">
      <c r="B45" s="1413"/>
      <c r="C45" s="1423"/>
      <c r="D45" s="1424"/>
      <c r="E45" s="53" t="s">
        <v>167</v>
      </c>
      <c r="F45" s="74">
        <f>-IF(加算と減算!J32="○",単価表!BA23*基本情報!G7,0)</f>
        <v>0</v>
      </c>
      <c r="G45" s="74">
        <f>F45</f>
        <v>0</v>
      </c>
      <c r="H45" s="74">
        <f>F45</f>
        <v>0</v>
      </c>
      <c r="I45" s="74">
        <f>F45</f>
        <v>0</v>
      </c>
      <c r="J45" s="74">
        <f>F45</f>
        <v>0</v>
      </c>
      <c r="K45" s="74">
        <f>F45</f>
        <v>0</v>
      </c>
      <c r="L45" s="74">
        <f>F45</f>
        <v>0</v>
      </c>
      <c r="M45" s="74">
        <f>F45</f>
        <v>0</v>
      </c>
      <c r="O45" s="1444"/>
      <c r="P45" s="634">
        <f>P36</f>
        <v>0</v>
      </c>
      <c r="Q45" s="3">
        <f t="shared" ref="Q45:X45" si="36">F54*Q36</f>
        <v>0</v>
      </c>
      <c r="R45" s="3">
        <f t="shared" si="36"/>
        <v>0</v>
      </c>
      <c r="S45" s="3">
        <f t="shared" si="36"/>
        <v>0</v>
      </c>
      <c r="T45" s="3">
        <f t="shared" si="36"/>
        <v>0</v>
      </c>
      <c r="U45" s="3">
        <f t="shared" si="36"/>
        <v>0</v>
      </c>
      <c r="V45" s="3">
        <f t="shared" si="36"/>
        <v>0</v>
      </c>
      <c r="W45" s="3">
        <f t="shared" si="36"/>
        <v>0</v>
      </c>
      <c r="X45" s="3">
        <f t="shared" si="36"/>
        <v>0</v>
      </c>
      <c r="Y45" s="3">
        <f t="shared" si="32"/>
        <v>0</v>
      </c>
      <c r="AM45" s="1413"/>
      <c r="AN45" s="1423"/>
      <c r="AO45" s="1424"/>
      <c r="AP45" s="53" t="s">
        <v>167</v>
      </c>
      <c r="AQ45" s="85">
        <f t="shared" si="26"/>
        <v>0</v>
      </c>
    </row>
    <row r="46" spans="2:43">
      <c r="B46" s="1413"/>
      <c r="C46" s="1423"/>
      <c r="D46" s="371" t="s">
        <v>165</v>
      </c>
      <c r="E46" s="60"/>
      <c r="F46" s="74">
        <f t="shared" ref="F46:M46" si="37">-ROUNDDOWN((F32+F33+F37+F38+F34+F35)*$T$2/100,-1)</f>
        <v>0</v>
      </c>
      <c r="G46" s="74">
        <f t="shared" si="37"/>
        <v>0</v>
      </c>
      <c r="H46" s="74">
        <f t="shared" si="37"/>
        <v>0</v>
      </c>
      <c r="I46" s="74">
        <f t="shared" si="37"/>
        <v>0</v>
      </c>
      <c r="J46" s="74">
        <f t="shared" si="37"/>
        <v>0</v>
      </c>
      <c r="K46" s="74">
        <f t="shared" si="37"/>
        <v>0</v>
      </c>
      <c r="L46" s="74">
        <f t="shared" si="37"/>
        <v>0</v>
      </c>
      <c r="M46" s="74">
        <f t="shared" si="37"/>
        <v>0</v>
      </c>
      <c r="O46" s="1445"/>
      <c r="P46" s="635" t="s">
        <v>36</v>
      </c>
      <c r="Q46" s="3">
        <f>SUM(Q41:Q45)</f>
        <v>0</v>
      </c>
      <c r="R46" s="3">
        <f t="shared" ref="R46:Y46" si="38">SUM(R41:R45)</f>
        <v>0</v>
      </c>
      <c r="S46" s="3">
        <f t="shared" si="38"/>
        <v>0</v>
      </c>
      <c r="T46" s="3">
        <f t="shared" si="38"/>
        <v>0</v>
      </c>
      <c r="U46" s="3">
        <f t="shared" si="38"/>
        <v>0</v>
      </c>
      <c r="V46" s="3">
        <f t="shared" si="38"/>
        <v>0</v>
      </c>
      <c r="W46" s="3">
        <f t="shared" si="38"/>
        <v>0</v>
      </c>
      <c r="X46" s="3">
        <f t="shared" si="38"/>
        <v>0</v>
      </c>
      <c r="Y46" s="3">
        <f t="shared" si="38"/>
        <v>0</v>
      </c>
      <c r="AM46" s="1413"/>
      <c r="AN46" s="1423"/>
      <c r="AO46" s="717" t="s">
        <v>165</v>
      </c>
      <c r="AP46" s="60"/>
      <c r="AQ46" s="85">
        <f t="shared" si="26"/>
        <v>0</v>
      </c>
    </row>
    <row r="47" spans="2:43" ht="15" customHeight="1">
      <c r="B47" s="1413"/>
      <c r="C47" s="1423"/>
      <c r="D47" s="371" t="s">
        <v>166</v>
      </c>
      <c r="E47" s="60"/>
      <c r="F47" s="74">
        <f>IF(基本情報!E5="",0,-ROUNDUP(SUM(F32:F46)*$W$2/100,-1))</f>
        <v>0</v>
      </c>
      <c r="G47" s="74">
        <f t="shared" ref="G47:M47" si="39">-ROUNDUP(SUM(G32:G46)*$W$2/100,-1)</f>
        <v>0</v>
      </c>
      <c r="H47" s="74">
        <f t="shared" si="39"/>
        <v>0</v>
      </c>
      <c r="I47" s="74">
        <f t="shared" si="39"/>
        <v>0</v>
      </c>
      <c r="J47" s="74">
        <f t="shared" si="39"/>
        <v>0</v>
      </c>
      <c r="K47" s="74">
        <f t="shared" si="39"/>
        <v>0</v>
      </c>
      <c r="L47" s="74">
        <f t="shared" si="39"/>
        <v>0</v>
      </c>
      <c r="M47" s="74">
        <f t="shared" si="39"/>
        <v>0</v>
      </c>
      <c r="O47" s="8"/>
      <c r="P47" s="58"/>
      <c r="Q47" s="7"/>
      <c r="R47" s="7"/>
      <c r="S47" s="7"/>
      <c r="T47" s="7"/>
      <c r="U47" s="7"/>
      <c r="V47" s="7"/>
      <c r="W47" s="7"/>
      <c r="X47" s="7"/>
      <c r="Y47" s="4"/>
      <c r="Z47" s="4"/>
      <c r="AM47" s="1413"/>
      <c r="AN47" s="1423"/>
      <c r="AO47" s="717" t="s">
        <v>166</v>
      </c>
      <c r="AP47" s="60"/>
      <c r="AQ47" s="85">
        <f t="shared" si="26"/>
        <v>0</v>
      </c>
    </row>
    <row r="48" spans="2:43" ht="15" customHeight="1">
      <c r="B48" s="1413"/>
      <c r="C48" s="1419" t="s">
        <v>204</v>
      </c>
      <c r="D48" s="366" t="s">
        <v>18</v>
      </c>
      <c r="E48" s="59"/>
      <c r="F48" s="3">
        <f>IF(基本情報!E5="",0,F21)</f>
        <v>0</v>
      </c>
      <c r="G48" s="3">
        <f t="shared" ref="G48:G53" si="40">$F48</f>
        <v>0</v>
      </c>
      <c r="H48" s="3">
        <f t="shared" ref="H48:M53" si="41">$F48</f>
        <v>0</v>
      </c>
      <c r="I48" s="3">
        <f t="shared" si="41"/>
        <v>0</v>
      </c>
      <c r="J48" s="3">
        <f t="shared" si="41"/>
        <v>0</v>
      </c>
      <c r="K48" s="3">
        <f t="shared" si="41"/>
        <v>0</v>
      </c>
      <c r="L48" s="3">
        <f t="shared" si="41"/>
        <v>0</v>
      </c>
      <c r="M48" s="3">
        <f t="shared" si="41"/>
        <v>0</v>
      </c>
      <c r="O48" s="1443" t="s">
        <v>180</v>
      </c>
      <c r="P48" s="367" t="s">
        <v>171</v>
      </c>
      <c r="Q48" s="61" t="s">
        <v>178</v>
      </c>
      <c r="R48" s="40" t="s">
        <v>179</v>
      </c>
      <c r="S48" s="4"/>
      <c r="T48" s="1443" t="s">
        <v>190</v>
      </c>
      <c r="U48" s="367" t="s">
        <v>171</v>
      </c>
      <c r="V48" s="40" t="s">
        <v>179</v>
      </c>
      <c r="X48" s="1431" t="s">
        <v>186</v>
      </c>
      <c r="Y48" s="1431"/>
      <c r="AM48" s="1413"/>
      <c r="AN48" s="1419" t="s">
        <v>204</v>
      </c>
      <c r="AO48" s="720" t="s">
        <v>18</v>
      </c>
      <c r="AP48" s="732" t="s">
        <v>559</v>
      </c>
      <c r="AQ48" s="85">
        <f t="shared" si="26"/>
        <v>0</v>
      </c>
    </row>
    <row r="49" spans="2:43" ht="16.5">
      <c r="B49" s="1413"/>
      <c r="C49" s="1420"/>
      <c r="D49" s="366" t="s">
        <v>62</v>
      </c>
      <c r="E49" s="59"/>
      <c r="F49" s="3">
        <f>IF(基本情報!E5="",0,F22)</f>
        <v>0</v>
      </c>
      <c r="G49" s="3">
        <f t="shared" si="40"/>
        <v>0</v>
      </c>
      <c r="H49" s="3">
        <f t="shared" si="41"/>
        <v>0</v>
      </c>
      <c r="I49" s="3">
        <f t="shared" si="41"/>
        <v>0</v>
      </c>
      <c r="J49" s="3">
        <f t="shared" si="41"/>
        <v>0</v>
      </c>
      <c r="K49" s="3">
        <f t="shared" si="41"/>
        <v>0</v>
      </c>
      <c r="L49" s="3">
        <f t="shared" si="41"/>
        <v>0</v>
      </c>
      <c r="M49" s="3">
        <f t="shared" si="41"/>
        <v>0</v>
      </c>
      <c r="O49" s="1444"/>
      <c r="P49" s="630">
        <f>P32</f>
        <v>0</v>
      </c>
      <c r="Q49" s="3">
        <f>児童数!AF27</f>
        <v>0</v>
      </c>
      <c r="R49" s="64">
        <f>4500*Q49</f>
        <v>0</v>
      </c>
      <c r="S49" s="4"/>
      <c r="T49" s="1444"/>
      <c r="U49" s="630">
        <f>P32</f>
        <v>0</v>
      </c>
      <c r="V49" s="65">
        <f>Y41+R49</f>
        <v>0</v>
      </c>
      <c r="X49" s="630">
        <f>P32</f>
        <v>0</v>
      </c>
      <c r="Y49" s="65" t="e">
        <f>V23+V49</f>
        <v>#VALUE!</v>
      </c>
      <c r="AM49" s="1413"/>
      <c r="AN49" s="1420"/>
      <c r="AO49" s="720" t="s">
        <v>62</v>
      </c>
      <c r="AP49" s="732" t="s">
        <v>559</v>
      </c>
      <c r="AQ49" s="85">
        <f t="shared" si="26"/>
        <v>0</v>
      </c>
    </row>
    <row r="50" spans="2:43" ht="16.5">
      <c r="B50" s="1413"/>
      <c r="C50" s="1420"/>
      <c r="D50" s="366" t="s">
        <v>19</v>
      </c>
      <c r="E50" s="59"/>
      <c r="F50" s="3">
        <f>IF(基本情報!E5="",0,F23)</f>
        <v>0</v>
      </c>
      <c r="G50" s="3">
        <f t="shared" si="40"/>
        <v>0</v>
      </c>
      <c r="H50" s="3">
        <f t="shared" si="41"/>
        <v>0</v>
      </c>
      <c r="I50" s="3">
        <f t="shared" si="41"/>
        <v>0</v>
      </c>
      <c r="J50" s="3">
        <f t="shared" si="41"/>
        <v>0</v>
      </c>
      <c r="K50" s="3">
        <f t="shared" si="41"/>
        <v>0</v>
      </c>
      <c r="L50" s="3">
        <f t="shared" si="41"/>
        <v>0</v>
      </c>
      <c r="M50" s="3">
        <f t="shared" si="41"/>
        <v>0</v>
      </c>
      <c r="O50" s="1444"/>
      <c r="P50" s="631">
        <f>P33</f>
        <v>0</v>
      </c>
      <c r="Q50" s="3">
        <f>児童数!AF41</f>
        <v>0</v>
      </c>
      <c r="R50" s="64">
        <f t="shared" ref="R50:R53" si="42">4500*Q50</f>
        <v>0</v>
      </c>
      <c r="S50" s="4"/>
      <c r="T50" s="1444"/>
      <c r="U50" s="631">
        <f>P33</f>
        <v>0</v>
      </c>
      <c r="V50" s="66">
        <f>Y42+R50</f>
        <v>0</v>
      </c>
      <c r="X50" s="631">
        <f>P33</f>
        <v>0</v>
      </c>
      <c r="Y50" s="66" t="e">
        <f>V24+V50</f>
        <v>#VALUE!</v>
      </c>
      <c r="AM50" s="1413"/>
      <c r="AN50" s="1420"/>
      <c r="AO50" s="720" t="s">
        <v>19</v>
      </c>
      <c r="AP50" s="732" t="s">
        <v>559</v>
      </c>
      <c r="AQ50" s="85">
        <f t="shared" si="26"/>
        <v>0</v>
      </c>
    </row>
    <row r="51" spans="2:43" ht="16.5">
      <c r="B51" s="1413"/>
      <c r="C51" s="1420"/>
      <c r="D51" s="366" t="s">
        <v>41</v>
      </c>
      <c r="E51" s="59"/>
      <c r="F51" s="3">
        <f>IF(基本情報!E5="",0,F24)</f>
        <v>0</v>
      </c>
      <c r="G51" s="3">
        <f t="shared" si="40"/>
        <v>0</v>
      </c>
      <c r="H51" s="3">
        <f t="shared" si="41"/>
        <v>0</v>
      </c>
      <c r="I51" s="3">
        <f t="shared" si="41"/>
        <v>0</v>
      </c>
      <c r="J51" s="3">
        <f t="shared" si="41"/>
        <v>0</v>
      </c>
      <c r="K51" s="3">
        <f t="shared" si="41"/>
        <v>0</v>
      </c>
      <c r="L51" s="3">
        <f t="shared" si="41"/>
        <v>0</v>
      </c>
      <c r="M51" s="3">
        <f t="shared" si="41"/>
        <v>0</v>
      </c>
      <c r="O51" s="1444"/>
      <c r="P51" s="632">
        <f>P34</f>
        <v>0</v>
      </c>
      <c r="Q51" s="3">
        <f>児童数!AF55</f>
        <v>0</v>
      </c>
      <c r="R51" s="64">
        <f t="shared" si="42"/>
        <v>0</v>
      </c>
      <c r="S51" s="4"/>
      <c r="T51" s="1444"/>
      <c r="U51" s="632">
        <f>P34</f>
        <v>0</v>
      </c>
      <c r="V51" s="67">
        <f>Y43+R51</f>
        <v>0</v>
      </c>
      <c r="X51" s="632">
        <f>P34</f>
        <v>0</v>
      </c>
      <c r="Y51" s="67" t="e">
        <f>V25+V51</f>
        <v>#VALUE!</v>
      </c>
      <c r="AM51" s="1413"/>
      <c r="AN51" s="1420"/>
      <c r="AO51" s="720" t="s">
        <v>41</v>
      </c>
      <c r="AP51" s="732" t="s">
        <v>559</v>
      </c>
      <c r="AQ51" s="85">
        <f t="shared" si="26"/>
        <v>0</v>
      </c>
    </row>
    <row r="52" spans="2:43" ht="16.5">
      <c r="B52" s="1413"/>
      <c r="C52" s="1420"/>
      <c r="D52" s="366" t="s">
        <v>42</v>
      </c>
      <c r="E52" s="59"/>
      <c r="F52" s="3">
        <f>IF(基本情報!E5="",0,F25)</f>
        <v>0</v>
      </c>
      <c r="G52" s="3">
        <f t="shared" si="40"/>
        <v>0</v>
      </c>
      <c r="H52" s="3">
        <f t="shared" si="41"/>
        <v>0</v>
      </c>
      <c r="I52" s="3">
        <f t="shared" si="41"/>
        <v>0</v>
      </c>
      <c r="J52" s="3">
        <f t="shared" si="41"/>
        <v>0</v>
      </c>
      <c r="K52" s="3">
        <f t="shared" si="41"/>
        <v>0</v>
      </c>
      <c r="L52" s="3">
        <f t="shared" si="41"/>
        <v>0</v>
      </c>
      <c r="M52" s="3">
        <f t="shared" si="41"/>
        <v>0</v>
      </c>
      <c r="O52" s="1444"/>
      <c r="P52" s="633">
        <f>P35</f>
        <v>0</v>
      </c>
      <c r="Q52" s="3">
        <f>児童数!AF69</f>
        <v>0</v>
      </c>
      <c r="R52" s="64">
        <f t="shared" si="42"/>
        <v>0</v>
      </c>
      <c r="S52" s="4"/>
      <c r="T52" s="1444"/>
      <c r="U52" s="633">
        <f>P35</f>
        <v>0</v>
      </c>
      <c r="V52" s="68">
        <f>Y44+R52</f>
        <v>0</v>
      </c>
      <c r="X52" s="633">
        <f>P35</f>
        <v>0</v>
      </c>
      <c r="Y52" s="68" t="e">
        <f>V26+V52</f>
        <v>#VALUE!</v>
      </c>
      <c r="AM52" s="1413"/>
      <c r="AN52" s="1420"/>
      <c r="AO52" s="720" t="s">
        <v>42</v>
      </c>
      <c r="AP52" s="731" t="s">
        <v>353</v>
      </c>
      <c r="AQ52" s="85">
        <f t="shared" si="26"/>
        <v>0</v>
      </c>
    </row>
    <row r="53" spans="2:43" ht="16.5">
      <c r="B53" s="1413"/>
      <c r="C53" s="1421"/>
      <c r="D53" s="366" t="s">
        <v>80</v>
      </c>
      <c r="E53" s="59"/>
      <c r="F53" s="3">
        <f>IF(基本情報!E5="",0,F26)</f>
        <v>0</v>
      </c>
      <c r="G53" s="3">
        <f t="shared" si="40"/>
        <v>0</v>
      </c>
      <c r="H53" s="3">
        <f t="shared" si="41"/>
        <v>0</v>
      </c>
      <c r="I53" s="3">
        <f t="shared" si="41"/>
        <v>0</v>
      </c>
      <c r="J53" s="3">
        <f t="shared" si="41"/>
        <v>0</v>
      </c>
      <c r="K53" s="3">
        <f t="shared" si="41"/>
        <v>0</v>
      </c>
      <c r="L53" s="3">
        <f t="shared" si="41"/>
        <v>0</v>
      </c>
      <c r="M53" s="3">
        <f t="shared" si="41"/>
        <v>0</v>
      </c>
      <c r="O53" s="1444"/>
      <c r="P53" s="634">
        <f>P36</f>
        <v>0</v>
      </c>
      <c r="Q53" s="3">
        <f>児童数!AF83</f>
        <v>0</v>
      </c>
      <c r="R53" s="64">
        <f t="shared" si="42"/>
        <v>0</v>
      </c>
      <c r="S53" s="4"/>
      <c r="T53" s="1444"/>
      <c r="U53" s="634">
        <f>P36</f>
        <v>0</v>
      </c>
      <c r="V53" s="69">
        <f>Y45+R53</f>
        <v>0</v>
      </c>
      <c r="X53" s="634">
        <f>P36</f>
        <v>0</v>
      </c>
      <c r="Y53" s="69" t="e">
        <f>V27+V53</f>
        <v>#VALUE!</v>
      </c>
      <c r="AM53" s="1413"/>
      <c r="AN53" s="1421"/>
      <c r="AO53" s="720" t="s">
        <v>80</v>
      </c>
      <c r="AP53" s="731" t="s">
        <v>353</v>
      </c>
      <c r="AQ53" s="85">
        <f t="shared" si="26"/>
        <v>0</v>
      </c>
    </row>
    <row r="54" spans="2:43" ht="17.25" thickBot="1">
      <c r="B54" s="1414"/>
      <c r="C54" s="1410" t="s">
        <v>44</v>
      </c>
      <c r="D54" s="1411"/>
      <c r="E54" s="53"/>
      <c r="F54" s="5">
        <f t="shared" ref="F54:M54" si="43">SUM(F32:F53)</f>
        <v>0</v>
      </c>
      <c r="G54" s="5">
        <f t="shared" si="43"/>
        <v>0</v>
      </c>
      <c r="H54" s="5">
        <f t="shared" si="43"/>
        <v>0</v>
      </c>
      <c r="I54" s="5">
        <f t="shared" si="43"/>
        <v>0</v>
      </c>
      <c r="J54" s="5">
        <f t="shared" si="43"/>
        <v>0</v>
      </c>
      <c r="K54" s="5">
        <f t="shared" si="43"/>
        <v>0</v>
      </c>
      <c r="L54" s="5">
        <f t="shared" si="43"/>
        <v>0</v>
      </c>
      <c r="M54" s="5">
        <f t="shared" si="43"/>
        <v>0</v>
      </c>
      <c r="O54" s="1445"/>
      <c r="P54" s="635" t="s">
        <v>36</v>
      </c>
      <c r="Q54" s="3">
        <f>SUM(Q49:Q53)</f>
        <v>0</v>
      </c>
      <c r="R54" s="3">
        <f>SUM(R49:R53)</f>
        <v>0</v>
      </c>
      <c r="S54" s="4"/>
      <c r="T54" s="1445"/>
      <c r="U54" s="635" t="s">
        <v>36</v>
      </c>
      <c r="V54" s="70">
        <f>SUM(V49:V53)</f>
        <v>0</v>
      </c>
      <c r="X54" s="635" t="s">
        <v>36</v>
      </c>
      <c r="Y54" s="70" t="e">
        <f>SUM(Y49:Y53)</f>
        <v>#VALUE!</v>
      </c>
      <c r="AM54" s="1414"/>
      <c r="AN54" s="1425" t="s">
        <v>562</v>
      </c>
      <c r="AO54" s="1425"/>
      <c r="AP54" s="733" t="s">
        <v>376</v>
      </c>
      <c r="AQ54" s="85">
        <f>R54</f>
        <v>0</v>
      </c>
    </row>
    <row r="55" spans="2:43" ht="15.75" thickBot="1">
      <c r="C55" s="57"/>
      <c r="D55" s="57"/>
      <c r="E55" s="58" t="s">
        <v>167</v>
      </c>
      <c r="F55" s="264">
        <f>F33+F35+F38+F42+F45</f>
        <v>0</v>
      </c>
      <c r="G55" s="264">
        <f t="shared" ref="G55:M55" si="44">G33+G35+G38+G42+G45</f>
        <v>0</v>
      </c>
      <c r="H55" s="264">
        <f t="shared" si="44"/>
        <v>0</v>
      </c>
      <c r="I55" s="264">
        <f t="shared" si="44"/>
        <v>0</v>
      </c>
      <c r="J55" s="264">
        <f t="shared" si="44"/>
        <v>0</v>
      </c>
      <c r="K55" s="264">
        <f t="shared" si="44"/>
        <v>0</v>
      </c>
      <c r="L55" s="264">
        <f t="shared" si="44"/>
        <v>0</v>
      </c>
      <c r="M55" s="264">
        <f t="shared" si="44"/>
        <v>0</v>
      </c>
      <c r="AG55" s="288">
        <f>ROUNDUP(SUMPRODUCT(F55:M55,Q37:X37)*90%,-1)</f>
        <v>0</v>
      </c>
      <c r="AN55" s="1410" t="s">
        <v>44</v>
      </c>
      <c r="AO55" s="1411"/>
      <c r="AP55" s="53"/>
      <c r="AQ55" s="85">
        <f>SUM(AQ32:AQ54)</f>
        <v>0</v>
      </c>
    </row>
    <row r="56" spans="2:43">
      <c r="E56" s="1020" t="s">
        <v>703</v>
      </c>
      <c r="F56" s="264">
        <f>-ROUNDUP(SUM(F32:F35,F37:F46)*$W$2/100,-1)</f>
        <v>0</v>
      </c>
      <c r="G56" s="264">
        <f>-ROUNDUP(SUM(G32:G35,G37:G46)*$W$2/100,-1)</f>
        <v>0</v>
      </c>
      <c r="H56" s="264">
        <f t="shared" ref="H56:K56" si="45">-ROUNDUP(SUM(H32:H35,H37:H46)*$W$2/100,-1)</f>
        <v>0</v>
      </c>
      <c r="I56" s="264">
        <f t="shared" si="45"/>
        <v>0</v>
      </c>
      <c r="J56" s="264">
        <f t="shared" si="45"/>
        <v>0</v>
      </c>
      <c r="K56" s="264">
        <f t="shared" si="45"/>
        <v>0</v>
      </c>
      <c r="L56" s="264">
        <f>-ROUNDUP(SUM(L32:L35,L37:L46)*$W$2/100,-1)</f>
        <v>0</v>
      </c>
      <c r="M56" s="264">
        <f>-ROUNDUP(SUM(M32:M35,M37:M46)*$W$2/100,-1)</f>
        <v>0</v>
      </c>
      <c r="O56" s="1430" t="s">
        <v>428</v>
      </c>
      <c r="P56" s="1430"/>
      <c r="X56" s="1430" t="s">
        <v>427</v>
      </c>
      <c r="Y56" s="1430"/>
      <c r="AO56" s="1"/>
      <c r="AP56" s="57"/>
    </row>
    <row r="57" spans="2:43" ht="15.75" thickBot="1">
      <c r="O57" s="83" t="s">
        <v>429</v>
      </c>
      <c r="P57" s="83" t="s">
        <v>206</v>
      </c>
      <c r="Q57" s="83" t="s">
        <v>207</v>
      </c>
      <c r="R57" s="83" t="s">
        <v>448</v>
      </c>
      <c r="S57" s="83" t="s">
        <v>214</v>
      </c>
      <c r="T57" s="83" t="s">
        <v>215</v>
      </c>
      <c r="U57" s="83" t="s">
        <v>216</v>
      </c>
      <c r="V57" s="282" t="s">
        <v>455</v>
      </c>
      <c r="W57" s="261"/>
      <c r="X57" s="83" t="s">
        <v>429</v>
      </c>
      <c r="Y57" s="83" t="s">
        <v>206</v>
      </c>
      <c r="Z57" s="83" t="s">
        <v>207</v>
      </c>
      <c r="AA57" s="83" t="s">
        <v>448</v>
      </c>
      <c r="AB57" s="83" t="s">
        <v>218</v>
      </c>
      <c r="AC57" s="83" t="s">
        <v>215</v>
      </c>
      <c r="AD57" s="280" t="s">
        <v>453</v>
      </c>
      <c r="AE57" s="282" t="s">
        <v>455</v>
      </c>
    </row>
    <row r="58" spans="2:43" ht="15.75" thickBot="1">
      <c r="C58" s="310" t="s">
        <v>479</v>
      </c>
      <c r="D58" s="311"/>
      <c r="E58" s="312"/>
      <c r="F58" s="313"/>
      <c r="G58" s="313"/>
      <c r="H58" s="313"/>
      <c r="I58" s="313"/>
      <c r="J58" s="313"/>
      <c r="K58" s="313"/>
      <c r="L58" s="313"/>
      <c r="M58" s="314"/>
      <c r="O58" s="61" t="str">
        <f>IF(月途中入退所情報!$D8=$B$2,月途中入退所情報!F8,"-")</f>
        <v>-</v>
      </c>
      <c r="P58" s="61" t="str">
        <f>IF(月途中入退所情報!$D8=$B$2,月途中入退所情報!G8,"-")</f>
        <v>-</v>
      </c>
      <c r="Q58" s="61" t="str">
        <f>IF(月途中入退所情報!$D8=$B$2,月途中入退所情報!H8,"-")</f>
        <v>-</v>
      </c>
      <c r="R58" s="61" t="str">
        <f>IF(月途中入退所情報!$D8=$B$2,月途中入退所情報!I8,"-")</f>
        <v>-</v>
      </c>
      <c r="S58" s="61" t="str">
        <f>IF(月途中入退所情報!$D8=$B$2,月途中入退所情報!J8,"-")</f>
        <v>-</v>
      </c>
      <c r="T58" s="84">
        <f>IF($Q58="標準時間",HLOOKUP($P58,$F$5:$I$27,23,FALSE)-SUM($F$10,$F$21:$F$24,$F$26)-HLOOKUP($P58,$F$5:$I$27,16,FALSE)+HLOOKUP($P58,$F$5:$I$29,25,FALSE),IF($Q58="短時間",HLOOKUP($P58,$J$5:$M$27,23,FALSE)-SUM($F$10,$F$21:$F$24,$F$26)-HLOOKUP($P58,$J$5:$M$27,16,FALSE)+HLOOKUP($P58,$J$5:$M$29,25,FALSE),0))+IF(R58="○",加算と減算!$AH$3,0)</f>
        <v>0</v>
      </c>
      <c r="U58" s="85">
        <f t="shared" ref="U58:U77" si="46">IFERROR(ROUNDDOWN(T58*S58/25,-1),0)</f>
        <v>0</v>
      </c>
      <c r="V58" s="262">
        <f>IFERROR(ROUNDDOWN(IF($Q58="標準時間",HLOOKUP($P58,$F$5:$I$28,24,FALSE),IF($Q58="短時間",HLOOKUP($P58,$J$5:$M$28,24,FALSE),0))*S58/25,-1),0)</f>
        <v>0</v>
      </c>
      <c r="W58" s="262"/>
      <c r="X58" s="61" t="str">
        <f>IF(月途中入退所情報!$N8=$B$2,月途中入退所情報!$P8,"-")</f>
        <v>-</v>
      </c>
      <c r="Y58" s="61" t="str">
        <f>IF(月途中入退所情報!$N8=$B$2,月途中入退所情報!$Q8,"-")</f>
        <v>-</v>
      </c>
      <c r="Z58" s="61" t="str">
        <f>IF(月途中入退所情報!$N8=$B$2,月途中入退所情報!$R8,"-")</f>
        <v>-</v>
      </c>
      <c r="AA58" s="61" t="str">
        <f>IF(月途中入退所情報!$N8=$B$2,月途中入退所情報!$S8,"-")</f>
        <v>-</v>
      </c>
      <c r="AB58" s="61" t="str">
        <f>IF(月途中入退所情報!$N8=$B$2,月途中入退所情報!$T8,"-")</f>
        <v>-</v>
      </c>
      <c r="AC58" s="84">
        <f>IF($Z58="標準時間",HLOOKUP($Y58,$F$5:$I$27,23,FALSE)-SUM($F$10,$F$21:$F$24,$F$26)-HLOOKUP($Y58,$F$5:$I$27,16,FALSE)+HLOOKUP($Y58,$F$5:$I$29,25,FALSE),IF($Z58="短時間",HLOOKUP($Y58,$J$5:$M$27,23,FALSE)-SUM($F$10,$F$21:$F$24,$F$26)-HLOOKUP($Y58,$J$5:$M$27,16,FALSE)+HLOOKUP($Y58,$J$5:$M$29,25,FALSE),0))+IF(AA58="○",加算と減算!$AH$3,0)</f>
        <v>0</v>
      </c>
      <c r="AD58" s="85">
        <f t="shared" ref="AD58:AD77" si="47">IFERROR(-ROUNDUP(AC58*AB58/25,-1),0)</f>
        <v>0</v>
      </c>
      <c r="AE58" s="262">
        <f t="shared" ref="AE58:AE77" si="48">IFERROR(-ROUNDUP(IF($Z58="標準時間",HLOOKUP($Y58,$F$5:$I$28,24,FALSE),IF($Z58="短時間",HLOOKUP($Y58,$J$5:$M$28,24,FALSE),0))*AB58/25,-1),0)</f>
        <v>0</v>
      </c>
    </row>
    <row r="59" spans="2:43">
      <c r="C59" s="307"/>
      <c r="D59" s="308"/>
      <c r="E59" s="309"/>
      <c r="F59" s="1417" t="s">
        <v>15</v>
      </c>
      <c r="G59" s="1417"/>
      <c r="H59" s="1417"/>
      <c r="I59" s="1417"/>
      <c r="J59" s="1417" t="s">
        <v>16</v>
      </c>
      <c r="K59" s="1417"/>
      <c r="L59" s="1417"/>
      <c r="M59" s="1417"/>
      <c r="O59" s="61" t="str">
        <f>IF(月途中入退所情報!$D9=$B$2,月途中入退所情報!F9,"-")</f>
        <v>-</v>
      </c>
      <c r="P59" s="61" t="str">
        <f>IF(月途中入退所情報!$D9=$B$2,月途中入退所情報!G9,"-")</f>
        <v>-</v>
      </c>
      <c r="Q59" s="61" t="str">
        <f>IF(月途中入退所情報!$D9=$B$2,月途中入退所情報!H9,"-")</f>
        <v>-</v>
      </c>
      <c r="R59" s="61" t="str">
        <f>IF(月途中入退所情報!$D9=$B$2,月途中入退所情報!I9,"-")</f>
        <v>-</v>
      </c>
      <c r="S59" s="61" t="str">
        <f>IF(月途中入退所情報!$D9=$B$2,月途中入退所情報!J9,"-")</f>
        <v>-</v>
      </c>
      <c r="T59" s="84">
        <f>IF($Q59="標準時間",HLOOKUP($P59,$F$5:$I$27,23,FALSE)-SUM($F$10,$F$21:$F$24,$F$26)-HLOOKUP($P59,$F$5:$I$27,16,FALSE)+HLOOKUP($P59,$F$5:$I$29,25,FALSE),IF($Q59="短時間",HLOOKUP($P59,$J$5:$M$27,23,FALSE)-SUM($F$10,$F$21:$F$24,$F$26)-HLOOKUP($P59,$J$5:$M$27,16,FALSE)+HLOOKUP($P59,$J$5:$M$29,25,FALSE),0))+IF(R59="○",加算と減算!$AH$3,0)</f>
        <v>0</v>
      </c>
      <c r="U59" s="85">
        <f t="shared" si="46"/>
        <v>0</v>
      </c>
      <c r="V59" s="262">
        <f t="shared" ref="V59:V77" si="49">IFERROR(ROUNDDOWN(IF($Q59="標準時間",HLOOKUP($P59,$F$5:$I$28,24,FALSE),IF($Q59="短時間",HLOOKUP($P59,$J$5:$M$28,24,FALSE),0))*S59/25,-1),0)</f>
        <v>0</v>
      </c>
      <c r="W59" s="262"/>
      <c r="X59" s="61" t="str">
        <f>IF(月途中入退所情報!$N9=$B$2,月途中入退所情報!$P9,"-")</f>
        <v>-</v>
      </c>
      <c r="Y59" s="61" t="str">
        <f>IF(月途中入退所情報!$N9=$B$2,月途中入退所情報!$Q9,"-")</f>
        <v>-</v>
      </c>
      <c r="Z59" s="61" t="str">
        <f>IF(月途中入退所情報!$N9=$B$2,月途中入退所情報!$R9,"-")</f>
        <v>-</v>
      </c>
      <c r="AA59" s="61" t="str">
        <f>IF(月途中入退所情報!$N9=$B$2,月途中入退所情報!$S9,"-")</f>
        <v>-</v>
      </c>
      <c r="AB59" s="61" t="str">
        <f>IF(月途中入退所情報!$N9=$B$2,月途中入退所情報!$T9,"-")</f>
        <v>-</v>
      </c>
      <c r="AC59" s="84">
        <f>IF($Z59="標準時間",HLOOKUP($Y59,$F$5:$I$27,23,FALSE)-SUM($F$10,$F$21:$F$24,$F$26)-HLOOKUP($Y59,$F$5:$I$27,16,FALSE)+HLOOKUP($Y59,$F$5:$I$29,25,FALSE),IF($Z59="短時間",HLOOKUP($Y59,$J$5:$M$27,23,FALSE)-SUM($F$10,$F$21:$F$24,$F$26)-HLOOKUP($Y59,$J$5:$M$27,16,FALSE)+HLOOKUP($Y59,$J$5:$M$29,25,FALSE),0))+IF(AA59="○",加算と減算!$AH$3,0)</f>
        <v>0</v>
      </c>
      <c r="AD59" s="85">
        <f t="shared" si="47"/>
        <v>0</v>
      </c>
      <c r="AE59" s="262">
        <f t="shared" si="48"/>
        <v>0</v>
      </c>
    </row>
    <row r="60" spans="2:43">
      <c r="C60" s="307"/>
      <c r="D60" s="308"/>
      <c r="E60" s="309"/>
      <c r="F60" s="369" t="s">
        <v>6</v>
      </c>
      <c r="G60" s="369" t="s">
        <v>7</v>
      </c>
      <c r="H60" s="369" t="s">
        <v>8</v>
      </c>
      <c r="I60" s="369" t="s">
        <v>9</v>
      </c>
      <c r="J60" s="369" t="s">
        <v>6</v>
      </c>
      <c r="K60" s="369" t="s">
        <v>7</v>
      </c>
      <c r="L60" s="369" t="s">
        <v>8</v>
      </c>
      <c r="M60" s="369" t="s">
        <v>9</v>
      </c>
      <c r="O60" s="61" t="str">
        <f>IF(月途中入退所情報!$D10=$B$2,月途中入退所情報!F10,"-")</f>
        <v>-</v>
      </c>
      <c r="P60" s="61" t="str">
        <f>IF(月途中入退所情報!$D10=$B$2,月途中入退所情報!G10,"-")</f>
        <v>-</v>
      </c>
      <c r="Q60" s="61" t="str">
        <f>IF(月途中入退所情報!$D10=$B$2,月途中入退所情報!H10,"-")</f>
        <v>-</v>
      </c>
      <c r="R60" s="61" t="str">
        <f>IF(月途中入退所情報!$D10=$B$2,月途中入退所情報!I10,"-")</f>
        <v>-</v>
      </c>
      <c r="S60" s="61" t="str">
        <f>IF(月途中入退所情報!$D10=$B$2,月途中入退所情報!J10,"-")</f>
        <v>-</v>
      </c>
      <c r="T60" s="84">
        <f>IF($Q60="標準時間",HLOOKUP($P60,$F$5:$I$27,23,FALSE)-SUM($F$10,$F$21:$F$24,$F$26)-HLOOKUP($P60,$F$5:$I$27,16,FALSE)+HLOOKUP($P60,$F$5:$I$29,25,FALSE),IF($Q60="短時間",HLOOKUP($P60,$J$5:$M$27,23,FALSE)-SUM($F$10,$F$21:$F$24,$F$26)-HLOOKUP($P60,$J$5:$M$27,16,FALSE)+HLOOKUP($P60,$J$5:$M$29,25,FALSE),0))+IF(R60="○",加算と減算!$AH$3,0)</f>
        <v>0</v>
      </c>
      <c r="U60" s="85">
        <f t="shared" si="46"/>
        <v>0</v>
      </c>
      <c r="V60" s="262">
        <f t="shared" si="49"/>
        <v>0</v>
      </c>
      <c r="W60" s="262"/>
      <c r="X60" s="61" t="str">
        <f>IF(月途中入退所情報!$N10=$B$2,月途中入退所情報!$P10,"-")</f>
        <v>-</v>
      </c>
      <c r="Y60" s="61" t="str">
        <f>IF(月途中入退所情報!$N10=$B$2,月途中入退所情報!$Q10,"-")</f>
        <v>-</v>
      </c>
      <c r="Z60" s="61" t="str">
        <f>IF(月途中入退所情報!$N10=$B$2,月途中入退所情報!$R10,"-")</f>
        <v>-</v>
      </c>
      <c r="AA60" s="61" t="str">
        <f>IF(月途中入退所情報!$N10=$B$2,月途中入退所情報!$S10,"-")</f>
        <v>-</v>
      </c>
      <c r="AB60" s="61" t="str">
        <f>IF(月途中入退所情報!$N10=$B$2,月途中入退所情報!$T10,"-")</f>
        <v>-</v>
      </c>
      <c r="AC60" s="84">
        <f>IF($Z60="標準時間",HLOOKUP($Y60,$F$5:$I$27,23,FALSE)-SUM($F$10,$F$21:$F$24,$F$26)-HLOOKUP($Y60,$F$5:$I$27,16,FALSE)+HLOOKUP($Y60,$F$5:$I$29,25,FALSE),IF($Z60="短時間",HLOOKUP($Y60,$J$5:$M$27,23,FALSE)-SUM($F$10,$F$21:$F$24,$F$26)-HLOOKUP($Y60,$J$5:$M$27,16,FALSE)+HLOOKUP($Y60,$J$5:$M$29,25,FALSE),0))+IF(AA60="○",加算と減算!$AH$3,0)</f>
        <v>0</v>
      </c>
      <c r="AD60" s="85">
        <f t="shared" si="47"/>
        <v>0</v>
      </c>
      <c r="AE60" s="262">
        <f t="shared" si="48"/>
        <v>0</v>
      </c>
    </row>
    <row r="61" spans="2:43">
      <c r="C61" s="307"/>
      <c r="D61" s="1432" t="s">
        <v>482</v>
      </c>
      <c r="E61" s="320" t="s">
        <v>480</v>
      </c>
      <c r="F61" s="85" t="e">
        <f t="shared" ref="F61:M61" si="50">-ROUNDDOWN((F7+F9+F1)*$S$2%,-1)</f>
        <v>#VALUE!</v>
      </c>
      <c r="G61" s="85" t="e">
        <f t="shared" si="50"/>
        <v>#VALUE!</v>
      </c>
      <c r="H61" s="85" t="e">
        <f t="shared" si="50"/>
        <v>#VALUE!</v>
      </c>
      <c r="I61" s="85" t="e">
        <f t="shared" si="50"/>
        <v>#VALUE!</v>
      </c>
      <c r="J61" s="85" t="e">
        <f t="shared" si="50"/>
        <v>#VALUE!</v>
      </c>
      <c r="K61" s="85" t="e">
        <f t="shared" si="50"/>
        <v>#VALUE!</v>
      </c>
      <c r="L61" s="85" t="e">
        <f t="shared" si="50"/>
        <v>#VALUE!</v>
      </c>
      <c r="M61" s="85" t="e">
        <f t="shared" si="50"/>
        <v>#VALUE!</v>
      </c>
      <c r="O61" s="61" t="str">
        <f>IF(月途中入退所情報!$D11=$B$2,月途中入退所情報!F11,"-")</f>
        <v>-</v>
      </c>
      <c r="P61" s="61" t="str">
        <f>IF(月途中入退所情報!$D11=$B$2,月途中入退所情報!G11,"-")</f>
        <v>-</v>
      </c>
      <c r="Q61" s="61" t="str">
        <f>IF(月途中入退所情報!$D11=$B$2,月途中入退所情報!H11,"-")</f>
        <v>-</v>
      </c>
      <c r="R61" s="61" t="str">
        <f>IF(月途中入退所情報!$D11=$B$2,月途中入退所情報!I11,"-")</f>
        <v>-</v>
      </c>
      <c r="S61" s="61" t="str">
        <f>IF(月途中入退所情報!$D11=$B$2,月途中入退所情報!J11,"-")</f>
        <v>-</v>
      </c>
      <c r="T61" s="84">
        <f>IF($Q61="標準時間",HLOOKUP($P61,$F$5:$I$27,23,FALSE)-SUM($F$10,$F$21:$F$24,$F$26)-HLOOKUP($P61,$F$5:$I$27,16,FALSE)+HLOOKUP($P61,$F$5:$I$29,25,FALSE),IF($Q61="短時間",HLOOKUP($P61,$J$5:$M$27,23,FALSE)-SUM($F$10,$F$21:$F$24,$F$26)-HLOOKUP($P61,$J$5:$M$27,16,FALSE)+HLOOKUP($P61,$J$5:$M$29,25,FALSE),0))+IF(R61="○",加算と減算!$AH$3,0)</f>
        <v>0</v>
      </c>
      <c r="U61" s="85">
        <f t="shared" si="46"/>
        <v>0</v>
      </c>
      <c r="V61" s="262">
        <f t="shared" si="49"/>
        <v>0</v>
      </c>
      <c r="W61" s="262"/>
      <c r="X61" s="61" t="str">
        <f>IF(月途中入退所情報!$N11=$B$2,月途中入退所情報!$P11,"-")</f>
        <v>-</v>
      </c>
      <c r="Y61" s="61" t="str">
        <f>IF(月途中入退所情報!$N11=$B$2,月途中入退所情報!$Q11,"-")</f>
        <v>-</v>
      </c>
      <c r="Z61" s="61" t="str">
        <f>IF(月途中入退所情報!$N11=$B$2,月途中入退所情報!$R11,"-")</f>
        <v>-</v>
      </c>
      <c r="AA61" s="61" t="str">
        <f>IF(月途中入退所情報!$N11=$B$2,月途中入退所情報!$S11,"-")</f>
        <v>-</v>
      </c>
      <c r="AB61" s="61" t="str">
        <f>IF(月途中入退所情報!$N11=$B$2,月途中入退所情報!$T11,"-")</f>
        <v>-</v>
      </c>
      <c r="AC61" s="84">
        <f>IF($Z61="標準時間",HLOOKUP($Y61,$F$5:$I$27,23,FALSE)-SUM($F$10,$F$21:$F$24,$F$26)-HLOOKUP($Y61,$F$5:$I$27,16,FALSE)+HLOOKUP($Y61,$F$5:$I$29,25,FALSE),IF($Z61="短時間",HLOOKUP($Y61,$J$5:$M$27,23,FALSE)-SUM($F$10,$F$21:$F$24,$F$26)-HLOOKUP($Y61,$J$5:$M$27,16,FALSE)+HLOOKUP($Y61,$J$5:$M$29,25,FALSE),0))+IF(AA61="○",加算と減算!$AH$3,0)</f>
        <v>0</v>
      </c>
      <c r="AD61" s="85">
        <f t="shared" si="47"/>
        <v>0</v>
      </c>
      <c r="AE61" s="262">
        <f t="shared" si="48"/>
        <v>0</v>
      </c>
    </row>
    <row r="62" spans="2:43">
      <c r="C62" s="307"/>
      <c r="D62" s="1432"/>
      <c r="E62" s="320" t="s">
        <v>481</v>
      </c>
      <c r="F62" s="85" t="e">
        <f>F61*Q11</f>
        <v>#VALUE!</v>
      </c>
      <c r="G62" s="85" t="e">
        <f t="shared" ref="G62:M62" si="51">G61*R11</f>
        <v>#VALUE!</v>
      </c>
      <c r="H62" s="85" t="e">
        <f t="shared" si="51"/>
        <v>#VALUE!</v>
      </c>
      <c r="I62" s="85" t="e">
        <f t="shared" si="51"/>
        <v>#VALUE!</v>
      </c>
      <c r="J62" s="85" t="e">
        <f t="shared" si="51"/>
        <v>#VALUE!</v>
      </c>
      <c r="K62" s="85" t="e">
        <f t="shared" si="51"/>
        <v>#VALUE!</v>
      </c>
      <c r="L62" s="85" t="e">
        <f t="shared" si="51"/>
        <v>#VALUE!</v>
      </c>
      <c r="M62" s="85" t="e">
        <f t="shared" si="51"/>
        <v>#VALUE!</v>
      </c>
      <c r="O62" s="61" t="str">
        <f>IF(月途中入退所情報!$D12=$B$2,月途中入退所情報!F12,"-")</f>
        <v>-</v>
      </c>
      <c r="P62" s="61" t="str">
        <f>IF(月途中入退所情報!$D12=$B$2,月途中入退所情報!G12,"-")</f>
        <v>-</v>
      </c>
      <c r="Q62" s="61" t="str">
        <f>IF(月途中入退所情報!$D12=$B$2,月途中入退所情報!H12,"-")</f>
        <v>-</v>
      </c>
      <c r="R62" s="61" t="str">
        <f>IF(月途中入退所情報!$D12=$B$2,月途中入退所情報!I12,"-")</f>
        <v>-</v>
      </c>
      <c r="S62" s="61" t="str">
        <f>IF(月途中入退所情報!$D12=$B$2,月途中入退所情報!J12,"-")</f>
        <v>-</v>
      </c>
      <c r="T62" s="84">
        <f>IF($Q62="標準時間",HLOOKUP($P62,$F$5:$I$27,23,FALSE)-SUM($F$10,$F$21:$F$24,$F$26)-HLOOKUP($P62,$F$5:$I$27,16,FALSE)+HLOOKUP($P62,$F$5:$I$29,25,FALSE),IF($Q62="短時間",HLOOKUP($P62,$J$5:$M$27,23,FALSE)-SUM($F$10,$F$21:$F$24,$F$26)-HLOOKUP($P62,$J$5:$M$27,16,FALSE)+HLOOKUP($P62,$J$5:$M$29,25,FALSE),0))+IF(R62="○",加算と減算!$AH$3,0)</f>
        <v>0</v>
      </c>
      <c r="U62" s="85">
        <f t="shared" si="46"/>
        <v>0</v>
      </c>
      <c r="V62" s="262">
        <f t="shared" si="49"/>
        <v>0</v>
      </c>
      <c r="W62" s="262"/>
      <c r="X62" s="61" t="str">
        <f>IF(月途中入退所情報!$N12=$B$2,月途中入退所情報!$P12,"-")</f>
        <v>-</v>
      </c>
      <c r="Y62" s="61" t="str">
        <f>IF(月途中入退所情報!$N12=$B$2,月途中入退所情報!$Q12,"-")</f>
        <v>-</v>
      </c>
      <c r="Z62" s="61" t="str">
        <f>IF(月途中入退所情報!$N12=$B$2,月途中入退所情報!$R12,"-")</f>
        <v>-</v>
      </c>
      <c r="AA62" s="61" t="str">
        <f>IF(月途中入退所情報!$N12=$B$2,月途中入退所情報!$S12,"-")</f>
        <v>-</v>
      </c>
      <c r="AB62" s="61" t="str">
        <f>IF(月途中入退所情報!$N12=$B$2,月途中入退所情報!$T12,"-")</f>
        <v>-</v>
      </c>
      <c r="AC62" s="84">
        <f>IF($Z62="標準時間",HLOOKUP($Y62,$F$5:$I$27,23,FALSE)-SUM($F$10,$F$21:$F$24,$F$26)-HLOOKUP($Y62,$F$5:$I$27,16,FALSE)+HLOOKUP($Y62,$F$5:$I$29,25,FALSE),IF($Z62="短時間",HLOOKUP($Y62,$J$5:$M$27,23,FALSE)-SUM($F$10,$F$21:$F$24,$F$26)-HLOOKUP($Y62,$J$5:$M$27,16,FALSE)+HLOOKUP($Y62,$J$5:$M$29,25,FALSE),0))+IF(AA62="○",加算と減算!$AH$3,0)</f>
        <v>0</v>
      </c>
      <c r="AD62" s="85">
        <f t="shared" si="47"/>
        <v>0</v>
      </c>
      <c r="AE62" s="262">
        <f t="shared" si="48"/>
        <v>0</v>
      </c>
    </row>
    <row r="63" spans="2:43">
      <c r="C63" s="307"/>
      <c r="D63" s="317"/>
      <c r="E63" s="315"/>
      <c r="F63" s="316"/>
      <c r="G63" s="316"/>
      <c r="H63" s="316"/>
      <c r="I63" s="316"/>
      <c r="J63" s="316"/>
      <c r="K63" s="316"/>
      <c r="L63" s="316"/>
      <c r="M63" s="316"/>
      <c r="O63" s="61" t="str">
        <f>IF(月途中入退所情報!$D13=$B$2,月途中入退所情報!F13,"-")</f>
        <v>-</v>
      </c>
      <c r="P63" s="61" t="str">
        <f>IF(月途中入退所情報!$D13=$B$2,月途中入退所情報!G13,"-")</f>
        <v>-</v>
      </c>
      <c r="Q63" s="61" t="str">
        <f>IF(月途中入退所情報!$D13=$B$2,月途中入退所情報!H13,"-")</f>
        <v>-</v>
      </c>
      <c r="R63" s="61" t="str">
        <f>IF(月途中入退所情報!$D13=$B$2,月途中入退所情報!I13,"-")</f>
        <v>-</v>
      </c>
      <c r="S63" s="61" t="str">
        <f>IF(月途中入退所情報!$D13=$B$2,月途中入退所情報!J13,"-")</f>
        <v>-</v>
      </c>
      <c r="T63" s="84">
        <f>IF($Q63="標準時間",HLOOKUP($P63,$F$5:$I$27,23,FALSE)-SUM($F$10,$F$21:$F$24,$F$26)-HLOOKUP($P63,$F$5:$I$27,16,FALSE)+HLOOKUP($P63,$F$5:$I$29,25,FALSE),IF($Q63="短時間",HLOOKUP($P63,$J$5:$M$27,23,FALSE)-SUM($F$10,$F$21:$F$24,$F$26)-HLOOKUP($P63,$J$5:$M$27,16,FALSE)+HLOOKUP($P63,$J$5:$M$29,25,FALSE),0))+IF(R63="○",加算と減算!$AH$3,0)</f>
        <v>0</v>
      </c>
      <c r="U63" s="85">
        <f t="shared" si="46"/>
        <v>0</v>
      </c>
      <c r="V63" s="262">
        <f t="shared" si="49"/>
        <v>0</v>
      </c>
      <c r="W63" s="262"/>
      <c r="X63" s="61" t="str">
        <f>IF(月途中入退所情報!$N13=$B$2,月途中入退所情報!$P13,"-")</f>
        <v>-</v>
      </c>
      <c r="Y63" s="61" t="str">
        <f>IF(月途中入退所情報!$N13=$B$2,月途中入退所情報!$Q13,"-")</f>
        <v>-</v>
      </c>
      <c r="Z63" s="61" t="str">
        <f>IF(月途中入退所情報!$N13=$B$2,月途中入退所情報!$R13,"-")</f>
        <v>-</v>
      </c>
      <c r="AA63" s="61" t="str">
        <f>IF(月途中入退所情報!$N13=$B$2,月途中入退所情報!$S13,"-")</f>
        <v>-</v>
      </c>
      <c r="AB63" s="61" t="str">
        <f>IF(月途中入退所情報!$N13=$B$2,月途中入退所情報!$T13,"-")</f>
        <v>-</v>
      </c>
      <c r="AC63" s="84">
        <f>IF($Z63="標準時間",HLOOKUP($Y63,$F$5:$I$27,23,FALSE)-SUM($F$10,$F$21:$F$24,$F$26)-HLOOKUP($Y63,$F$5:$I$27,16,FALSE)+HLOOKUP($Y63,$F$5:$I$29,25,FALSE),IF($Z63="短時間",HLOOKUP($Y63,$J$5:$M$27,23,FALSE)-SUM($F$10,$F$21:$F$24,$F$26)-HLOOKUP($Y63,$J$5:$M$27,16,FALSE)+HLOOKUP($Y63,$J$5:$M$29,25,FALSE),0))+IF(AA63="○",加算と減算!$AH$3,0)</f>
        <v>0</v>
      </c>
      <c r="AD63" s="85">
        <f t="shared" si="47"/>
        <v>0</v>
      </c>
      <c r="AE63" s="262">
        <f t="shared" si="48"/>
        <v>0</v>
      </c>
    </row>
    <row r="64" spans="2:43">
      <c r="C64" s="307"/>
      <c r="D64" s="308"/>
      <c r="E64" s="309"/>
      <c r="F64" s="369" t="s">
        <v>6</v>
      </c>
      <c r="G64" s="369" t="s">
        <v>7</v>
      </c>
      <c r="H64" s="369" t="s">
        <v>8</v>
      </c>
      <c r="I64" s="369" t="s">
        <v>9</v>
      </c>
      <c r="J64" s="369" t="s">
        <v>6</v>
      </c>
      <c r="K64" s="369" t="s">
        <v>7</v>
      </c>
      <c r="L64" s="369" t="s">
        <v>8</v>
      </c>
      <c r="M64" s="369" t="s">
        <v>9</v>
      </c>
      <c r="O64" s="61" t="str">
        <f>IF(月途中入退所情報!$D14=$B$2,月途中入退所情報!F14,"-")</f>
        <v>-</v>
      </c>
      <c r="P64" s="61" t="str">
        <f>IF(月途中入退所情報!$D14=$B$2,月途中入退所情報!G14,"-")</f>
        <v>-</v>
      </c>
      <c r="Q64" s="61" t="str">
        <f>IF(月途中入退所情報!$D14=$B$2,月途中入退所情報!H14,"-")</f>
        <v>-</v>
      </c>
      <c r="R64" s="61" t="str">
        <f>IF(月途中入退所情報!$D14=$B$2,月途中入退所情報!I14,"-")</f>
        <v>-</v>
      </c>
      <c r="S64" s="61" t="str">
        <f>IF(月途中入退所情報!$D14=$B$2,月途中入退所情報!J14,"-")</f>
        <v>-</v>
      </c>
      <c r="T64" s="84">
        <f>IF($Q64="標準時間",HLOOKUP($P64,$F$5:$I$27,23,FALSE)-SUM($F$10,$F$21:$F$24,$F$26)-HLOOKUP($P64,$F$5:$I$27,16,FALSE)+HLOOKUP($P64,$F$5:$I$29,25,FALSE),IF($Q64="短時間",HLOOKUP($P64,$J$5:$M$27,23,FALSE)-SUM($F$10,$F$21:$F$24,$F$26)-HLOOKUP($P64,$J$5:$M$27,16,FALSE)+HLOOKUP($P64,$J$5:$M$29,25,FALSE),0))+IF(R64="○",加算と減算!$AH$3,0)</f>
        <v>0</v>
      </c>
      <c r="U64" s="85">
        <f t="shared" si="46"/>
        <v>0</v>
      </c>
      <c r="V64" s="262">
        <f t="shared" si="49"/>
        <v>0</v>
      </c>
      <c r="W64" s="262"/>
      <c r="X64" s="61" t="str">
        <f>IF(月途中入退所情報!$N14=$B$2,月途中入退所情報!$P14,"-")</f>
        <v>-</v>
      </c>
      <c r="Y64" s="61" t="str">
        <f>IF(月途中入退所情報!$N14=$B$2,月途中入退所情報!$Q14,"-")</f>
        <v>-</v>
      </c>
      <c r="Z64" s="61" t="str">
        <f>IF(月途中入退所情報!$N14=$B$2,月途中入退所情報!$R14,"-")</f>
        <v>-</v>
      </c>
      <c r="AA64" s="61" t="str">
        <f>IF(月途中入退所情報!$N14=$B$2,月途中入退所情報!$S14,"-")</f>
        <v>-</v>
      </c>
      <c r="AB64" s="61" t="str">
        <f>IF(月途中入退所情報!$N14=$B$2,月途中入退所情報!$T14,"-")</f>
        <v>-</v>
      </c>
      <c r="AC64" s="84">
        <f>IF($Z64="標準時間",HLOOKUP($Y64,$F$5:$I$27,23,FALSE)-SUM($F$10,$F$21:$F$24,$F$26)-HLOOKUP($Y64,$F$5:$I$27,16,FALSE)+HLOOKUP($Y64,$F$5:$I$29,25,FALSE),IF($Z64="短時間",HLOOKUP($Y64,$J$5:$M$27,23,FALSE)-SUM($F$10,$F$21:$F$24,$F$26)-HLOOKUP($Y64,$J$5:$M$27,16,FALSE)+HLOOKUP($Y64,$J$5:$M$29,25,FALSE),0))+IF(AA64="○",加算と減算!$AH$3,0)</f>
        <v>0</v>
      </c>
      <c r="AD64" s="85">
        <f t="shared" si="47"/>
        <v>0</v>
      </c>
      <c r="AE64" s="262">
        <f t="shared" si="48"/>
        <v>0</v>
      </c>
    </row>
    <row r="65" spans="3:31">
      <c r="C65" s="307"/>
      <c r="D65" s="1432" t="s">
        <v>483</v>
      </c>
      <c r="E65" s="320" t="s">
        <v>480</v>
      </c>
      <c r="F65" s="85">
        <f t="shared" ref="F65:M65" si="52">-ROUNDDOWN((F33+F35+F38)*$T$2%,-1)</f>
        <v>0</v>
      </c>
      <c r="G65" s="85">
        <f t="shared" si="52"/>
        <v>0</v>
      </c>
      <c r="H65" s="85">
        <f t="shared" si="52"/>
        <v>0</v>
      </c>
      <c r="I65" s="85">
        <f t="shared" si="52"/>
        <v>0</v>
      </c>
      <c r="J65" s="85">
        <f t="shared" si="52"/>
        <v>0</v>
      </c>
      <c r="K65" s="85">
        <f t="shared" si="52"/>
        <v>0</v>
      </c>
      <c r="L65" s="85">
        <f t="shared" si="52"/>
        <v>0</v>
      </c>
      <c r="M65" s="85">
        <f t="shared" si="52"/>
        <v>0</v>
      </c>
      <c r="O65" s="61" t="str">
        <f>IF(月途中入退所情報!$D15=$B$2,月途中入退所情報!F15,"-")</f>
        <v>-</v>
      </c>
      <c r="P65" s="61" t="str">
        <f>IF(月途中入退所情報!$D15=$B$2,月途中入退所情報!G15,"-")</f>
        <v>-</v>
      </c>
      <c r="Q65" s="61" t="str">
        <f>IF(月途中入退所情報!$D15=$B$2,月途中入退所情報!H15,"-")</f>
        <v>-</v>
      </c>
      <c r="R65" s="61" t="str">
        <f>IF(月途中入退所情報!$D15=$B$2,月途中入退所情報!I15,"-")</f>
        <v>-</v>
      </c>
      <c r="S65" s="61" t="str">
        <f>IF(月途中入退所情報!$D15=$B$2,月途中入退所情報!J15,"-")</f>
        <v>-</v>
      </c>
      <c r="T65" s="84">
        <f>IF($Q65="標準時間",HLOOKUP($P65,$F$5:$I$27,23,FALSE)-SUM($F$10,$F$21:$F$24,$F$26)-HLOOKUP($P65,$F$5:$I$27,16,FALSE)+HLOOKUP($P65,$F$5:$I$29,25,FALSE),IF($Q65="短時間",HLOOKUP($P65,$J$5:$M$27,23,FALSE)-SUM($F$10,$F$21:$F$24,$F$26)-HLOOKUP($P65,$J$5:$M$27,16,FALSE)+HLOOKUP($P65,$J$5:$M$29,25,FALSE),0))+IF(R65="○",加算と減算!$AH$3,0)</f>
        <v>0</v>
      </c>
      <c r="U65" s="85">
        <f t="shared" si="46"/>
        <v>0</v>
      </c>
      <c r="V65" s="262">
        <f t="shared" si="49"/>
        <v>0</v>
      </c>
      <c r="W65" s="262"/>
      <c r="X65" s="61" t="str">
        <f>IF(月途中入退所情報!$N15=$B$2,月途中入退所情報!$P15,"-")</f>
        <v>-</v>
      </c>
      <c r="Y65" s="61" t="str">
        <f>IF(月途中入退所情報!$N15=$B$2,月途中入退所情報!$Q15,"-")</f>
        <v>-</v>
      </c>
      <c r="Z65" s="61" t="str">
        <f>IF(月途中入退所情報!$N15=$B$2,月途中入退所情報!$R15,"-")</f>
        <v>-</v>
      </c>
      <c r="AA65" s="61" t="str">
        <f>IF(月途中入退所情報!$N15=$B$2,月途中入退所情報!$S15,"-")</f>
        <v>-</v>
      </c>
      <c r="AB65" s="61" t="str">
        <f>IF(月途中入退所情報!$N15=$B$2,月途中入退所情報!$T15,"-")</f>
        <v>-</v>
      </c>
      <c r="AC65" s="84">
        <f>IF($Z65="標準時間",HLOOKUP($Y65,$F$5:$I$27,23,FALSE)-SUM($F$10,$F$21:$F$24,$F$26)-HLOOKUP($Y65,$F$5:$I$27,16,FALSE)+HLOOKUP($Y65,$F$5:$I$29,25,FALSE),IF($Z65="短時間",HLOOKUP($Y65,$J$5:$M$27,23,FALSE)-SUM($F$10,$F$21:$F$24,$F$26)-HLOOKUP($Y65,$J$5:$M$27,16,FALSE)+HLOOKUP($Y65,$J$5:$M$29,25,FALSE),0))+IF(AA65="○",加算と減算!$AH$3,0)</f>
        <v>0</v>
      </c>
      <c r="AD65" s="85">
        <f t="shared" si="47"/>
        <v>0</v>
      </c>
      <c r="AE65" s="262">
        <f t="shared" si="48"/>
        <v>0</v>
      </c>
    </row>
    <row r="66" spans="3:31">
      <c r="C66" s="307"/>
      <c r="D66" s="1432"/>
      <c r="E66" s="320" t="s">
        <v>481</v>
      </c>
      <c r="F66" s="85">
        <f>F65*Q37</f>
        <v>0</v>
      </c>
      <c r="G66" s="85">
        <f t="shared" ref="G66:M66" si="53">G65*R37</f>
        <v>0</v>
      </c>
      <c r="H66" s="85">
        <f t="shared" si="53"/>
        <v>0</v>
      </c>
      <c r="I66" s="85">
        <f t="shared" si="53"/>
        <v>0</v>
      </c>
      <c r="J66" s="85">
        <f t="shared" si="53"/>
        <v>0</v>
      </c>
      <c r="K66" s="85">
        <f t="shared" si="53"/>
        <v>0</v>
      </c>
      <c r="L66" s="85">
        <f t="shared" si="53"/>
        <v>0</v>
      </c>
      <c r="M66" s="85">
        <f t="shared" si="53"/>
        <v>0</v>
      </c>
      <c r="O66" s="61" t="str">
        <f>IF(月途中入退所情報!$D16=$B$2,月途中入退所情報!F16,"-")</f>
        <v>-</v>
      </c>
      <c r="P66" s="61" t="str">
        <f>IF(月途中入退所情報!$D16=$B$2,月途中入退所情報!G16,"-")</f>
        <v>-</v>
      </c>
      <c r="Q66" s="61" t="str">
        <f>IF(月途中入退所情報!$D16=$B$2,月途中入退所情報!H16,"-")</f>
        <v>-</v>
      </c>
      <c r="R66" s="61" t="str">
        <f>IF(月途中入退所情報!$D16=$B$2,月途中入退所情報!I16,"-")</f>
        <v>-</v>
      </c>
      <c r="S66" s="61" t="str">
        <f>IF(月途中入退所情報!$D16=$B$2,月途中入退所情報!J16,"-")</f>
        <v>-</v>
      </c>
      <c r="T66" s="84">
        <f>IF($Q66="標準時間",HLOOKUP($P66,$F$5:$I$27,23,FALSE)-SUM($F$10,$F$21:$F$24,$F$26)-HLOOKUP($P66,$F$5:$I$27,16,FALSE)+HLOOKUP($P66,$F$5:$I$29,25,FALSE),IF($Q66="短時間",HLOOKUP($P66,$J$5:$M$27,23,FALSE)-SUM($F$10,$F$21:$F$24,$F$26)-HLOOKUP($P66,$J$5:$M$27,16,FALSE)+HLOOKUP($P66,$J$5:$M$29,25,FALSE),0))+IF(R66="○",加算と減算!$AH$3,0)</f>
        <v>0</v>
      </c>
      <c r="U66" s="85">
        <f t="shared" si="46"/>
        <v>0</v>
      </c>
      <c r="V66" s="262">
        <f t="shared" si="49"/>
        <v>0</v>
      </c>
      <c r="W66" s="262"/>
      <c r="X66" s="61" t="str">
        <f>IF(月途中入退所情報!$N16=$B$2,月途中入退所情報!$P16,"-")</f>
        <v>-</v>
      </c>
      <c r="Y66" s="61" t="str">
        <f>IF(月途中入退所情報!$N16=$B$2,月途中入退所情報!$Q16,"-")</f>
        <v>-</v>
      </c>
      <c r="Z66" s="61" t="str">
        <f>IF(月途中入退所情報!$N16=$B$2,月途中入退所情報!$R16,"-")</f>
        <v>-</v>
      </c>
      <c r="AA66" s="61" t="str">
        <f>IF(月途中入退所情報!$N16=$B$2,月途中入退所情報!$S16,"-")</f>
        <v>-</v>
      </c>
      <c r="AB66" s="61" t="str">
        <f>IF(月途中入退所情報!$N16=$B$2,月途中入退所情報!$T16,"-")</f>
        <v>-</v>
      </c>
      <c r="AC66" s="84">
        <f>IF($Z66="標準時間",HLOOKUP($Y66,$F$5:$I$27,23,FALSE)-SUM($F$10,$F$21:$F$24,$F$26)-HLOOKUP($Y66,$F$5:$I$27,16,FALSE)+HLOOKUP($Y66,$F$5:$I$29,25,FALSE),IF($Z66="短時間",HLOOKUP($Y66,$J$5:$M$27,23,FALSE)-SUM($F$10,$F$21:$F$24,$F$26)-HLOOKUP($Y66,$J$5:$M$27,16,FALSE)+HLOOKUP($Y66,$J$5:$M$29,25,FALSE),0))+IF(AA66="○",加算と減算!$AH$3,0)</f>
        <v>0</v>
      </c>
      <c r="AD66" s="85">
        <f t="shared" si="47"/>
        <v>0</v>
      </c>
      <c r="AE66" s="262">
        <f t="shared" si="48"/>
        <v>0</v>
      </c>
    </row>
    <row r="67" spans="3:31" ht="15.75" thickBot="1">
      <c r="C67" s="307"/>
      <c r="D67" s="317"/>
      <c r="E67" s="315"/>
      <c r="F67" s="316"/>
      <c r="G67" s="316"/>
      <c r="H67" s="316"/>
      <c r="I67" s="316"/>
      <c r="J67" s="316"/>
      <c r="K67" s="316"/>
      <c r="L67" s="316"/>
      <c r="M67" s="316"/>
      <c r="O67" s="61" t="str">
        <f>IF(月途中入退所情報!$D17=$B$2,月途中入退所情報!F17,"-")</f>
        <v>-</v>
      </c>
      <c r="P67" s="61" t="str">
        <f>IF(月途中入退所情報!$D17=$B$2,月途中入退所情報!G17,"-")</f>
        <v>-</v>
      </c>
      <c r="Q67" s="61" t="str">
        <f>IF(月途中入退所情報!$D17=$B$2,月途中入退所情報!H17,"-")</f>
        <v>-</v>
      </c>
      <c r="R67" s="61" t="str">
        <f>IF(月途中入退所情報!$D17=$B$2,月途中入退所情報!I17,"-")</f>
        <v>-</v>
      </c>
      <c r="S67" s="61" t="str">
        <f>IF(月途中入退所情報!$D17=$B$2,月途中入退所情報!J17,"-")</f>
        <v>-</v>
      </c>
      <c r="T67" s="84">
        <f>IF($Q67="標準時間",HLOOKUP($P67,$F$5:$I$27,23,FALSE)-SUM($F$10,$F$21:$F$24,$F$26)-HLOOKUP($P67,$F$5:$I$27,16,FALSE)+HLOOKUP($P67,$F$5:$I$29,25,FALSE),IF($Q67="短時間",HLOOKUP($P67,$J$5:$M$27,23,FALSE)-SUM($F$10,$F$21:$F$24,$F$26)-HLOOKUP($P67,$J$5:$M$27,16,FALSE)+HLOOKUP($P67,$J$5:$M$29,25,FALSE),0))+IF(R67="○",加算と減算!$AH$3,0)</f>
        <v>0</v>
      </c>
      <c r="U67" s="85">
        <f t="shared" si="46"/>
        <v>0</v>
      </c>
      <c r="V67" s="262">
        <f t="shared" si="49"/>
        <v>0</v>
      </c>
      <c r="W67" s="262"/>
      <c r="X67" s="61" t="str">
        <f>IF(月途中入退所情報!$N17=$B$2,月途中入退所情報!$P17,"-")</f>
        <v>-</v>
      </c>
      <c r="Y67" s="61" t="str">
        <f>IF(月途中入退所情報!$N17=$B$2,月途中入退所情報!$Q17,"-")</f>
        <v>-</v>
      </c>
      <c r="Z67" s="61" t="str">
        <f>IF(月途中入退所情報!$N17=$B$2,月途中入退所情報!$R17,"-")</f>
        <v>-</v>
      </c>
      <c r="AA67" s="61" t="str">
        <f>IF(月途中入退所情報!$N17=$B$2,月途中入退所情報!$S17,"-")</f>
        <v>-</v>
      </c>
      <c r="AB67" s="61" t="str">
        <f>IF(月途中入退所情報!$N17=$B$2,月途中入退所情報!$T17,"-")</f>
        <v>-</v>
      </c>
      <c r="AC67" s="84">
        <f>IF($Z67="標準時間",HLOOKUP($Y67,$F$5:$I$27,23,FALSE)-SUM($F$10,$F$21:$F$24,$F$26)-HLOOKUP($Y67,$F$5:$I$27,16,FALSE)+HLOOKUP($Y67,$F$5:$I$29,25,FALSE),IF($Z67="短時間",HLOOKUP($Y67,$J$5:$M$27,23,FALSE)-SUM($F$10,$F$21:$F$24,$F$26)-HLOOKUP($Y67,$J$5:$M$27,16,FALSE)+HLOOKUP($Y67,$J$5:$M$29,25,FALSE),0))+IF(AA67="○",加算と減算!$AH$3,0)</f>
        <v>0</v>
      </c>
      <c r="AD67" s="85">
        <f t="shared" si="47"/>
        <v>0</v>
      </c>
      <c r="AE67" s="262">
        <f t="shared" si="48"/>
        <v>0</v>
      </c>
    </row>
    <row r="68" spans="3:31" ht="15.75" thickBot="1">
      <c r="D68" s="1433" t="s">
        <v>484</v>
      </c>
      <c r="E68" s="1434"/>
      <c r="F68" s="321" t="e">
        <f>F62+F66</f>
        <v>#VALUE!</v>
      </c>
      <c r="G68" s="321" t="e">
        <f t="shared" ref="G68:M68" si="54">G62+G66</f>
        <v>#VALUE!</v>
      </c>
      <c r="H68" s="321" t="e">
        <f t="shared" si="54"/>
        <v>#VALUE!</v>
      </c>
      <c r="I68" s="321" t="e">
        <f t="shared" si="54"/>
        <v>#VALUE!</v>
      </c>
      <c r="J68" s="321" t="e">
        <f t="shared" si="54"/>
        <v>#VALUE!</v>
      </c>
      <c r="K68" s="321" t="e">
        <f t="shared" si="54"/>
        <v>#VALUE!</v>
      </c>
      <c r="L68" s="321" t="e">
        <f t="shared" si="54"/>
        <v>#VALUE!</v>
      </c>
      <c r="M68" s="322" t="e">
        <f t="shared" si="54"/>
        <v>#VALUE!</v>
      </c>
      <c r="O68" s="61" t="str">
        <f>IF(月途中入退所情報!$D18=$B$2,月途中入退所情報!F18,"-")</f>
        <v>-</v>
      </c>
      <c r="P68" s="61" t="str">
        <f>IF(月途中入退所情報!$D18=$B$2,月途中入退所情報!G18,"-")</f>
        <v>-</v>
      </c>
      <c r="Q68" s="61" t="str">
        <f>IF(月途中入退所情報!$D18=$B$2,月途中入退所情報!H18,"-")</f>
        <v>-</v>
      </c>
      <c r="R68" s="61" t="str">
        <f>IF(月途中入退所情報!$D18=$B$2,月途中入退所情報!I18,"-")</f>
        <v>-</v>
      </c>
      <c r="S68" s="61" t="str">
        <f>IF(月途中入退所情報!$D18=$B$2,月途中入退所情報!J18,"-")</f>
        <v>-</v>
      </c>
      <c r="T68" s="84">
        <f>IF($Q68="標準時間",HLOOKUP($P68,$F$5:$I$27,23,FALSE)-SUM($F$10,$F$21:$F$24,$F$26)-HLOOKUP($P68,$F$5:$I$27,16,FALSE)+HLOOKUP($P68,$F$5:$I$29,25,FALSE),IF($Q68="短時間",HLOOKUP($P68,$J$5:$M$27,23,FALSE)-SUM($F$10,$F$21:$F$24,$F$26)-HLOOKUP($P68,$J$5:$M$27,16,FALSE)+HLOOKUP($P68,$J$5:$M$29,25,FALSE),0))+IF(R68="○",加算と減算!$AH$3,0)</f>
        <v>0</v>
      </c>
      <c r="U68" s="85">
        <f t="shared" si="46"/>
        <v>0</v>
      </c>
      <c r="V68" s="262">
        <f t="shared" si="49"/>
        <v>0</v>
      </c>
      <c r="W68" s="262"/>
      <c r="X68" s="61" t="str">
        <f>IF(月途中入退所情報!$N18=$B$2,月途中入退所情報!$P18,"-")</f>
        <v>-</v>
      </c>
      <c r="Y68" s="61" t="str">
        <f>IF(月途中入退所情報!$N18=$B$2,月途中入退所情報!$Q18,"-")</f>
        <v>-</v>
      </c>
      <c r="Z68" s="61" t="str">
        <f>IF(月途中入退所情報!$N18=$B$2,月途中入退所情報!$R18,"-")</f>
        <v>-</v>
      </c>
      <c r="AA68" s="61" t="str">
        <f>IF(月途中入退所情報!$N18=$B$2,月途中入退所情報!$S18,"-")</f>
        <v>-</v>
      </c>
      <c r="AB68" s="61" t="str">
        <f>IF(月途中入退所情報!$N18=$B$2,月途中入退所情報!$T18,"-")</f>
        <v>-</v>
      </c>
      <c r="AC68" s="84">
        <f>IF($Z68="標準時間",HLOOKUP($Y68,$F$5:$I$27,23,FALSE)-SUM($F$10,$F$21:$F$24,$F$26)-HLOOKUP($Y68,$F$5:$I$27,16,FALSE)+HLOOKUP($Y68,$F$5:$I$29,25,FALSE),IF($Z68="短時間",HLOOKUP($Y68,$J$5:$M$27,23,FALSE)-SUM($F$10,$F$21:$F$24,$F$26)-HLOOKUP($Y68,$J$5:$M$27,16,FALSE)+HLOOKUP($Y68,$J$5:$M$29,25,FALSE),0))+IF(AA68="○",加算と減算!$AH$3,0)</f>
        <v>0</v>
      </c>
      <c r="AD68" s="85">
        <f t="shared" si="47"/>
        <v>0</v>
      </c>
      <c r="AE68" s="262">
        <f t="shared" si="48"/>
        <v>0</v>
      </c>
    </row>
    <row r="69" spans="3:31" ht="15.75" thickBot="1">
      <c r="D69" s="1435"/>
      <c r="E69" s="1436"/>
      <c r="F69" s="1437" t="e">
        <f>SUM(F68:M68)</f>
        <v>#VALUE!</v>
      </c>
      <c r="G69" s="1438"/>
      <c r="H69" s="1438"/>
      <c r="I69" s="1438"/>
      <c r="J69" s="1438"/>
      <c r="K69" s="1438"/>
      <c r="L69" s="1438"/>
      <c r="M69" s="1439"/>
      <c r="O69" s="61" t="str">
        <f>IF(月途中入退所情報!$D19=$B$2,月途中入退所情報!F19,"-")</f>
        <v>-</v>
      </c>
      <c r="P69" s="61" t="str">
        <f>IF(月途中入退所情報!$D19=$B$2,月途中入退所情報!G19,"-")</f>
        <v>-</v>
      </c>
      <c r="Q69" s="61" t="str">
        <f>IF(月途中入退所情報!$D19=$B$2,月途中入退所情報!H19,"-")</f>
        <v>-</v>
      </c>
      <c r="R69" s="61" t="str">
        <f>IF(月途中入退所情報!$D19=$B$2,月途中入退所情報!I19,"-")</f>
        <v>-</v>
      </c>
      <c r="S69" s="61" t="str">
        <f>IF(月途中入退所情報!$D19=$B$2,月途中入退所情報!J19,"-")</f>
        <v>-</v>
      </c>
      <c r="T69" s="84">
        <f>IF($Q69="標準時間",HLOOKUP($P69,$F$5:$I$27,23,FALSE)-SUM($F$10,$F$21:$F$24,$F$26)-HLOOKUP($P69,$F$5:$I$27,16,FALSE)+HLOOKUP($P69,$F$5:$I$29,25,FALSE),IF($Q69="短時間",HLOOKUP($P69,$J$5:$M$27,23,FALSE)-SUM($F$10,$F$21:$F$24,$F$26)-HLOOKUP($P69,$J$5:$M$27,16,FALSE)+HLOOKUP($P69,$J$5:$M$29,25,FALSE),0))+IF(R69="○",加算と減算!$AH$3,0)</f>
        <v>0</v>
      </c>
      <c r="U69" s="85">
        <f t="shared" si="46"/>
        <v>0</v>
      </c>
      <c r="V69" s="262">
        <f t="shared" si="49"/>
        <v>0</v>
      </c>
      <c r="W69" s="262"/>
      <c r="X69" s="61" t="str">
        <f>IF(月途中入退所情報!$N19=$B$2,月途中入退所情報!$P19,"-")</f>
        <v>-</v>
      </c>
      <c r="Y69" s="61" t="str">
        <f>IF(月途中入退所情報!$N19=$B$2,月途中入退所情報!$Q19,"-")</f>
        <v>-</v>
      </c>
      <c r="Z69" s="61" t="str">
        <f>IF(月途中入退所情報!$N19=$B$2,月途中入退所情報!$R19,"-")</f>
        <v>-</v>
      </c>
      <c r="AA69" s="61" t="str">
        <f>IF(月途中入退所情報!$N19=$B$2,月途中入退所情報!$S19,"-")</f>
        <v>-</v>
      </c>
      <c r="AB69" s="61" t="str">
        <f>IF(月途中入退所情報!$N19=$B$2,月途中入退所情報!$T19,"-")</f>
        <v>-</v>
      </c>
      <c r="AC69" s="84">
        <f>IF($Z69="標準時間",HLOOKUP($Y69,$F$5:$I$27,23,FALSE)-SUM($F$10,$F$21:$F$24,$F$26)-HLOOKUP($Y69,$F$5:$I$27,16,FALSE)+HLOOKUP($Y69,$F$5:$I$29,25,FALSE),IF($Z69="短時間",HLOOKUP($Y69,$J$5:$M$27,23,FALSE)-SUM($F$10,$F$21:$F$24,$F$26)-HLOOKUP($Y69,$J$5:$M$27,16,FALSE)+HLOOKUP($Y69,$J$5:$M$29,25,FALSE),0))+IF(AA69="○",加算と減算!$AH$3,0)</f>
        <v>0</v>
      </c>
      <c r="AD69" s="85">
        <f t="shared" si="47"/>
        <v>0</v>
      </c>
      <c r="AE69" s="262">
        <f t="shared" si="48"/>
        <v>0</v>
      </c>
    </row>
    <row r="70" spans="3:31">
      <c r="O70" s="61" t="str">
        <f>IF(月途中入退所情報!$D20=$B$2,月途中入退所情報!F20,"-")</f>
        <v>-</v>
      </c>
      <c r="P70" s="61" t="str">
        <f>IF(月途中入退所情報!$D20=$B$2,月途中入退所情報!G20,"-")</f>
        <v>-</v>
      </c>
      <c r="Q70" s="61" t="str">
        <f>IF(月途中入退所情報!$D20=$B$2,月途中入退所情報!H20,"-")</f>
        <v>-</v>
      </c>
      <c r="R70" s="61" t="str">
        <f>IF(月途中入退所情報!$D20=$B$2,月途中入退所情報!I20,"-")</f>
        <v>-</v>
      </c>
      <c r="S70" s="61" t="str">
        <f>IF(月途中入退所情報!$D20=$B$2,月途中入退所情報!J20,"-")</f>
        <v>-</v>
      </c>
      <c r="T70" s="84">
        <f>IF($Q70="標準時間",HLOOKUP($P70,$F$5:$I$27,23,FALSE)-SUM($F$10,$F$21:$F$24,$F$26)-HLOOKUP($P70,$F$5:$I$27,16,FALSE)+HLOOKUP($P70,$F$5:$I$29,25,FALSE),IF($Q70="短時間",HLOOKUP($P70,$J$5:$M$27,23,FALSE)-SUM($F$10,$F$21:$F$24,$F$26)-HLOOKUP($P70,$J$5:$M$27,16,FALSE)+HLOOKUP($P70,$J$5:$M$29,25,FALSE),0))+IF(R70="○",加算と減算!$AH$3,0)</f>
        <v>0</v>
      </c>
      <c r="U70" s="85">
        <f t="shared" si="46"/>
        <v>0</v>
      </c>
      <c r="V70" s="262">
        <f t="shared" si="49"/>
        <v>0</v>
      </c>
      <c r="W70" s="262"/>
      <c r="X70" s="61" t="str">
        <f>IF(月途中入退所情報!$N20=$B$2,月途中入退所情報!$P20,"-")</f>
        <v>-</v>
      </c>
      <c r="Y70" s="61" t="str">
        <f>IF(月途中入退所情報!$N20=$B$2,月途中入退所情報!$Q20,"-")</f>
        <v>-</v>
      </c>
      <c r="Z70" s="61" t="str">
        <f>IF(月途中入退所情報!$N20=$B$2,月途中入退所情報!$R20,"-")</f>
        <v>-</v>
      </c>
      <c r="AA70" s="61" t="str">
        <f>IF(月途中入退所情報!$N20=$B$2,月途中入退所情報!$S20,"-")</f>
        <v>-</v>
      </c>
      <c r="AB70" s="61" t="str">
        <f>IF(月途中入退所情報!$N20=$B$2,月途中入退所情報!$T20,"-")</f>
        <v>-</v>
      </c>
      <c r="AC70" s="84">
        <f>IF($Z70="標準時間",HLOOKUP($Y70,$F$5:$I$27,23,FALSE)-SUM($F$10,$F$21:$F$24,$F$26)-HLOOKUP($Y70,$F$5:$I$27,16,FALSE)+HLOOKUP($Y70,$F$5:$I$29,25,FALSE),IF($Z70="短時間",HLOOKUP($Y70,$J$5:$M$27,23,FALSE)-SUM($F$10,$F$21:$F$24,$F$26)-HLOOKUP($Y70,$J$5:$M$27,16,FALSE)+HLOOKUP($Y70,$J$5:$M$29,25,FALSE),0))+IF(AA70="○",加算と減算!$AH$3,0)</f>
        <v>0</v>
      </c>
      <c r="AD70" s="85">
        <f t="shared" si="47"/>
        <v>0</v>
      </c>
      <c r="AE70" s="262">
        <f t="shared" si="48"/>
        <v>0</v>
      </c>
    </row>
    <row r="71" spans="3:31">
      <c r="O71" s="61" t="str">
        <f>IF(月途中入退所情報!$D21=$B$2,月途中入退所情報!F21,"-")</f>
        <v>-</v>
      </c>
      <c r="P71" s="61" t="str">
        <f>IF(月途中入退所情報!$D21=$B$2,月途中入退所情報!G21,"-")</f>
        <v>-</v>
      </c>
      <c r="Q71" s="61" t="str">
        <f>IF(月途中入退所情報!$D21=$B$2,月途中入退所情報!H21,"-")</f>
        <v>-</v>
      </c>
      <c r="R71" s="61" t="str">
        <f>IF(月途中入退所情報!$D21=$B$2,月途中入退所情報!I21,"-")</f>
        <v>-</v>
      </c>
      <c r="S71" s="61" t="str">
        <f>IF(月途中入退所情報!$D21=$B$2,月途中入退所情報!J21,"-")</f>
        <v>-</v>
      </c>
      <c r="T71" s="84">
        <f>IF($Q71="標準時間",HLOOKUP($P71,$F$5:$I$27,23,FALSE)-SUM($F$10,$F$21:$F$24,$F$26)-HLOOKUP($P71,$F$5:$I$27,16,FALSE)+HLOOKUP($P71,$F$5:$I$29,25,FALSE),IF($Q71="短時間",HLOOKUP($P71,$J$5:$M$27,23,FALSE)-SUM($F$10,$F$21:$F$24,$F$26)-HLOOKUP($P71,$J$5:$M$27,16,FALSE)+HLOOKUP($P71,$J$5:$M$29,25,FALSE),0))+IF(R71="○",加算と減算!$AH$3,0)</f>
        <v>0</v>
      </c>
      <c r="U71" s="85">
        <f t="shared" si="46"/>
        <v>0</v>
      </c>
      <c r="V71" s="262">
        <f t="shared" si="49"/>
        <v>0</v>
      </c>
      <c r="W71" s="262"/>
      <c r="X71" s="61" t="str">
        <f>IF(月途中入退所情報!$N21=$B$2,月途中入退所情報!$P21,"-")</f>
        <v>-</v>
      </c>
      <c r="Y71" s="61" t="str">
        <f>IF(月途中入退所情報!$N21=$B$2,月途中入退所情報!$Q21,"-")</f>
        <v>-</v>
      </c>
      <c r="Z71" s="61" t="str">
        <f>IF(月途中入退所情報!$N21=$B$2,月途中入退所情報!$R21,"-")</f>
        <v>-</v>
      </c>
      <c r="AA71" s="61" t="str">
        <f>IF(月途中入退所情報!$N21=$B$2,月途中入退所情報!$S21,"-")</f>
        <v>-</v>
      </c>
      <c r="AB71" s="61" t="str">
        <f>IF(月途中入退所情報!$N21=$B$2,月途中入退所情報!$T21,"-")</f>
        <v>-</v>
      </c>
      <c r="AC71" s="84">
        <f>IF($Z71="標準時間",HLOOKUP($Y71,$F$5:$I$27,23,FALSE)-SUM($F$10,$F$21:$F$24,$F$26)-HLOOKUP($Y71,$F$5:$I$27,16,FALSE)+HLOOKUP($Y71,$F$5:$I$29,25,FALSE),IF($Z71="短時間",HLOOKUP($Y71,$J$5:$M$27,23,FALSE)-SUM($F$10,$F$21:$F$24,$F$26)-HLOOKUP($Y71,$J$5:$M$27,16,FALSE)+HLOOKUP($Y71,$J$5:$M$29,25,FALSE),0))+IF(AA71="○",加算と減算!$AH$3,0)</f>
        <v>0</v>
      </c>
      <c r="AD71" s="85">
        <f t="shared" si="47"/>
        <v>0</v>
      </c>
      <c r="AE71" s="262">
        <f t="shared" si="48"/>
        <v>0</v>
      </c>
    </row>
    <row r="72" spans="3:31">
      <c r="O72" s="61" t="str">
        <f>IF(月途中入退所情報!$D22=$B$2,月途中入退所情報!F22,"-")</f>
        <v>-</v>
      </c>
      <c r="P72" s="61" t="str">
        <f>IF(月途中入退所情報!$D22=$B$2,月途中入退所情報!G22,"-")</f>
        <v>-</v>
      </c>
      <c r="Q72" s="61" t="str">
        <f>IF(月途中入退所情報!$D22=$B$2,月途中入退所情報!H22,"-")</f>
        <v>-</v>
      </c>
      <c r="R72" s="61" t="str">
        <f>IF(月途中入退所情報!$D22=$B$2,月途中入退所情報!I22,"-")</f>
        <v>-</v>
      </c>
      <c r="S72" s="61" t="str">
        <f>IF(月途中入退所情報!$D22=$B$2,月途中入退所情報!J22,"-")</f>
        <v>-</v>
      </c>
      <c r="T72" s="84">
        <f>IF($Q72="標準時間",HLOOKUP($P72,$F$5:$I$27,23,FALSE)-SUM($F$10,$F$21:$F$24,$F$26)-HLOOKUP($P72,$F$5:$I$27,16,FALSE)+HLOOKUP($P72,$F$5:$I$29,25,FALSE),IF($Q72="短時間",HLOOKUP($P72,$J$5:$M$27,23,FALSE)-SUM($F$10,$F$21:$F$24,$F$26)-HLOOKUP($P72,$J$5:$M$27,16,FALSE)+HLOOKUP($P72,$J$5:$M$29,25,FALSE),0))+IF(R72="○",加算と減算!$AH$3,0)</f>
        <v>0</v>
      </c>
      <c r="U72" s="85">
        <f t="shared" si="46"/>
        <v>0</v>
      </c>
      <c r="V72" s="262">
        <f t="shared" si="49"/>
        <v>0</v>
      </c>
      <c r="W72" s="262"/>
      <c r="X72" s="61" t="str">
        <f>IF(月途中入退所情報!$N22=$B$2,月途中入退所情報!$P22,"-")</f>
        <v>-</v>
      </c>
      <c r="Y72" s="61" t="str">
        <f>IF(月途中入退所情報!$N22=$B$2,月途中入退所情報!$Q22,"-")</f>
        <v>-</v>
      </c>
      <c r="Z72" s="61" t="str">
        <f>IF(月途中入退所情報!$N22=$B$2,月途中入退所情報!$R22,"-")</f>
        <v>-</v>
      </c>
      <c r="AA72" s="61" t="str">
        <f>IF(月途中入退所情報!$N22=$B$2,月途中入退所情報!$S22,"-")</f>
        <v>-</v>
      </c>
      <c r="AB72" s="61" t="str">
        <f>IF(月途中入退所情報!$N22=$B$2,月途中入退所情報!$T22,"-")</f>
        <v>-</v>
      </c>
      <c r="AC72" s="84">
        <f>IF($Z72="標準時間",HLOOKUP($Y72,$F$5:$I$27,23,FALSE)-SUM($F$10,$F$21:$F$24,$F$26)-HLOOKUP($Y72,$F$5:$I$27,16,FALSE)+HLOOKUP($Y72,$F$5:$I$29,25,FALSE),IF($Z72="短時間",HLOOKUP($Y72,$J$5:$M$27,23,FALSE)-SUM($F$10,$F$21:$F$24,$F$26)-HLOOKUP($Y72,$J$5:$M$27,16,FALSE)+HLOOKUP($Y72,$J$5:$M$29,25,FALSE),0))+IF(AA72="○",加算と減算!$AH$3,0)</f>
        <v>0</v>
      </c>
      <c r="AD72" s="85">
        <f t="shared" si="47"/>
        <v>0</v>
      </c>
      <c r="AE72" s="262">
        <f t="shared" si="48"/>
        <v>0</v>
      </c>
    </row>
    <row r="73" spans="3:31">
      <c r="O73" s="61" t="str">
        <f>IF(月途中入退所情報!$D23=$B$2,月途中入退所情報!F23,"-")</f>
        <v>-</v>
      </c>
      <c r="P73" s="61" t="str">
        <f>IF(月途中入退所情報!$D23=$B$2,月途中入退所情報!G23,"-")</f>
        <v>-</v>
      </c>
      <c r="Q73" s="61" t="str">
        <f>IF(月途中入退所情報!$D23=$B$2,月途中入退所情報!H23,"-")</f>
        <v>-</v>
      </c>
      <c r="R73" s="61" t="str">
        <f>IF(月途中入退所情報!$D23=$B$2,月途中入退所情報!I23,"-")</f>
        <v>-</v>
      </c>
      <c r="S73" s="61" t="str">
        <f>IF(月途中入退所情報!$D23=$B$2,月途中入退所情報!J23,"-")</f>
        <v>-</v>
      </c>
      <c r="T73" s="84">
        <f>IF($Q73="標準時間",HLOOKUP($P73,$F$5:$I$27,23,FALSE)-SUM($F$10,$F$21:$F$24,$F$26)-HLOOKUP($P73,$F$5:$I$27,16,FALSE)+HLOOKUP($P73,$F$5:$I$29,25,FALSE),IF($Q73="短時間",HLOOKUP($P73,$J$5:$M$27,23,FALSE)-SUM($F$10,$F$21:$F$24,$F$26)-HLOOKUP($P73,$J$5:$M$27,16,FALSE)+HLOOKUP($P73,$J$5:$M$29,25,FALSE),0))+IF(R73="○",加算と減算!$AH$3,0)</f>
        <v>0</v>
      </c>
      <c r="U73" s="85">
        <f t="shared" si="46"/>
        <v>0</v>
      </c>
      <c r="V73" s="262">
        <f t="shared" si="49"/>
        <v>0</v>
      </c>
      <c r="W73" s="262"/>
      <c r="X73" s="61" t="str">
        <f>IF(月途中入退所情報!$N23=$B$2,月途中入退所情報!$P23,"-")</f>
        <v>-</v>
      </c>
      <c r="Y73" s="61" t="str">
        <f>IF(月途中入退所情報!$N23=$B$2,月途中入退所情報!$Q23,"-")</f>
        <v>-</v>
      </c>
      <c r="Z73" s="61" t="str">
        <f>IF(月途中入退所情報!$N23=$B$2,月途中入退所情報!$R23,"-")</f>
        <v>-</v>
      </c>
      <c r="AA73" s="61" t="str">
        <f>IF(月途中入退所情報!$N23=$B$2,月途中入退所情報!$S23,"-")</f>
        <v>-</v>
      </c>
      <c r="AB73" s="61" t="str">
        <f>IF(月途中入退所情報!$N23=$B$2,月途中入退所情報!$T23,"-")</f>
        <v>-</v>
      </c>
      <c r="AC73" s="84">
        <f>IF($Z73="標準時間",HLOOKUP($Y73,$F$5:$I$27,23,FALSE)-SUM($F$10,$F$21:$F$24,$F$26)-HLOOKUP($Y73,$F$5:$I$27,16,FALSE)+HLOOKUP($Y73,$F$5:$I$29,25,FALSE),IF($Z73="短時間",HLOOKUP($Y73,$J$5:$M$27,23,FALSE)-SUM($F$10,$F$21:$F$24,$F$26)-HLOOKUP($Y73,$J$5:$M$27,16,FALSE)+HLOOKUP($Y73,$J$5:$M$29,25,FALSE),0))+IF(AA73="○",加算と減算!$AH$3,0)</f>
        <v>0</v>
      </c>
      <c r="AD73" s="85">
        <f t="shared" si="47"/>
        <v>0</v>
      </c>
      <c r="AE73" s="262">
        <f t="shared" si="48"/>
        <v>0</v>
      </c>
    </row>
    <row r="74" spans="3:31">
      <c r="O74" s="61" t="str">
        <f>IF(月途中入退所情報!$D24=$B$2,月途中入退所情報!F24,"-")</f>
        <v>-</v>
      </c>
      <c r="P74" s="61" t="str">
        <f>IF(月途中入退所情報!$D24=$B$2,月途中入退所情報!G24,"-")</f>
        <v>-</v>
      </c>
      <c r="Q74" s="61" t="str">
        <f>IF(月途中入退所情報!$D24=$B$2,月途中入退所情報!H24,"-")</f>
        <v>-</v>
      </c>
      <c r="R74" s="61" t="str">
        <f>IF(月途中入退所情報!$D24=$B$2,月途中入退所情報!I24,"-")</f>
        <v>-</v>
      </c>
      <c r="S74" s="61" t="str">
        <f>IF(月途中入退所情報!$D24=$B$2,月途中入退所情報!J24,"-")</f>
        <v>-</v>
      </c>
      <c r="T74" s="84">
        <f>IF($Q74="標準時間",HLOOKUP($P74,$F$5:$I$27,23,FALSE)-SUM($F$10,$F$21:$F$24,$F$26)-HLOOKUP($P74,$F$5:$I$27,16,FALSE)+HLOOKUP($P74,$F$5:$I$29,25,FALSE),IF($Q74="短時間",HLOOKUP($P74,$J$5:$M$27,23,FALSE)-SUM($F$10,$F$21:$F$24,$F$26)-HLOOKUP($P74,$J$5:$M$27,16,FALSE)+HLOOKUP($P74,$J$5:$M$29,25,FALSE),0))+IF(R74="○",加算と減算!$AH$3,0)</f>
        <v>0</v>
      </c>
      <c r="U74" s="85">
        <f t="shared" si="46"/>
        <v>0</v>
      </c>
      <c r="V74" s="262">
        <f t="shared" si="49"/>
        <v>0</v>
      </c>
      <c r="W74" s="262"/>
      <c r="X74" s="61" t="str">
        <f>IF(月途中入退所情報!$N24=$B$2,月途中入退所情報!$P24,"-")</f>
        <v>-</v>
      </c>
      <c r="Y74" s="61" t="str">
        <f>IF(月途中入退所情報!$N24=$B$2,月途中入退所情報!$Q24,"-")</f>
        <v>-</v>
      </c>
      <c r="Z74" s="61" t="str">
        <f>IF(月途中入退所情報!$N24=$B$2,月途中入退所情報!$R24,"-")</f>
        <v>-</v>
      </c>
      <c r="AA74" s="61" t="str">
        <f>IF(月途中入退所情報!$N24=$B$2,月途中入退所情報!$S24,"-")</f>
        <v>-</v>
      </c>
      <c r="AB74" s="61" t="str">
        <f>IF(月途中入退所情報!$N24=$B$2,月途中入退所情報!$T24,"-")</f>
        <v>-</v>
      </c>
      <c r="AC74" s="84">
        <f>IF($Z74="標準時間",HLOOKUP($Y74,$F$5:$I$27,23,FALSE)-SUM($F$10,$F$21:$F$24,$F$26)-HLOOKUP($Y74,$F$5:$I$27,16,FALSE)+HLOOKUP($Y74,$F$5:$I$29,25,FALSE),IF($Z74="短時間",HLOOKUP($Y74,$J$5:$M$27,23,FALSE)-SUM($F$10,$F$21:$F$24,$F$26)-HLOOKUP($Y74,$J$5:$M$27,16,FALSE)+HLOOKUP($Y74,$J$5:$M$29,25,FALSE),0))+IF(AA74="○",加算と減算!$AH$3,0)</f>
        <v>0</v>
      </c>
      <c r="AD74" s="85">
        <f t="shared" si="47"/>
        <v>0</v>
      </c>
      <c r="AE74" s="262">
        <f t="shared" si="48"/>
        <v>0</v>
      </c>
    </row>
    <row r="75" spans="3:31">
      <c r="O75" s="61" t="str">
        <f>IF(月途中入退所情報!$D25=$B$2,月途中入退所情報!F25,"-")</f>
        <v>-</v>
      </c>
      <c r="P75" s="61" t="str">
        <f>IF(月途中入退所情報!$D25=$B$2,月途中入退所情報!G25,"-")</f>
        <v>-</v>
      </c>
      <c r="Q75" s="61" t="str">
        <f>IF(月途中入退所情報!$D25=$B$2,月途中入退所情報!H25,"-")</f>
        <v>-</v>
      </c>
      <c r="R75" s="61" t="str">
        <f>IF(月途中入退所情報!$D25=$B$2,月途中入退所情報!I25,"-")</f>
        <v>-</v>
      </c>
      <c r="S75" s="61" t="str">
        <f>IF(月途中入退所情報!$D25=$B$2,月途中入退所情報!J25,"-")</f>
        <v>-</v>
      </c>
      <c r="T75" s="84">
        <f>IF($Q75="標準時間",HLOOKUP($P75,$F$5:$I$27,23,FALSE)-SUM($F$10,$F$21:$F$24,$F$26)-HLOOKUP($P75,$F$5:$I$27,16,FALSE)+HLOOKUP($P75,$F$5:$I$29,25,FALSE),IF($Q75="短時間",HLOOKUP($P75,$J$5:$M$27,23,FALSE)-SUM($F$10,$F$21:$F$24,$F$26)-HLOOKUP($P75,$J$5:$M$27,16,FALSE)+HLOOKUP($P75,$J$5:$M$29,25,FALSE),0))+IF(R75="○",加算と減算!$AH$3,0)</f>
        <v>0</v>
      </c>
      <c r="U75" s="85">
        <f t="shared" si="46"/>
        <v>0</v>
      </c>
      <c r="V75" s="262">
        <f t="shared" si="49"/>
        <v>0</v>
      </c>
      <c r="W75" s="262"/>
      <c r="X75" s="61" t="str">
        <f>IF(月途中入退所情報!$N25=$B$2,月途中入退所情報!$P25,"-")</f>
        <v>-</v>
      </c>
      <c r="Y75" s="61" t="str">
        <f>IF(月途中入退所情報!$N25=$B$2,月途中入退所情報!$Q25,"-")</f>
        <v>-</v>
      </c>
      <c r="Z75" s="61" t="str">
        <f>IF(月途中入退所情報!$N25=$B$2,月途中入退所情報!$R25,"-")</f>
        <v>-</v>
      </c>
      <c r="AA75" s="61" t="str">
        <f>IF(月途中入退所情報!$N25=$B$2,月途中入退所情報!$S25,"-")</f>
        <v>-</v>
      </c>
      <c r="AB75" s="61" t="str">
        <f>IF(月途中入退所情報!$N25=$B$2,月途中入退所情報!$T25,"-")</f>
        <v>-</v>
      </c>
      <c r="AC75" s="84">
        <f>IF($Z75="標準時間",HLOOKUP($Y75,$F$5:$I$27,23,FALSE)-SUM($F$10,$F$21:$F$24,$F$26)-HLOOKUP($Y75,$F$5:$I$27,16,FALSE)+HLOOKUP($Y75,$F$5:$I$29,25,FALSE),IF($Z75="短時間",HLOOKUP($Y75,$J$5:$M$27,23,FALSE)-SUM($F$10,$F$21:$F$24,$F$26)-HLOOKUP($Y75,$J$5:$M$27,16,FALSE)+HLOOKUP($Y75,$J$5:$M$29,25,FALSE),0))+IF(AA75="○",加算と減算!$AH$3,0)</f>
        <v>0</v>
      </c>
      <c r="AD75" s="85">
        <f t="shared" si="47"/>
        <v>0</v>
      </c>
      <c r="AE75" s="262">
        <f t="shared" si="48"/>
        <v>0</v>
      </c>
    </row>
    <row r="76" spans="3:31">
      <c r="O76" s="61" t="str">
        <f>IF(月途中入退所情報!$D26=$B$2,月途中入退所情報!F26,"-")</f>
        <v>-</v>
      </c>
      <c r="P76" s="61" t="str">
        <f>IF(月途中入退所情報!$D26=$B$2,月途中入退所情報!G26,"-")</f>
        <v>-</v>
      </c>
      <c r="Q76" s="61" t="str">
        <f>IF(月途中入退所情報!$D26=$B$2,月途中入退所情報!H26,"-")</f>
        <v>-</v>
      </c>
      <c r="R76" s="61" t="str">
        <f>IF(月途中入退所情報!$D26=$B$2,月途中入退所情報!I26,"-")</f>
        <v>-</v>
      </c>
      <c r="S76" s="61" t="str">
        <f>IF(月途中入退所情報!$D26=$B$2,月途中入退所情報!J26,"-")</f>
        <v>-</v>
      </c>
      <c r="T76" s="84">
        <f>IF($Q76="標準時間",HLOOKUP($P76,$F$5:$I$27,23,FALSE)-SUM($F$10,$F$21:$F$24,$F$26)-HLOOKUP($P76,$F$5:$I$27,16,FALSE)+HLOOKUP($P76,$F$5:$I$29,25,FALSE),IF($Q76="短時間",HLOOKUP($P76,$J$5:$M$27,23,FALSE)-SUM($F$10,$F$21:$F$24,$F$26)-HLOOKUP($P76,$J$5:$M$27,16,FALSE)+HLOOKUP($P76,$J$5:$M$29,25,FALSE),0))+IF(R76="○",加算と減算!$AH$3,0)</f>
        <v>0</v>
      </c>
      <c r="U76" s="85">
        <f t="shared" si="46"/>
        <v>0</v>
      </c>
      <c r="V76" s="262">
        <f t="shared" si="49"/>
        <v>0</v>
      </c>
      <c r="W76" s="262"/>
      <c r="X76" s="61" t="str">
        <f>IF(月途中入退所情報!$N26=$B$2,月途中入退所情報!$P26,"-")</f>
        <v>-</v>
      </c>
      <c r="Y76" s="61" t="str">
        <f>IF(月途中入退所情報!$N26=$B$2,月途中入退所情報!$Q26,"-")</f>
        <v>-</v>
      </c>
      <c r="Z76" s="61" t="str">
        <f>IF(月途中入退所情報!$N26=$B$2,月途中入退所情報!$R26,"-")</f>
        <v>-</v>
      </c>
      <c r="AA76" s="61" t="str">
        <f>IF(月途中入退所情報!$N26=$B$2,月途中入退所情報!$S26,"-")</f>
        <v>-</v>
      </c>
      <c r="AB76" s="61" t="str">
        <f>IF(月途中入退所情報!$N26=$B$2,月途中入退所情報!$T26,"-")</f>
        <v>-</v>
      </c>
      <c r="AC76" s="84">
        <f>IF($Z76="標準時間",HLOOKUP($Y76,$F$5:$I$27,23,FALSE)-SUM($F$10,$F$21:$F$24,$F$26)-HLOOKUP($Y76,$F$5:$I$27,16,FALSE)+HLOOKUP($Y76,$F$5:$I$29,25,FALSE),IF($Z76="短時間",HLOOKUP($Y76,$J$5:$M$27,23,FALSE)-SUM($F$10,$F$21:$F$24,$F$26)-HLOOKUP($Y76,$J$5:$M$27,16,FALSE)+HLOOKUP($Y76,$J$5:$M$29,25,FALSE),0))+IF(AA76="○",加算と減算!$AH$3,0)</f>
        <v>0</v>
      </c>
      <c r="AD76" s="85">
        <f t="shared" si="47"/>
        <v>0</v>
      </c>
      <c r="AE76" s="262">
        <f t="shared" si="48"/>
        <v>0</v>
      </c>
    </row>
    <row r="77" spans="3:31">
      <c r="O77" s="61" t="str">
        <f>IF(月途中入退所情報!$D27=$B$2,月途中入退所情報!F27,"-")</f>
        <v>-</v>
      </c>
      <c r="P77" s="61" t="str">
        <f>IF(月途中入退所情報!$D27=$B$2,月途中入退所情報!G27,"-")</f>
        <v>-</v>
      </c>
      <c r="Q77" s="61" t="str">
        <f>IF(月途中入退所情報!$D27=$B$2,月途中入退所情報!H27,"-")</f>
        <v>-</v>
      </c>
      <c r="R77" s="61" t="str">
        <f>IF(月途中入退所情報!$D27=$B$2,月途中入退所情報!I27,"-")</f>
        <v>-</v>
      </c>
      <c r="S77" s="61" t="str">
        <f>IF(月途中入退所情報!$D27=$B$2,月途中入退所情報!J27,"-")</f>
        <v>-</v>
      </c>
      <c r="T77" s="84">
        <f>IF($Q77="標準時間",HLOOKUP($P77,$F$5:$I$27,23,FALSE)-SUM($F$10,$F$21:$F$24,$F$26)-HLOOKUP($P77,$F$5:$I$27,16,FALSE)+HLOOKUP($P77,$F$5:$I$29,25,FALSE),IF($Q77="短時間",HLOOKUP($P77,$J$5:$M$27,23,FALSE)-SUM($F$10,$F$21:$F$24,$F$26)-HLOOKUP($P77,$J$5:$M$27,16,FALSE)+HLOOKUP($P77,$J$5:$M$29,25,FALSE),0))+IF(R77="○",加算と減算!$AH$3,0)</f>
        <v>0</v>
      </c>
      <c r="U77" s="85">
        <f t="shared" si="46"/>
        <v>0</v>
      </c>
      <c r="V77" s="262">
        <f t="shared" si="49"/>
        <v>0</v>
      </c>
      <c r="W77" s="262"/>
      <c r="X77" s="61" t="str">
        <f>IF(月途中入退所情報!$N27=$B$2,月途中入退所情報!$P27,"-")</f>
        <v>-</v>
      </c>
      <c r="Y77" s="61" t="str">
        <f>IF(月途中入退所情報!$N27=$B$2,月途中入退所情報!$Q27,"-")</f>
        <v>-</v>
      </c>
      <c r="Z77" s="61" t="str">
        <f>IF(月途中入退所情報!$N27=$B$2,月途中入退所情報!$R27,"-")</f>
        <v>-</v>
      </c>
      <c r="AA77" s="61" t="str">
        <f>IF(月途中入退所情報!$N27=$B$2,月途中入退所情報!$S27,"-")</f>
        <v>-</v>
      </c>
      <c r="AB77" s="61" t="str">
        <f>IF(月途中入退所情報!$N27=$B$2,月途中入退所情報!$T27,"-")</f>
        <v>-</v>
      </c>
      <c r="AC77" s="84">
        <f>IF($Z77="標準時間",HLOOKUP($Y77,$F$5:$I$27,23,FALSE)-SUM($F$10,$F$21:$F$24,$F$26)-HLOOKUP($Y77,$F$5:$I$27,16,FALSE)+HLOOKUP($Y77,$F$5:$I$29,25,FALSE),IF($Z77="短時間",HLOOKUP($Y77,$J$5:$M$27,23,FALSE)-SUM($F$10,$F$21:$F$24,$F$26)-HLOOKUP($Y77,$J$5:$M$27,16,FALSE)+HLOOKUP($Y77,$J$5:$M$29,25,FALSE),0))+IF(AA77="○",加算と減算!$AH$3,0)</f>
        <v>0</v>
      </c>
      <c r="AD77" s="85">
        <f t="shared" si="47"/>
        <v>0</v>
      </c>
      <c r="AE77" s="262">
        <f t="shared" si="48"/>
        <v>0</v>
      </c>
    </row>
    <row r="78" spans="3:31">
      <c r="T78" s="86" t="s">
        <v>36</v>
      </c>
      <c r="U78" s="85">
        <f>SUM(U58:U77)</f>
        <v>0</v>
      </c>
      <c r="V78" s="262">
        <f>SUM(V58:V77)</f>
        <v>0</v>
      </c>
      <c r="W78" s="262"/>
      <c r="AC78" s="86" t="s">
        <v>36</v>
      </c>
      <c r="AD78" s="85">
        <f>SUM(AD58:AD77)</f>
        <v>0</v>
      </c>
      <c r="AE78" s="264">
        <f>SUM(AE58:AE77)</f>
        <v>0</v>
      </c>
    </row>
    <row r="79" spans="3:31">
      <c r="O79" s="1430" t="s">
        <v>430</v>
      </c>
      <c r="P79" s="1430"/>
      <c r="X79" s="385" t="s">
        <v>431</v>
      </c>
      <c r="Y79" s="385"/>
    </row>
    <row r="80" spans="3:31">
      <c r="O80" s="83" t="s">
        <v>429</v>
      </c>
      <c r="P80" s="83" t="s">
        <v>206</v>
      </c>
      <c r="Q80" s="83" t="s">
        <v>207</v>
      </c>
      <c r="R80" s="83" t="s">
        <v>448</v>
      </c>
      <c r="S80" s="83" t="s">
        <v>214</v>
      </c>
      <c r="T80" s="83" t="s">
        <v>215</v>
      </c>
      <c r="U80" s="83" t="s">
        <v>216</v>
      </c>
      <c r="V80" s="282" t="s">
        <v>455</v>
      </c>
      <c r="W80" s="261"/>
      <c r="X80" s="83" t="s">
        <v>429</v>
      </c>
      <c r="Y80" s="83" t="s">
        <v>206</v>
      </c>
      <c r="Z80" s="83" t="s">
        <v>207</v>
      </c>
      <c r="AA80" s="83" t="s">
        <v>448</v>
      </c>
      <c r="AB80" s="83" t="s">
        <v>218</v>
      </c>
      <c r="AC80" s="83" t="s">
        <v>215</v>
      </c>
      <c r="AD80" s="280" t="s">
        <v>453</v>
      </c>
      <c r="AE80" s="282" t="s">
        <v>455</v>
      </c>
    </row>
    <row r="81" spans="15:31">
      <c r="O81" s="61" t="str">
        <f>IF(月途中入退所情報!$D31=$B$2,月途中入退所情報!F31,"-")</f>
        <v>-</v>
      </c>
      <c r="P81" s="61" t="str">
        <f>IF(月途中入退所情報!$D31=$B$2,月途中入退所情報!G31,"-")</f>
        <v>-</v>
      </c>
      <c r="Q81" s="61" t="str">
        <f>IF(月途中入退所情報!$D31=$B$2,月途中入退所情報!H31,"-")</f>
        <v>-</v>
      </c>
      <c r="R81" s="61" t="str">
        <f>IF(月途中入退所情報!$D31=$B$2,月途中入退所情報!I31,"-")</f>
        <v>-</v>
      </c>
      <c r="S81" s="61" t="str">
        <f>IF(月途中入退所情報!$D31=$B$2,月途中入退所情報!J31,"-")</f>
        <v>-</v>
      </c>
      <c r="T81" s="84">
        <f>IF($Q81="標準時間",HLOOKUP($P81,$F$31:$I$54,24,FALSE)-SUM($F$10,$F$21:$F$24,$F$26)-HLOOKUP($P81,$F$31:$I$54,17,FALSE)+HLOOKUP($P81,$F$31:$I$56,26,FALSE),IF($Q81="短時間",HLOOKUP($P81,$J$31:$M$54,24,FALSE)-SUM($F$10,$F$21:$F$24,$F$26)-HLOOKUP($P81,$J$31:$M$54,17,FALSE)+HLOOKUP($P81,$J$31:$M$56,26,FALSE),0))+IF(R81="○",加算と減算!$AH$3,0)</f>
        <v>0</v>
      </c>
      <c r="U81" s="85">
        <f t="shared" ref="U81:U100" si="55">IFERROR(ROUNDDOWN(T81*S81/25,-1),0)</f>
        <v>0</v>
      </c>
      <c r="V81" s="262">
        <f>IFERROR(ROUNDDOWN(IF($Q81="標準時間",HLOOKUP($P81,$F$31:$I$55,25,FALSE),IF($Q81="短時間",HLOOKUP($P81,$J$31:$M$55,25,FALSE),0))*S81/25,-1),0)</f>
        <v>0</v>
      </c>
      <c r="W81" s="262"/>
      <c r="X81" s="61" t="str">
        <f>IF(月途中入退所情報!$N31=$B$2,月途中入退所情報!$P31,"-")</f>
        <v>-</v>
      </c>
      <c r="Y81" s="61" t="str">
        <f>IF(月途中入退所情報!$N31=$B$2,月途中入退所情報!$Q31,"-")</f>
        <v>-</v>
      </c>
      <c r="Z81" s="61" t="str">
        <f>IF(月途中入退所情報!$N31=$B$2,月途中入退所情報!$R31,"-")</f>
        <v>-</v>
      </c>
      <c r="AA81" s="61" t="str">
        <f>IF(月途中入退所情報!$N31=$B$2,月途中入退所情報!$S31,"-")</f>
        <v>-</v>
      </c>
      <c r="AB81" s="61" t="str">
        <f>IF(月途中入退所情報!$N31=$B$2,月途中入退所情報!$T31,"-")</f>
        <v>-</v>
      </c>
      <c r="AC81" s="84">
        <f>IF($Z81="標準時間",HLOOKUP($Y81,$F$31:$I$54,24,FALSE)-SUM($F$10,$F$21:$F$24,$F$26)-HLOOKUP($Y81,$F$31:$I$54,17,FALSE)+HLOOKUP($Y81,$F$31:$I$56,26,FALSE),IF($Z81="短時間",HLOOKUP($Y81,$J$31:$M$54,24,FALSE)-SUM($F$10,$F$21:$F$24,$F$26)-HLOOKUP($Y81,$J$31:$M$54,17,FALSE)+HLOOKUP($Y81,$J$31:$M$56,26,FALSE),0))+IF(AA81="○",加算と減算!$AH$3,0)</f>
        <v>0</v>
      </c>
      <c r="AD81" s="85">
        <f t="shared" ref="AD81:AD100" si="56">IFERROR(-ROUNDUP(AC81*AB81/25,-1),0)</f>
        <v>0</v>
      </c>
      <c r="AE81" s="262">
        <f t="shared" ref="AE81:AE100" si="57">IFERROR(-ROUNDUP(IF($Z81="標準時間",HLOOKUP($Y81,$F$31:$I$55,25,FALSE),IF($Z81="短時間",HLOOKUP($Y81,$J$31:$M$55,25,FALSE),0))*AB81/25,-1),0)</f>
        <v>0</v>
      </c>
    </row>
    <row r="82" spans="15:31">
      <c r="O82" s="61" t="str">
        <f>IF(月途中入退所情報!$D32=$B$2,月途中入退所情報!F32,"-")</f>
        <v>-</v>
      </c>
      <c r="P82" s="61" t="str">
        <f>IF(月途中入退所情報!$D32=$B$2,月途中入退所情報!G32,"-")</f>
        <v>-</v>
      </c>
      <c r="Q82" s="61" t="str">
        <f>IF(月途中入退所情報!$D32=$B$2,月途中入退所情報!H32,"-")</f>
        <v>-</v>
      </c>
      <c r="R82" s="61" t="str">
        <f>IF(月途中入退所情報!$D32=$B$2,月途中入退所情報!I32,"-")</f>
        <v>-</v>
      </c>
      <c r="S82" s="61" t="str">
        <f>IF(月途中入退所情報!$D32=$B$2,月途中入退所情報!J32,"-")</f>
        <v>-</v>
      </c>
      <c r="T82" s="84">
        <f>IF($Q82="標準時間",HLOOKUP($P82,$F$31:$I$54,24,FALSE)-SUM($F$10,$F$21:$F$24,$F$26)-HLOOKUP($P82,$F$31:$I$54,17,FALSE)+HLOOKUP($P82,$F$31:$I$56,26,FALSE),IF($Q82="短時間",HLOOKUP($P82,$J$31:$M$54,24,FALSE)-SUM($F$10,$F$21:$F$24,$F$26)-HLOOKUP($P82,$J$31:$M$54,17,FALSE)+HLOOKUP($P82,$J$31:$M$56,26,FALSE),0))+IF(R82="○",加算と減算!$AH$3,0)</f>
        <v>0</v>
      </c>
      <c r="U82" s="85">
        <f t="shared" si="55"/>
        <v>0</v>
      </c>
      <c r="V82" s="262">
        <f t="shared" ref="V82:V100" si="58">IFERROR(ROUNDDOWN(IF($Q82="標準時間",HLOOKUP($P82,$F$31:$I$55,25,FALSE),IF($Q82="短時間",HLOOKUP($P82,$J$31:$M$55,25,FALSE),0))*S82/25,-1),0)</f>
        <v>0</v>
      </c>
      <c r="W82" s="262"/>
      <c r="X82" s="61" t="str">
        <f>IF(月途中入退所情報!$N32=$B$2,月途中入退所情報!$P32,"-")</f>
        <v>-</v>
      </c>
      <c r="Y82" s="61" t="str">
        <f>IF(月途中入退所情報!$N32=$B$2,月途中入退所情報!$Q32,"-")</f>
        <v>-</v>
      </c>
      <c r="Z82" s="61" t="str">
        <f>IF(月途中入退所情報!$N32=$B$2,月途中入退所情報!$R32,"-")</f>
        <v>-</v>
      </c>
      <c r="AA82" s="61" t="str">
        <f>IF(月途中入退所情報!$N32=$B$2,月途中入退所情報!$S32,"-")</f>
        <v>-</v>
      </c>
      <c r="AB82" s="61" t="str">
        <f>IF(月途中入退所情報!$N32=$B$2,月途中入退所情報!$T32,"-")</f>
        <v>-</v>
      </c>
      <c r="AC82" s="84">
        <f>IF($Z82="標準時間",HLOOKUP($Y82,$F$31:$I$54,24,FALSE)-SUM($F$10,$F$21:$F$24,$F$26)-HLOOKUP($Y82,$F$31:$I$54,17,FALSE)+HLOOKUP($Y82,$F$31:$I$56,26,FALSE),IF($Z82="短時間",HLOOKUP($Y82,$J$31:$M$54,24,FALSE)-SUM($F$10,$F$21:$F$24,$F$26)-HLOOKUP($Y82,$J$31:$M$54,17,FALSE)+HLOOKUP($Y82,$J$31:$M$56,26,FALSE),0))+IF(AA82="○",加算と減算!$AH$3,0)</f>
        <v>0</v>
      </c>
      <c r="AD82" s="85">
        <f t="shared" si="56"/>
        <v>0</v>
      </c>
      <c r="AE82" s="262">
        <f t="shared" si="57"/>
        <v>0</v>
      </c>
    </row>
    <row r="83" spans="15:31">
      <c r="O83" s="61" t="str">
        <f>IF(月途中入退所情報!$D33=$B$2,月途中入退所情報!F33,"-")</f>
        <v>-</v>
      </c>
      <c r="P83" s="61" t="str">
        <f>IF(月途中入退所情報!$D33=$B$2,月途中入退所情報!G33,"-")</f>
        <v>-</v>
      </c>
      <c r="Q83" s="61" t="str">
        <f>IF(月途中入退所情報!$D33=$B$2,月途中入退所情報!H33,"-")</f>
        <v>-</v>
      </c>
      <c r="R83" s="61" t="str">
        <f>IF(月途中入退所情報!$D33=$B$2,月途中入退所情報!I33,"-")</f>
        <v>-</v>
      </c>
      <c r="S83" s="61" t="str">
        <f>IF(月途中入退所情報!$D33=$B$2,月途中入退所情報!J33,"-")</f>
        <v>-</v>
      </c>
      <c r="T83" s="84">
        <f>IF($Q83="標準時間",HLOOKUP($P83,$F$31:$I$54,24,FALSE)-SUM($F$10,$F$21:$F$24,$F$26)-HLOOKUP($P83,$F$31:$I$54,17,FALSE)+HLOOKUP($P83,$F$31:$I$56,26,FALSE),IF($Q83="短時間",HLOOKUP($P83,$J$31:$M$54,24,FALSE)-SUM($F$10,$F$21:$F$24,$F$26)-HLOOKUP($P83,$J$31:$M$54,17,FALSE)+HLOOKUP($P83,$J$31:$M$56,26,FALSE),0))+IF(R83="○",加算と減算!$AH$3,0)</f>
        <v>0</v>
      </c>
      <c r="U83" s="85">
        <f t="shared" si="55"/>
        <v>0</v>
      </c>
      <c r="V83" s="262">
        <f t="shared" si="58"/>
        <v>0</v>
      </c>
      <c r="W83" s="262"/>
      <c r="X83" s="61" t="str">
        <f>IF(月途中入退所情報!$N33=$B$2,月途中入退所情報!$P33,"-")</f>
        <v>-</v>
      </c>
      <c r="Y83" s="61" t="str">
        <f>IF(月途中入退所情報!$N33=$B$2,月途中入退所情報!$Q33,"-")</f>
        <v>-</v>
      </c>
      <c r="Z83" s="61" t="str">
        <f>IF(月途中入退所情報!$N33=$B$2,月途中入退所情報!$R33,"-")</f>
        <v>-</v>
      </c>
      <c r="AA83" s="61" t="str">
        <f>IF(月途中入退所情報!$N33=$B$2,月途中入退所情報!$S33,"-")</f>
        <v>-</v>
      </c>
      <c r="AB83" s="61" t="str">
        <f>IF(月途中入退所情報!$N33=$B$2,月途中入退所情報!$T33,"-")</f>
        <v>-</v>
      </c>
      <c r="AC83" s="84">
        <f>IF($Z83="標準時間",HLOOKUP($Y83,$F$31:$I$54,24,FALSE)-SUM($F$10,$F$21:$F$24,$F$26)-HLOOKUP($Y83,$F$31:$I$54,17,FALSE)+HLOOKUP($Y83,$F$31:$I$56,26,FALSE),IF($Z83="短時間",HLOOKUP($Y83,$J$31:$M$54,24,FALSE)-SUM($F$10,$F$21:$F$24,$F$26)-HLOOKUP($Y83,$J$31:$M$54,17,FALSE)+HLOOKUP($Y83,$J$31:$M$56,26,FALSE),0))+IF(AA83="○",加算と減算!$AH$3,0)</f>
        <v>0</v>
      </c>
      <c r="AD83" s="85">
        <f t="shared" si="56"/>
        <v>0</v>
      </c>
      <c r="AE83" s="262">
        <f t="shared" si="57"/>
        <v>0</v>
      </c>
    </row>
    <row r="84" spans="15:31">
      <c r="O84" s="61" t="str">
        <f>IF(月途中入退所情報!$D34=$B$2,月途中入退所情報!F34,"-")</f>
        <v>-</v>
      </c>
      <c r="P84" s="61" t="str">
        <f>IF(月途中入退所情報!$D34=$B$2,月途中入退所情報!G34,"-")</f>
        <v>-</v>
      </c>
      <c r="Q84" s="61" t="str">
        <f>IF(月途中入退所情報!$D34=$B$2,月途中入退所情報!H34,"-")</f>
        <v>-</v>
      </c>
      <c r="R84" s="61" t="str">
        <f>IF(月途中入退所情報!$D34=$B$2,月途中入退所情報!I34,"-")</f>
        <v>-</v>
      </c>
      <c r="S84" s="61" t="str">
        <f>IF(月途中入退所情報!$D34=$B$2,月途中入退所情報!J34,"-")</f>
        <v>-</v>
      </c>
      <c r="T84" s="84">
        <f>IF($Q84="標準時間",HLOOKUP($P84,$F$31:$I$54,24,FALSE)-SUM($F$10,$F$21:$F$24,$F$26)-HLOOKUP($P84,$F$31:$I$54,17,FALSE)+HLOOKUP($P84,$F$31:$I$56,26,FALSE),IF($Q84="短時間",HLOOKUP($P84,$J$31:$M$54,24,FALSE)-SUM($F$10,$F$21:$F$24,$F$26)-HLOOKUP($P84,$J$31:$M$54,17,FALSE)+HLOOKUP($P84,$J$31:$M$56,26,FALSE),0))+IF(R84="○",加算と減算!$AH$3,0)</f>
        <v>0</v>
      </c>
      <c r="U84" s="85">
        <f t="shared" si="55"/>
        <v>0</v>
      </c>
      <c r="V84" s="262">
        <f t="shared" si="58"/>
        <v>0</v>
      </c>
      <c r="W84" s="262"/>
      <c r="X84" s="61" t="str">
        <f>IF(月途中入退所情報!$N34=$B$2,月途中入退所情報!$P34,"-")</f>
        <v>-</v>
      </c>
      <c r="Y84" s="61" t="str">
        <f>IF(月途中入退所情報!$N34=$B$2,月途中入退所情報!$Q34,"-")</f>
        <v>-</v>
      </c>
      <c r="Z84" s="61" t="str">
        <f>IF(月途中入退所情報!$N34=$B$2,月途中入退所情報!$R34,"-")</f>
        <v>-</v>
      </c>
      <c r="AA84" s="61" t="str">
        <f>IF(月途中入退所情報!$N34=$B$2,月途中入退所情報!$S34,"-")</f>
        <v>-</v>
      </c>
      <c r="AB84" s="61" t="str">
        <f>IF(月途中入退所情報!$N34=$B$2,月途中入退所情報!$T34,"-")</f>
        <v>-</v>
      </c>
      <c r="AC84" s="84">
        <f>IF($Z84="標準時間",HLOOKUP($Y84,$F$31:$I$54,24,FALSE)-SUM($F$10,$F$21:$F$24,$F$26)-HLOOKUP($Y84,$F$31:$I$54,17,FALSE)+HLOOKUP($Y84,$F$31:$I$56,26,FALSE),IF($Z84="短時間",HLOOKUP($Y84,$J$31:$M$54,24,FALSE)-SUM($F$10,$F$21:$F$24,$F$26)-HLOOKUP($Y84,$J$31:$M$54,17,FALSE)+HLOOKUP($Y84,$J$31:$M$56,26,FALSE),0))+IF(AA84="○",加算と減算!$AH$3,0)</f>
        <v>0</v>
      </c>
      <c r="AD84" s="85">
        <f t="shared" si="56"/>
        <v>0</v>
      </c>
      <c r="AE84" s="262">
        <f t="shared" si="57"/>
        <v>0</v>
      </c>
    </row>
    <row r="85" spans="15:31">
      <c r="O85" s="61" t="str">
        <f>IF(月途中入退所情報!$D35=$B$2,月途中入退所情報!F35,"-")</f>
        <v>-</v>
      </c>
      <c r="P85" s="61" t="str">
        <f>IF(月途中入退所情報!$D35=$B$2,月途中入退所情報!G35,"-")</f>
        <v>-</v>
      </c>
      <c r="Q85" s="61" t="str">
        <f>IF(月途中入退所情報!$D35=$B$2,月途中入退所情報!H35,"-")</f>
        <v>-</v>
      </c>
      <c r="R85" s="61" t="str">
        <f>IF(月途中入退所情報!$D35=$B$2,月途中入退所情報!I35,"-")</f>
        <v>-</v>
      </c>
      <c r="S85" s="61" t="str">
        <f>IF(月途中入退所情報!$D35=$B$2,月途中入退所情報!J35,"-")</f>
        <v>-</v>
      </c>
      <c r="T85" s="84">
        <f>IF($Q85="標準時間",HLOOKUP($P85,$F$31:$I$54,24,FALSE)-SUM($F$10,$F$21:$F$24,$F$26)-HLOOKUP($P85,$F$31:$I$54,17,FALSE)+HLOOKUP($P85,$F$31:$I$56,26,FALSE),IF($Q85="短時間",HLOOKUP($P85,$J$31:$M$54,24,FALSE)-SUM($F$10,$F$21:$F$24,$F$26)-HLOOKUP($P85,$J$31:$M$54,17,FALSE)+HLOOKUP($P85,$J$31:$M$56,26,FALSE),0))+IF(R85="○",加算と減算!$AH$3,0)</f>
        <v>0</v>
      </c>
      <c r="U85" s="85">
        <f t="shared" si="55"/>
        <v>0</v>
      </c>
      <c r="V85" s="262">
        <f t="shared" si="58"/>
        <v>0</v>
      </c>
      <c r="W85" s="262"/>
      <c r="X85" s="61" t="str">
        <f>IF(月途中入退所情報!$N35=$B$2,月途中入退所情報!$P35,"-")</f>
        <v>-</v>
      </c>
      <c r="Y85" s="61" t="str">
        <f>IF(月途中入退所情報!$N35=$B$2,月途中入退所情報!$Q35,"-")</f>
        <v>-</v>
      </c>
      <c r="Z85" s="61" t="str">
        <f>IF(月途中入退所情報!$N35=$B$2,月途中入退所情報!$R35,"-")</f>
        <v>-</v>
      </c>
      <c r="AA85" s="61" t="str">
        <f>IF(月途中入退所情報!$N35=$B$2,月途中入退所情報!$S35,"-")</f>
        <v>-</v>
      </c>
      <c r="AB85" s="61" t="str">
        <f>IF(月途中入退所情報!$N35=$B$2,月途中入退所情報!$T35,"-")</f>
        <v>-</v>
      </c>
      <c r="AC85" s="84">
        <f>IF($Z85="標準時間",HLOOKUP($Y85,$F$31:$I$54,24,FALSE)-SUM($F$10,$F$21:$F$24,$F$26)-HLOOKUP($Y85,$F$31:$I$54,17,FALSE)+HLOOKUP($Y85,$F$31:$I$56,26,FALSE),IF($Z85="短時間",HLOOKUP($Y85,$J$31:$M$54,24,FALSE)-SUM($F$10,$F$21:$F$24,$F$26)-HLOOKUP($Y85,$J$31:$M$54,17,FALSE)+HLOOKUP($Y85,$J$31:$M$56,26,FALSE),0))+IF(AA85="○",加算と減算!$AH$3,0)</f>
        <v>0</v>
      </c>
      <c r="AD85" s="85">
        <f t="shared" si="56"/>
        <v>0</v>
      </c>
      <c r="AE85" s="262">
        <f t="shared" si="57"/>
        <v>0</v>
      </c>
    </row>
    <row r="86" spans="15:31">
      <c r="O86" s="61" t="str">
        <f>IF(月途中入退所情報!$D36=$B$2,月途中入退所情報!F36,"-")</f>
        <v>-</v>
      </c>
      <c r="P86" s="61" t="str">
        <f>IF(月途中入退所情報!$D36=$B$2,月途中入退所情報!G36,"-")</f>
        <v>-</v>
      </c>
      <c r="Q86" s="61" t="str">
        <f>IF(月途中入退所情報!$D36=$B$2,月途中入退所情報!H36,"-")</f>
        <v>-</v>
      </c>
      <c r="R86" s="61" t="str">
        <f>IF(月途中入退所情報!$D36=$B$2,月途中入退所情報!I36,"-")</f>
        <v>-</v>
      </c>
      <c r="S86" s="61" t="str">
        <f>IF(月途中入退所情報!$D36=$B$2,月途中入退所情報!J36,"-")</f>
        <v>-</v>
      </c>
      <c r="T86" s="84">
        <f>IF($Q86="標準時間",HLOOKUP($P86,$F$31:$I$54,24,FALSE)-SUM($F$10,$F$21:$F$24,$F$26)-HLOOKUP($P86,$F$31:$I$54,17,FALSE)+HLOOKUP($P86,$F$31:$I$56,26,FALSE),IF($Q86="短時間",HLOOKUP($P86,$J$31:$M$54,24,FALSE)-SUM($F$10,$F$21:$F$24,$F$26)-HLOOKUP($P86,$J$31:$M$54,17,FALSE)+HLOOKUP($P86,$J$31:$M$56,26,FALSE),0))+IF(R86="○",加算と減算!$AH$3,0)</f>
        <v>0</v>
      </c>
      <c r="U86" s="85">
        <f t="shared" si="55"/>
        <v>0</v>
      </c>
      <c r="V86" s="262">
        <f t="shared" si="58"/>
        <v>0</v>
      </c>
      <c r="W86" s="262"/>
      <c r="X86" s="61" t="str">
        <f>IF(月途中入退所情報!$N36=$B$2,月途中入退所情報!$P36,"-")</f>
        <v>-</v>
      </c>
      <c r="Y86" s="61" t="str">
        <f>IF(月途中入退所情報!$N36=$B$2,月途中入退所情報!$Q36,"-")</f>
        <v>-</v>
      </c>
      <c r="Z86" s="61" t="str">
        <f>IF(月途中入退所情報!$N36=$B$2,月途中入退所情報!$R36,"-")</f>
        <v>-</v>
      </c>
      <c r="AA86" s="61" t="str">
        <f>IF(月途中入退所情報!$N36=$B$2,月途中入退所情報!$S36,"-")</f>
        <v>-</v>
      </c>
      <c r="AB86" s="61" t="str">
        <f>IF(月途中入退所情報!$N36=$B$2,月途中入退所情報!$T36,"-")</f>
        <v>-</v>
      </c>
      <c r="AC86" s="84">
        <f>IF($Z86="標準時間",HLOOKUP($Y86,$F$31:$I$54,24,FALSE)-SUM($F$10,$F$21:$F$24,$F$26)-HLOOKUP($Y86,$F$31:$I$54,17,FALSE)+HLOOKUP($Y86,$F$31:$I$56,26,FALSE),IF($Z86="短時間",HLOOKUP($Y86,$J$31:$M$54,24,FALSE)-SUM($F$10,$F$21:$F$24,$F$26)-HLOOKUP($Y86,$J$31:$M$54,17,FALSE)+HLOOKUP($Y86,$J$31:$M$56,26,FALSE),0))+IF(AA86="○",加算と減算!$AH$3,0)</f>
        <v>0</v>
      </c>
      <c r="AD86" s="85">
        <f t="shared" si="56"/>
        <v>0</v>
      </c>
      <c r="AE86" s="262">
        <f t="shared" si="57"/>
        <v>0</v>
      </c>
    </row>
    <row r="87" spans="15:31">
      <c r="O87" s="61" t="str">
        <f>IF(月途中入退所情報!$D37=$B$2,月途中入退所情報!F37,"-")</f>
        <v>-</v>
      </c>
      <c r="P87" s="61" t="str">
        <f>IF(月途中入退所情報!$D37=$B$2,月途中入退所情報!G37,"-")</f>
        <v>-</v>
      </c>
      <c r="Q87" s="61" t="str">
        <f>IF(月途中入退所情報!$D37=$B$2,月途中入退所情報!H37,"-")</f>
        <v>-</v>
      </c>
      <c r="R87" s="61" t="str">
        <f>IF(月途中入退所情報!$D37=$B$2,月途中入退所情報!I37,"-")</f>
        <v>-</v>
      </c>
      <c r="S87" s="61" t="str">
        <f>IF(月途中入退所情報!$D37=$B$2,月途中入退所情報!J37,"-")</f>
        <v>-</v>
      </c>
      <c r="T87" s="84">
        <f>IF($Q87="標準時間",HLOOKUP($P87,$F$31:$I$54,24,FALSE)-SUM($F$10,$F$21:$F$24,$F$26)-HLOOKUP($P87,$F$31:$I$54,17,FALSE)+HLOOKUP($P87,$F$31:$I$56,26,FALSE),IF($Q87="短時間",HLOOKUP($P87,$J$31:$M$54,24,FALSE)-SUM($F$10,$F$21:$F$24,$F$26)-HLOOKUP($P87,$J$31:$M$54,17,FALSE)+HLOOKUP($P87,$J$31:$M$56,26,FALSE),0))+IF(R87="○",加算と減算!$AH$3,0)</f>
        <v>0</v>
      </c>
      <c r="U87" s="85">
        <f t="shared" si="55"/>
        <v>0</v>
      </c>
      <c r="V87" s="262">
        <f t="shared" si="58"/>
        <v>0</v>
      </c>
      <c r="W87" s="262"/>
      <c r="X87" s="61" t="str">
        <f>IF(月途中入退所情報!$N37=$B$2,月途中入退所情報!$P37,"-")</f>
        <v>-</v>
      </c>
      <c r="Y87" s="61" t="str">
        <f>IF(月途中入退所情報!$N37=$B$2,月途中入退所情報!$Q37,"-")</f>
        <v>-</v>
      </c>
      <c r="Z87" s="61" t="str">
        <f>IF(月途中入退所情報!$N37=$B$2,月途中入退所情報!$R37,"-")</f>
        <v>-</v>
      </c>
      <c r="AA87" s="61" t="str">
        <f>IF(月途中入退所情報!$N37=$B$2,月途中入退所情報!$S37,"-")</f>
        <v>-</v>
      </c>
      <c r="AB87" s="61" t="str">
        <f>IF(月途中入退所情報!$N37=$B$2,月途中入退所情報!$T37,"-")</f>
        <v>-</v>
      </c>
      <c r="AC87" s="84">
        <f>IF($Z87="標準時間",HLOOKUP($Y87,$F$31:$I$54,24,FALSE)-SUM($F$10,$F$21:$F$24,$F$26)-HLOOKUP($Y87,$F$31:$I$54,17,FALSE)+HLOOKUP($Y87,$F$31:$I$56,26,FALSE),IF($Z87="短時間",HLOOKUP($Y87,$J$31:$M$54,24,FALSE)-SUM($F$10,$F$21:$F$24,$F$26)-HLOOKUP($Y87,$J$31:$M$54,17,FALSE)+HLOOKUP($Y87,$J$31:$M$56,26,FALSE),0))+IF(AA87="○",加算と減算!$AH$3,0)</f>
        <v>0</v>
      </c>
      <c r="AD87" s="85">
        <f t="shared" si="56"/>
        <v>0</v>
      </c>
      <c r="AE87" s="262">
        <f t="shared" si="57"/>
        <v>0</v>
      </c>
    </row>
    <row r="88" spans="15:31">
      <c r="O88" s="61" t="str">
        <f>IF(月途中入退所情報!$D38=$B$2,月途中入退所情報!F38,"-")</f>
        <v>-</v>
      </c>
      <c r="P88" s="61" t="str">
        <f>IF(月途中入退所情報!$D38=$B$2,月途中入退所情報!G38,"-")</f>
        <v>-</v>
      </c>
      <c r="Q88" s="61" t="str">
        <f>IF(月途中入退所情報!$D38=$B$2,月途中入退所情報!H38,"-")</f>
        <v>-</v>
      </c>
      <c r="R88" s="61" t="str">
        <f>IF(月途中入退所情報!$D38=$B$2,月途中入退所情報!I38,"-")</f>
        <v>-</v>
      </c>
      <c r="S88" s="61" t="str">
        <f>IF(月途中入退所情報!$D38=$B$2,月途中入退所情報!J38,"-")</f>
        <v>-</v>
      </c>
      <c r="T88" s="84">
        <f>IF($Q88="標準時間",HLOOKUP($P88,$F$31:$I$54,24,FALSE)-SUM($F$10,$F$21:$F$24,$F$26)-HLOOKUP($P88,$F$31:$I$54,17,FALSE)+HLOOKUP($P88,$F$31:$I$56,26,FALSE),IF($Q88="短時間",HLOOKUP($P88,$J$31:$M$54,24,FALSE)-SUM($F$10,$F$21:$F$24,$F$26)-HLOOKUP($P88,$J$31:$M$54,17,FALSE)+HLOOKUP($P88,$J$31:$M$56,26,FALSE),0))+IF(R88="○",加算と減算!$AH$3,0)</f>
        <v>0</v>
      </c>
      <c r="U88" s="85">
        <f t="shared" si="55"/>
        <v>0</v>
      </c>
      <c r="V88" s="262">
        <f t="shared" si="58"/>
        <v>0</v>
      </c>
      <c r="W88" s="262"/>
      <c r="X88" s="61" t="str">
        <f>IF(月途中入退所情報!$N38=$B$2,月途中入退所情報!$P38,"-")</f>
        <v>-</v>
      </c>
      <c r="Y88" s="61" t="str">
        <f>IF(月途中入退所情報!$N38=$B$2,月途中入退所情報!$Q38,"-")</f>
        <v>-</v>
      </c>
      <c r="Z88" s="61" t="str">
        <f>IF(月途中入退所情報!$N38=$B$2,月途中入退所情報!$R38,"-")</f>
        <v>-</v>
      </c>
      <c r="AA88" s="61" t="str">
        <f>IF(月途中入退所情報!$N38=$B$2,月途中入退所情報!$S38,"-")</f>
        <v>-</v>
      </c>
      <c r="AB88" s="61" t="str">
        <f>IF(月途中入退所情報!$N38=$B$2,月途中入退所情報!$T38,"-")</f>
        <v>-</v>
      </c>
      <c r="AC88" s="84">
        <f>IF($Z88="標準時間",HLOOKUP($Y88,$F$31:$I$54,24,FALSE)-SUM($F$10,$F$21:$F$24,$F$26)-HLOOKUP($Y88,$F$31:$I$54,17,FALSE)+HLOOKUP($Y88,$F$31:$I$56,26,FALSE),IF($Z88="短時間",HLOOKUP($Y88,$J$31:$M$54,24,FALSE)-SUM($F$10,$F$21:$F$24,$F$26)-HLOOKUP($Y88,$J$31:$M$54,17,FALSE)+HLOOKUP($Y88,$J$31:$M$56,26,FALSE),0))+IF(AA88="○",加算と減算!$AH$3,0)</f>
        <v>0</v>
      </c>
      <c r="AD88" s="85">
        <f t="shared" si="56"/>
        <v>0</v>
      </c>
      <c r="AE88" s="262">
        <f t="shared" si="57"/>
        <v>0</v>
      </c>
    </row>
    <row r="89" spans="15:31">
      <c r="O89" s="61" t="str">
        <f>IF(月途中入退所情報!$D39=$B$2,月途中入退所情報!F39,"-")</f>
        <v>-</v>
      </c>
      <c r="P89" s="61" t="str">
        <f>IF(月途中入退所情報!$D39=$B$2,月途中入退所情報!G39,"-")</f>
        <v>-</v>
      </c>
      <c r="Q89" s="61" t="str">
        <f>IF(月途中入退所情報!$D39=$B$2,月途中入退所情報!H39,"-")</f>
        <v>-</v>
      </c>
      <c r="R89" s="61" t="str">
        <f>IF(月途中入退所情報!$D39=$B$2,月途中入退所情報!I39,"-")</f>
        <v>-</v>
      </c>
      <c r="S89" s="61" t="str">
        <f>IF(月途中入退所情報!$D39=$B$2,月途中入退所情報!J39,"-")</f>
        <v>-</v>
      </c>
      <c r="T89" s="84">
        <f>IF($Q89="標準時間",HLOOKUP($P89,$F$31:$I$54,24,FALSE)-SUM($F$10,$F$21:$F$24,$F$26)-HLOOKUP($P89,$F$31:$I$54,17,FALSE)+HLOOKUP($P89,$F$31:$I$56,26,FALSE),IF($Q89="短時間",HLOOKUP($P89,$J$31:$M$54,24,FALSE)-SUM($F$10,$F$21:$F$24,$F$26)-HLOOKUP($P89,$J$31:$M$54,17,FALSE)+HLOOKUP($P89,$J$31:$M$56,26,FALSE),0))+IF(R89="○",加算と減算!$AH$3,0)</f>
        <v>0</v>
      </c>
      <c r="U89" s="85">
        <f t="shared" si="55"/>
        <v>0</v>
      </c>
      <c r="V89" s="262">
        <f t="shared" si="58"/>
        <v>0</v>
      </c>
      <c r="W89" s="262"/>
      <c r="X89" s="61" t="str">
        <f>IF(月途中入退所情報!$N39=$B$2,月途中入退所情報!$P39,"-")</f>
        <v>-</v>
      </c>
      <c r="Y89" s="61" t="str">
        <f>IF(月途中入退所情報!$N39=$B$2,月途中入退所情報!$Q39,"-")</f>
        <v>-</v>
      </c>
      <c r="Z89" s="61" t="str">
        <f>IF(月途中入退所情報!$N39=$B$2,月途中入退所情報!$R39,"-")</f>
        <v>-</v>
      </c>
      <c r="AA89" s="61" t="str">
        <f>IF(月途中入退所情報!$N39=$B$2,月途中入退所情報!$S39,"-")</f>
        <v>-</v>
      </c>
      <c r="AB89" s="61" t="str">
        <f>IF(月途中入退所情報!$N39=$B$2,月途中入退所情報!$T39,"-")</f>
        <v>-</v>
      </c>
      <c r="AC89" s="84">
        <f>IF($Z89="標準時間",HLOOKUP($Y89,$F$31:$I$54,24,FALSE)-SUM($F$10,$F$21:$F$24,$F$26)-HLOOKUP($Y89,$F$31:$I$54,17,FALSE)+HLOOKUP($Y89,$F$31:$I$56,26,FALSE),IF($Z89="短時間",HLOOKUP($Y89,$J$31:$M$54,24,FALSE)-SUM($F$10,$F$21:$F$24,$F$26)-HLOOKUP($Y89,$J$31:$M$54,17,FALSE)+HLOOKUP($Y89,$J$31:$M$56,26,FALSE),0))+IF(AA89="○",加算と減算!$AH$3,0)</f>
        <v>0</v>
      </c>
      <c r="AD89" s="85">
        <f t="shared" si="56"/>
        <v>0</v>
      </c>
      <c r="AE89" s="262">
        <f t="shared" si="57"/>
        <v>0</v>
      </c>
    </row>
    <row r="90" spans="15:31">
      <c r="O90" s="61" t="str">
        <f>IF(月途中入退所情報!$D40=$B$2,月途中入退所情報!F40,"-")</f>
        <v>-</v>
      </c>
      <c r="P90" s="61" t="str">
        <f>IF(月途中入退所情報!$D40=$B$2,月途中入退所情報!G40,"-")</f>
        <v>-</v>
      </c>
      <c r="Q90" s="61" t="str">
        <f>IF(月途中入退所情報!$D40=$B$2,月途中入退所情報!H40,"-")</f>
        <v>-</v>
      </c>
      <c r="R90" s="61" t="str">
        <f>IF(月途中入退所情報!$D40=$B$2,月途中入退所情報!I40,"-")</f>
        <v>-</v>
      </c>
      <c r="S90" s="61" t="str">
        <f>IF(月途中入退所情報!$D40=$B$2,月途中入退所情報!J40,"-")</f>
        <v>-</v>
      </c>
      <c r="T90" s="84">
        <f>IF($Q90="標準時間",HLOOKUP($P90,$F$31:$I$54,24,FALSE)-SUM($F$10,$F$21:$F$24,$F$26)-HLOOKUP($P90,$F$31:$I$54,17,FALSE)+HLOOKUP($P90,$F$31:$I$56,26,FALSE),IF($Q90="短時間",HLOOKUP($P90,$J$31:$M$54,24,FALSE)-SUM($F$10,$F$21:$F$24,$F$26)-HLOOKUP($P90,$J$31:$M$54,17,FALSE)+HLOOKUP($P90,$J$31:$M$56,26,FALSE),0))+IF(R90="○",加算と減算!$AH$3,0)</f>
        <v>0</v>
      </c>
      <c r="U90" s="85">
        <f t="shared" si="55"/>
        <v>0</v>
      </c>
      <c r="V90" s="262">
        <f t="shared" si="58"/>
        <v>0</v>
      </c>
      <c r="W90" s="262"/>
      <c r="X90" s="61" t="str">
        <f>IF(月途中入退所情報!$N40=$B$2,月途中入退所情報!$P40,"-")</f>
        <v>-</v>
      </c>
      <c r="Y90" s="61" t="str">
        <f>IF(月途中入退所情報!$N40=$B$2,月途中入退所情報!$Q40,"-")</f>
        <v>-</v>
      </c>
      <c r="Z90" s="61" t="str">
        <f>IF(月途中入退所情報!$N40=$B$2,月途中入退所情報!$R40,"-")</f>
        <v>-</v>
      </c>
      <c r="AA90" s="61" t="str">
        <f>IF(月途中入退所情報!$N40=$B$2,月途中入退所情報!$S40,"-")</f>
        <v>-</v>
      </c>
      <c r="AB90" s="61" t="str">
        <f>IF(月途中入退所情報!$N40=$B$2,月途中入退所情報!$T40,"-")</f>
        <v>-</v>
      </c>
      <c r="AC90" s="84">
        <f>IF($Z90="標準時間",HLOOKUP($Y90,$F$31:$I$54,24,FALSE)-SUM($F$10,$F$21:$F$24,$F$26)-HLOOKUP($Y90,$F$31:$I$54,17,FALSE)+HLOOKUP($Y90,$F$31:$I$56,26,FALSE),IF($Z90="短時間",HLOOKUP($Y90,$J$31:$M$54,24,FALSE)-SUM($F$10,$F$21:$F$24,$F$26)-HLOOKUP($Y90,$J$31:$M$54,17,FALSE)+HLOOKUP($Y90,$J$31:$M$56,26,FALSE),0))+IF(AA90="○",加算と減算!$AH$3,0)</f>
        <v>0</v>
      </c>
      <c r="AD90" s="85">
        <f t="shared" si="56"/>
        <v>0</v>
      </c>
      <c r="AE90" s="262">
        <f t="shared" si="57"/>
        <v>0</v>
      </c>
    </row>
    <row r="91" spans="15:31">
      <c r="O91" s="61" t="str">
        <f>IF(月途中入退所情報!$D41=$B$2,月途中入退所情報!F41,"-")</f>
        <v>-</v>
      </c>
      <c r="P91" s="61" t="str">
        <f>IF(月途中入退所情報!$D41=$B$2,月途中入退所情報!G41,"-")</f>
        <v>-</v>
      </c>
      <c r="Q91" s="61" t="str">
        <f>IF(月途中入退所情報!$D41=$B$2,月途中入退所情報!H41,"-")</f>
        <v>-</v>
      </c>
      <c r="R91" s="61" t="str">
        <f>IF(月途中入退所情報!$D41=$B$2,月途中入退所情報!I41,"-")</f>
        <v>-</v>
      </c>
      <c r="S91" s="61" t="str">
        <f>IF(月途中入退所情報!$D41=$B$2,月途中入退所情報!J41,"-")</f>
        <v>-</v>
      </c>
      <c r="T91" s="84">
        <f>IF($Q91="標準時間",HLOOKUP($P91,$F$31:$I$54,24,FALSE)-SUM($F$10,$F$21:$F$24,$F$26)-HLOOKUP($P91,$F$31:$I$54,17,FALSE)+HLOOKUP($P91,$F$31:$I$56,26,FALSE),IF($Q91="短時間",HLOOKUP($P91,$J$31:$M$54,24,FALSE)-SUM($F$10,$F$21:$F$24,$F$26)-HLOOKUP($P91,$J$31:$M$54,17,FALSE)+HLOOKUP($P91,$J$31:$M$56,26,FALSE),0))+IF(R91="○",加算と減算!$AH$3,0)</f>
        <v>0</v>
      </c>
      <c r="U91" s="85">
        <f t="shared" si="55"/>
        <v>0</v>
      </c>
      <c r="V91" s="262">
        <f t="shared" si="58"/>
        <v>0</v>
      </c>
      <c r="W91" s="262"/>
      <c r="X91" s="61" t="str">
        <f>IF(月途中入退所情報!$N41=$B$2,月途中入退所情報!$P41,"-")</f>
        <v>-</v>
      </c>
      <c r="Y91" s="61" t="str">
        <f>IF(月途中入退所情報!$N41=$B$2,月途中入退所情報!$Q41,"-")</f>
        <v>-</v>
      </c>
      <c r="Z91" s="61" t="str">
        <f>IF(月途中入退所情報!$N41=$B$2,月途中入退所情報!$R41,"-")</f>
        <v>-</v>
      </c>
      <c r="AA91" s="61" t="str">
        <f>IF(月途中入退所情報!$N41=$B$2,月途中入退所情報!$S41,"-")</f>
        <v>-</v>
      </c>
      <c r="AB91" s="61" t="str">
        <f>IF(月途中入退所情報!$N41=$B$2,月途中入退所情報!$T41,"-")</f>
        <v>-</v>
      </c>
      <c r="AC91" s="84">
        <f>IF($Z91="標準時間",HLOOKUP($Y91,$F$31:$I$54,24,FALSE)-SUM($F$10,$F$21:$F$24,$F$26)-HLOOKUP($Y91,$F$31:$I$54,17,FALSE)+HLOOKUP($Y91,$F$31:$I$56,26,FALSE),IF($Z91="短時間",HLOOKUP($Y91,$J$31:$M$54,24,FALSE)-SUM($F$10,$F$21:$F$24,$F$26)-HLOOKUP($Y91,$J$31:$M$54,17,FALSE)+HLOOKUP($Y91,$J$31:$M$56,26,FALSE),0))+IF(AA91="○",加算と減算!$AH$3,0)</f>
        <v>0</v>
      </c>
      <c r="AD91" s="85">
        <f t="shared" si="56"/>
        <v>0</v>
      </c>
      <c r="AE91" s="262">
        <f t="shared" si="57"/>
        <v>0</v>
      </c>
    </row>
    <row r="92" spans="15:31">
      <c r="O92" s="61" t="str">
        <f>IF(月途中入退所情報!$D42=$B$2,月途中入退所情報!F42,"-")</f>
        <v>-</v>
      </c>
      <c r="P92" s="61" t="str">
        <f>IF(月途中入退所情報!$D42=$B$2,月途中入退所情報!G42,"-")</f>
        <v>-</v>
      </c>
      <c r="Q92" s="61" t="str">
        <f>IF(月途中入退所情報!$D42=$B$2,月途中入退所情報!H42,"-")</f>
        <v>-</v>
      </c>
      <c r="R92" s="61" t="str">
        <f>IF(月途中入退所情報!$D42=$B$2,月途中入退所情報!I42,"-")</f>
        <v>-</v>
      </c>
      <c r="S92" s="61" t="str">
        <f>IF(月途中入退所情報!$D42=$B$2,月途中入退所情報!J42,"-")</f>
        <v>-</v>
      </c>
      <c r="T92" s="84">
        <f>IF($Q92="標準時間",HLOOKUP($P92,$F$31:$I$54,24,FALSE)-SUM($F$10,$F$21:$F$24,$F$26)-HLOOKUP($P92,$F$31:$I$54,17,FALSE)+HLOOKUP($P92,$F$31:$I$56,26,FALSE),IF($Q92="短時間",HLOOKUP($P92,$J$31:$M$54,24,FALSE)-SUM($F$10,$F$21:$F$24,$F$26)-HLOOKUP($P92,$J$31:$M$54,17,FALSE)+HLOOKUP($P92,$J$31:$M$56,26,FALSE),0))+IF(R92="○",加算と減算!$AH$3,0)</f>
        <v>0</v>
      </c>
      <c r="U92" s="85">
        <f t="shared" si="55"/>
        <v>0</v>
      </c>
      <c r="V92" s="262">
        <f t="shared" si="58"/>
        <v>0</v>
      </c>
      <c r="W92" s="262"/>
      <c r="X92" s="61" t="str">
        <f>IF(月途中入退所情報!$N42=$B$2,月途中入退所情報!$P42,"-")</f>
        <v>-</v>
      </c>
      <c r="Y92" s="61" t="str">
        <f>IF(月途中入退所情報!$N42=$B$2,月途中入退所情報!$Q42,"-")</f>
        <v>-</v>
      </c>
      <c r="Z92" s="61" t="str">
        <f>IF(月途中入退所情報!$N42=$B$2,月途中入退所情報!$R42,"-")</f>
        <v>-</v>
      </c>
      <c r="AA92" s="61" t="str">
        <f>IF(月途中入退所情報!$N42=$B$2,月途中入退所情報!$S42,"-")</f>
        <v>-</v>
      </c>
      <c r="AB92" s="61" t="str">
        <f>IF(月途中入退所情報!$N42=$B$2,月途中入退所情報!$T42,"-")</f>
        <v>-</v>
      </c>
      <c r="AC92" s="84">
        <f>IF($Z92="標準時間",HLOOKUP($Y92,$F$31:$I$54,24,FALSE)-SUM($F$10,$F$21:$F$24,$F$26)-HLOOKUP($Y92,$F$31:$I$54,17,FALSE)+HLOOKUP($Y92,$F$31:$I$56,26,FALSE),IF($Z92="短時間",HLOOKUP($Y92,$J$31:$M$54,24,FALSE)-SUM($F$10,$F$21:$F$24,$F$26)-HLOOKUP($Y92,$J$31:$M$54,17,FALSE)+HLOOKUP($Y92,$J$31:$M$56,26,FALSE),0))+IF(AA92="○",加算と減算!$AH$3,0)</f>
        <v>0</v>
      </c>
      <c r="AD92" s="85">
        <f t="shared" si="56"/>
        <v>0</v>
      </c>
      <c r="AE92" s="262">
        <f t="shared" si="57"/>
        <v>0</v>
      </c>
    </row>
    <row r="93" spans="15:31">
      <c r="O93" s="61" t="str">
        <f>IF(月途中入退所情報!$D43=$B$2,月途中入退所情報!F43,"-")</f>
        <v>-</v>
      </c>
      <c r="P93" s="61" t="str">
        <f>IF(月途中入退所情報!$D43=$B$2,月途中入退所情報!G43,"-")</f>
        <v>-</v>
      </c>
      <c r="Q93" s="61" t="str">
        <f>IF(月途中入退所情報!$D43=$B$2,月途中入退所情報!H43,"-")</f>
        <v>-</v>
      </c>
      <c r="R93" s="61" t="str">
        <f>IF(月途中入退所情報!$D43=$B$2,月途中入退所情報!I43,"-")</f>
        <v>-</v>
      </c>
      <c r="S93" s="61" t="str">
        <f>IF(月途中入退所情報!$D43=$B$2,月途中入退所情報!J43,"-")</f>
        <v>-</v>
      </c>
      <c r="T93" s="84">
        <f>IF($Q93="標準時間",HLOOKUP($P93,$F$31:$I$54,24,FALSE)-SUM($F$10,$F$21:$F$24,$F$26)-HLOOKUP($P93,$F$31:$I$54,17,FALSE)+HLOOKUP($P93,$F$31:$I$56,26,FALSE),IF($Q93="短時間",HLOOKUP($P93,$J$31:$M$54,24,FALSE)-SUM($F$10,$F$21:$F$24,$F$26)-HLOOKUP($P93,$J$31:$M$54,17,FALSE)+HLOOKUP($P93,$J$31:$M$56,26,FALSE),0))+IF(R93="○",加算と減算!$AH$3,0)</f>
        <v>0</v>
      </c>
      <c r="U93" s="85">
        <f t="shared" si="55"/>
        <v>0</v>
      </c>
      <c r="V93" s="262">
        <f t="shared" si="58"/>
        <v>0</v>
      </c>
      <c r="W93" s="262"/>
      <c r="X93" s="61" t="str">
        <f>IF(月途中入退所情報!$N43=$B$2,月途中入退所情報!$P43,"-")</f>
        <v>-</v>
      </c>
      <c r="Y93" s="61" t="str">
        <f>IF(月途中入退所情報!$N43=$B$2,月途中入退所情報!$Q43,"-")</f>
        <v>-</v>
      </c>
      <c r="Z93" s="61" t="str">
        <f>IF(月途中入退所情報!$N43=$B$2,月途中入退所情報!$R43,"-")</f>
        <v>-</v>
      </c>
      <c r="AA93" s="61" t="str">
        <f>IF(月途中入退所情報!$N43=$B$2,月途中入退所情報!$S43,"-")</f>
        <v>-</v>
      </c>
      <c r="AB93" s="61" t="str">
        <f>IF(月途中入退所情報!$N43=$B$2,月途中入退所情報!$T43,"-")</f>
        <v>-</v>
      </c>
      <c r="AC93" s="84">
        <f>IF($Z93="標準時間",HLOOKUP($Y93,$F$31:$I$54,24,FALSE)-SUM($F$10,$F$21:$F$24,$F$26)-HLOOKUP($Y93,$F$31:$I$54,17,FALSE)+HLOOKUP($Y93,$F$31:$I$56,26,FALSE),IF($Z93="短時間",HLOOKUP($Y93,$J$31:$M$54,24,FALSE)-SUM($F$10,$F$21:$F$24,$F$26)-HLOOKUP($Y93,$J$31:$M$54,17,FALSE)+HLOOKUP($Y93,$J$31:$M$56,26,FALSE),0))+IF(AA93="○",加算と減算!$AH$3,0)</f>
        <v>0</v>
      </c>
      <c r="AD93" s="85">
        <f t="shared" si="56"/>
        <v>0</v>
      </c>
      <c r="AE93" s="262">
        <f t="shared" si="57"/>
        <v>0</v>
      </c>
    </row>
    <row r="94" spans="15:31">
      <c r="O94" s="61" t="str">
        <f>IF(月途中入退所情報!$D44=$B$2,月途中入退所情報!F44,"-")</f>
        <v>-</v>
      </c>
      <c r="P94" s="61" t="str">
        <f>IF(月途中入退所情報!$D44=$B$2,月途中入退所情報!G44,"-")</f>
        <v>-</v>
      </c>
      <c r="Q94" s="61" t="str">
        <f>IF(月途中入退所情報!$D44=$B$2,月途中入退所情報!H44,"-")</f>
        <v>-</v>
      </c>
      <c r="R94" s="61" t="str">
        <f>IF(月途中入退所情報!$D44=$B$2,月途中入退所情報!I44,"-")</f>
        <v>-</v>
      </c>
      <c r="S94" s="61" t="str">
        <f>IF(月途中入退所情報!$D44=$B$2,月途中入退所情報!J44,"-")</f>
        <v>-</v>
      </c>
      <c r="T94" s="84">
        <f>IF($Q94="標準時間",HLOOKUP($P94,$F$31:$I$54,24,FALSE)-SUM($F$10,$F$21:$F$24,$F$26)-HLOOKUP($P94,$F$31:$I$54,17,FALSE)+HLOOKUP($P94,$F$31:$I$56,26,FALSE),IF($Q94="短時間",HLOOKUP($P94,$J$31:$M$54,24,FALSE)-SUM($F$10,$F$21:$F$24,$F$26)-HLOOKUP($P94,$J$31:$M$54,17,FALSE)+HLOOKUP($P94,$J$31:$M$56,26,FALSE),0))+IF(R94="○",加算と減算!$AH$3,0)</f>
        <v>0</v>
      </c>
      <c r="U94" s="85">
        <f t="shared" si="55"/>
        <v>0</v>
      </c>
      <c r="V94" s="262">
        <f t="shared" si="58"/>
        <v>0</v>
      </c>
      <c r="W94" s="262"/>
      <c r="X94" s="61" t="str">
        <f>IF(月途中入退所情報!$N44=$B$2,月途中入退所情報!$P44,"-")</f>
        <v>-</v>
      </c>
      <c r="Y94" s="61" t="str">
        <f>IF(月途中入退所情報!$N44=$B$2,月途中入退所情報!$Q44,"-")</f>
        <v>-</v>
      </c>
      <c r="Z94" s="61" t="str">
        <f>IF(月途中入退所情報!$N44=$B$2,月途中入退所情報!$R44,"-")</f>
        <v>-</v>
      </c>
      <c r="AA94" s="61" t="str">
        <f>IF(月途中入退所情報!$N44=$B$2,月途中入退所情報!$S44,"-")</f>
        <v>-</v>
      </c>
      <c r="AB94" s="61" t="str">
        <f>IF(月途中入退所情報!$N44=$B$2,月途中入退所情報!$T44,"-")</f>
        <v>-</v>
      </c>
      <c r="AC94" s="84">
        <f>IF($Z94="標準時間",HLOOKUP($Y94,$F$31:$I$54,24,FALSE)-SUM($F$10,$F$21:$F$24,$F$26)-HLOOKUP($Y94,$F$31:$I$54,17,FALSE)+HLOOKUP($Y94,$F$31:$I$56,26,FALSE),IF($Z94="短時間",HLOOKUP($Y94,$J$31:$M$54,24,FALSE)-SUM($F$10,$F$21:$F$24,$F$26)-HLOOKUP($Y94,$J$31:$M$54,17,FALSE)+HLOOKUP($Y94,$J$31:$M$56,26,FALSE),0))+IF(AA94="○",加算と減算!$AH$3,0)</f>
        <v>0</v>
      </c>
      <c r="AD94" s="85">
        <f t="shared" si="56"/>
        <v>0</v>
      </c>
      <c r="AE94" s="262">
        <f t="shared" si="57"/>
        <v>0</v>
      </c>
    </row>
    <row r="95" spans="15:31">
      <c r="O95" s="61" t="str">
        <f>IF(月途中入退所情報!$D45=$B$2,月途中入退所情報!F45,"-")</f>
        <v>-</v>
      </c>
      <c r="P95" s="61" t="str">
        <f>IF(月途中入退所情報!$D45=$B$2,月途中入退所情報!G45,"-")</f>
        <v>-</v>
      </c>
      <c r="Q95" s="61" t="str">
        <f>IF(月途中入退所情報!$D45=$B$2,月途中入退所情報!H45,"-")</f>
        <v>-</v>
      </c>
      <c r="R95" s="61" t="str">
        <f>IF(月途中入退所情報!$D45=$B$2,月途中入退所情報!I45,"-")</f>
        <v>-</v>
      </c>
      <c r="S95" s="61" t="str">
        <f>IF(月途中入退所情報!$D45=$B$2,月途中入退所情報!J45,"-")</f>
        <v>-</v>
      </c>
      <c r="T95" s="84">
        <f>IF($Q95="標準時間",HLOOKUP($P95,$F$31:$I$54,24,FALSE)-SUM($F$10,$F$21:$F$24,$F$26)-HLOOKUP($P95,$F$31:$I$54,17,FALSE)+HLOOKUP($P95,$F$31:$I$56,26,FALSE),IF($Q95="短時間",HLOOKUP($P95,$J$31:$M$54,24,FALSE)-SUM($F$10,$F$21:$F$24,$F$26)-HLOOKUP($P95,$J$31:$M$54,17,FALSE)+HLOOKUP($P95,$J$31:$M$56,26,FALSE),0))+IF(R95="○",加算と減算!$AH$3,0)</f>
        <v>0</v>
      </c>
      <c r="U95" s="85">
        <f t="shared" si="55"/>
        <v>0</v>
      </c>
      <c r="V95" s="262">
        <f t="shared" si="58"/>
        <v>0</v>
      </c>
      <c r="W95" s="262"/>
      <c r="X95" s="61" t="str">
        <f>IF(月途中入退所情報!$N45=$B$2,月途中入退所情報!$P45,"-")</f>
        <v>-</v>
      </c>
      <c r="Y95" s="61" t="str">
        <f>IF(月途中入退所情報!$N45=$B$2,月途中入退所情報!$Q45,"-")</f>
        <v>-</v>
      </c>
      <c r="Z95" s="61" t="str">
        <f>IF(月途中入退所情報!$N45=$B$2,月途中入退所情報!$R45,"-")</f>
        <v>-</v>
      </c>
      <c r="AA95" s="61" t="str">
        <f>IF(月途中入退所情報!$N45=$B$2,月途中入退所情報!$S45,"-")</f>
        <v>-</v>
      </c>
      <c r="AB95" s="61" t="str">
        <f>IF(月途中入退所情報!$N45=$B$2,月途中入退所情報!$T45,"-")</f>
        <v>-</v>
      </c>
      <c r="AC95" s="84">
        <f>IF($Z95="標準時間",HLOOKUP($Y95,$F$31:$I$54,24,FALSE)-SUM($F$10,$F$21:$F$24,$F$26)-HLOOKUP($Y95,$F$31:$I$54,17,FALSE)+HLOOKUP($Y95,$F$31:$I$56,26,FALSE),IF($Z95="短時間",HLOOKUP($Y95,$J$31:$M$54,24,FALSE)-SUM($F$10,$F$21:$F$24,$F$26)-HLOOKUP($Y95,$J$31:$M$54,17,FALSE)+HLOOKUP($Y95,$J$31:$M$56,26,FALSE),0))+IF(AA95="○",加算と減算!$AH$3,0)</f>
        <v>0</v>
      </c>
      <c r="AD95" s="85">
        <f t="shared" si="56"/>
        <v>0</v>
      </c>
      <c r="AE95" s="262">
        <f t="shared" si="57"/>
        <v>0</v>
      </c>
    </row>
    <row r="96" spans="15:31">
      <c r="O96" s="61" t="str">
        <f>IF(月途中入退所情報!$D46=$B$2,月途中入退所情報!F46,"-")</f>
        <v>-</v>
      </c>
      <c r="P96" s="61" t="str">
        <f>IF(月途中入退所情報!$D46=$B$2,月途中入退所情報!G46,"-")</f>
        <v>-</v>
      </c>
      <c r="Q96" s="61" t="str">
        <f>IF(月途中入退所情報!$D46=$B$2,月途中入退所情報!H46,"-")</f>
        <v>-</v>
      </c>
      <c r="R96" s="61" t="str">
        <f>IF(月途中入退所情報!$D46=$B$2,月途中入退所情報!I46,"-")</f>
        <v>-</v>
      </c>
      <c r="S96" s="61" t="str">
        <f>IF(月途中入退所情報!$D46=$B$2,月途中入退所情報!J46,"-")</f>
        <v>-</v>
      </c>
      <c r="T96" s="84">
        <f>IF($Q96="標準時間",HLOOKUP($P96,$F$31:$I$54,24,FALSE)-SUM($F$10,$F$21:$F$24,$F$26)-HLOOKUP($P96,$F$31:$I$54,17,FALSE)+HLOOKUP($P96,$F$31:$I$56,26,FALSE),IF($Q96="短時間",HLOOKUP($P96,$J$31:$M$54,24,FALSE)-SUM($F$10,$F$21:$F$24,$F$26)-HLOOKUP($P96,$J$31:$M$54,17,FALSE)+HLOOKUP($P96,$J$31:$M$56,26,FALSE),0))+IF(R96="○",加算と減算!$AH$3,0)</f>
        <v>0</v>
      </c>
      <c r="U96" s="85">
        <f t="shared" si="55"/>
        <v>0</v>
      </c>
      <c r="V96" s="262">
        <f t="shared" si="58"/>
        <v>0</v>
      </c>
      <c r="W96" s="262"/>
      <c r="X96" s="61" t="str">
        <f>IF(月途中入退所情報!$N46=$B$2,月途中入退所情報!$P46,"-")</f>
        <v>-</v>
      </c>
      <c r="Y96" s="61" t="str">
        <f>IF(月途中入退所情報!$N46=$B$2,月途中入退所情報!$Q46,"-")</f>
        <v>-</v>
      </c>
      <c r="Z96" s="61" t="str">
        <f>IF(月途中入退所情報!$N46=$B$2,月途中入退所情報!$R46,"-")</f>
        <v>-</v>
      </c>
      <c r="AA96" s="61" t="str">
        <f>IF(月途中入退所情報!$N46=$B$2,月途中入退所情報!$S46,"-")</f>
        <v>-</v>
      </c>
      <c r="AB96" s="61" t="str">
        <f>IF(月途中入退所情報!$N46=$B$2,月途中入退所情報!$T46,"-")</f>
        <v>-</v>
      </c>
      <c r="AC96" s="84">
        <f>IF($Z96="標準時間",HLOOKUP($Y96,$F$31:$I$54,24,FALSE)-SUM($F$10,$F$21:$F$24,$F$26)-HLOOKUP($Y96,$F$31:$I$54,17,FALSE)+HLOOKUP($Y96,$F$31:$I$56,26,FALSE),IF($Z96="短時間",HLOOKUP($Y96,$J$31:$M$54,24,FALSE)-SUM($F$10,$F$21:$F$24,$F$26)-HLOOKUP($Y96,$J$31:$M$54,17,FALSE)+HLOOKUP($Y96,$J$31:$M$56,26,FALSE),0))+IF(AA96="○",加算と減算!$AH$3,0)</f>
        <v>0</v>
      </c>
      <c r="AD96" s="85">
        <f t="shared" si="56"/>
        <v>0</v>
      </c>
      <c r="AE96" s="262">
        <f t="shared" si="57"/>
        <v>0</v>
      </c>
    </row>
    <row r="97" spans="15:31">
      <c r="O97" s="61" t="str">
        <f>IF(月途中入退所情報!$D47=$B$2,月途中入退所情報!F47,"-")</f>
        <v>-</v>
      </c>
      <c r="P97" s="61" t="str">
        <f>IF(月途中入退所情報!$D47=$B$2,月途中入退所情報!G47,"-")</f>
        <v>-</v>
      </c>
      <c r="Q97" s="61" t="str">
        <f>IF(月途中入退所情報!$D47=$B$2,月途中入退所情報!H47,"-")</f>
        <v>-</v>
      </c>
      <c r="R97" s="61" t="str">
        <f>IF(月途中入退所情報!$D47=$B$2,月途中入退所情報!I47,"-")</f>
        <v>-</v>
      </c>
      <c r="S97" s="61" t="str">
        <f>IF(月途中入退所情報!$D47=$B$2,月途中入退所情報!J47,"-")</f>
        <v>-</v>
      </c>
      <c r="T97" s="84">
        <f>IF($Q97="標準時間",HLOOKUP($P97,$F$31:$I$54,24,FALSE)-SUM($F$10,$F$21:$F$24,$F$26)-HLOOKUP($P97,$F$31:$I$54,17,FALSE)+HLOOKUP($P97,$F$31:$I$56,26,FALSE),IF($Q97="短時間",HLOOKUP($P97,$J$31:$M$54,24,FALSE)-SUM($F$10,$F$21:$F$24,$F$26)-HLOOKUP($P97,$J$31:$M$54,17,FALSE)+HLOOKUP($P97,$J$31:$M$56,26,FALSE),0))+IF(R97="○",加算と減算!$AH$3,0)</f>
        <v>0</v>
      </c>
      <c r="U97" s="85">
        <f t="shared" si="55"/>
        <v>0</v>
      </c>
      <c r="V97" s="262">
        <f t="shared" si="58"/>
        <v>0</v>
      </c>
      <c r="W97" s="262"/>
      <c r="X97" s="61" t="str">
        <f>IF(月途中入退所情報!$N47=$B$2,月途中入退所情報!$P47,"-")</f>
        <v>-</v>
      </c>
      <c r="Y97" s="61" t="str">
        <f>IF(月途中入退所情報!$N47=$B$2,月途中入退所情報!$Q47,"-")</f>
        <v>-</v>
      </c>
      <c r="Z97" s="61" t="str">
        <f>IF(月途中入退所情報!$N47=$B$2,月途中入退所情報!$R47,"-")</f>
        <v>-</v>
      </c>
      <c r="AA97" s="61" t="str">
        <f>IF(月途中入退所情報!$N47=$B$2,月途中入退所情報!$S47,"-")</f>
        <v>-</v>
      </c>
      <c r="AB97" s="61" t="str">
        <f>IF(月途中入退所情報!$N47=$B$2,月途中入退所情報!$T47,"-")</f>
        <v>-</v>
      </c>
      <c r="AC97" s="84">
        <f>IF($Z97="標準時間",HLOOKUP($Y97,$F$31:$I$54,24,FALSE)-SUM($F$10,$F$21:$F$24,$F$26)-HLOOKUP($Y97,$F$31:$I$54,17,FALSE)+HLOOKUP($Y97,$F$31:$I$56,26,FALSE),IF($Z97="短時間",HLOOKUP($Y97,$J$31:$M$54,24,FALSE)-SUM($F$10,$F$21:$F$24,$F$26)-HLOOKUP($Y97,$J$31:$M$54,17,FALSE)+HLOOKUP($Y97,$J$31:$M$56,26,FALSE),0))+IF(AA97="○",加算と減算!$AH$3,0)</f>
        <v>0</v>
      </c>
      <c r="AD97" s="85">
        <f t="shared" si="56"/>
        <v>0</v>
      </c>
      <c r="AE97" s="262">
        <f t="shared" si="57"/>
        <v>0</v>
      </c>
    </row>
    <row r="98" spans="15:31">
      <c r="O98" s="61" t="str">
        <f>IF(月途中入退所情報!$D48=$B$2,月途中入退所情報!F48,"-")</f>
        <v>-</v>
      </c>
      <c r="P98" s="61" t="str">
        <f>IF(月途中入退所情報!$D48=$B$2,月途中入退所情報!G48,"-")</f>
        <v>-</v>
      </c>
      <c r="Q98" s="61" t="str">
        <f>IF(月途中入退所情報!$D48=$B$2,月途中入退所情報!H48,"-")</f>
        <v>-</v>
      </c>
      <c r="R98" s="61" t="str">
        <f>IF(月途中入退所情報!$D48=$B$2,月途中入退所情報!I48,"-")</f>
        <v>-</v>
      </c>
      <c r="S98" s="61" t="str">
        <f>IF(月途中入退所情報!$D48=$B$2,月途中入退所情報!J48,"-")</f>
        <v>-</v>
      </c>
      <c r="T98" s="84">
        <f>IF($Q98="標準時間",HLOOKUP($P98,$F$31:$I$54,24,FALSE)-SUM($F$10,$F$21:$F$24,$F$26)-HLOOKUP($P98,$F$31:$I$54,17,FALSE)+HLOOKUP($P98,$F$31:$I$56,26,FALSE),IF($Q98="短時間",HLOOKUP($P98,$J$31:$M$54,24,FALSE)-SUM($F$10,$F$21:$F$24,$F$26)-HLOOKUP($P98,$J$31:$M$54,17,FALSE)+HLOOKUP($P98,$J$31:$M$56,26,FALSE),0))+IF(R98="○",加算と減算!$AH$3,0)</f>
        <v>0</v>
      </c>
      <c r="U98" s="85">
        <f t="shared" si="55"/>
        <v>0</v>
      </c>
      <c r="V98" s="262">
        <f t="shared" si="58"/>
        <v>0</v>
      </c>
      <c r="W98" s="262"/>
      <c r="X98" s="61" t="str">
        <f>IF(月途中入退所情報!$N48=$B$2,月途中入退所情報!$P48,"-")</f>
        <v>-</v>
      </c>
      <c r="Y98" s="61" t="str">
        <f>IF(月途中入退所情報!$N48=$B$2,月途中入退所情報!$Q48,"-")</f>
        <v>-</v>
      </c>
      <c r="Z98" s="61" t="str">
        <f>IF(月途中入退所情報!$N48=$B$2,月途中入退所情報!$R48,"-")</f>
        <v>-</v>
      </c>
      <c r="AA98" s="61" t="str">
        <f>IF(月途中入退所情報!$N48=$B$2,月途中入退所情報!$S48,"-")</f>
        <v>-</v>
      </c>
      <c r="AB98" s="61" t="str">
        <f>IF(月途中入退所情報!$N48=$B$2,月途中入退所情報!$T48,"-")</f>
        <v>-</v>
      </c>
      <c r="AC98" s="84">
        <f>IF($Z98="標準時間",HLOOKUP($Y98,$F$31:$I$54,24,FALSE)-SUM($F$10,$F$21:$F$24,$F$26)-HLOOKUP($Y98,$F$31:$I$54,17,FALSE)+HLOOKUP($Y98,$F$31:$I$56,26,FALSE),IF($Z98="短時間",HLOOKUP($Y98,$J$31:$M$54,24,FALSE)-SUM($F$10,$F$21:$F$24,$F$26)-HLOOKUP($Y98,$J$31:$M$54,17,FALSE)+HLOOKUP($Y98,$J$31:$M$56,26,FALSE),0))+IF(AA98="○",加算と減算!$AH$3,0)</f>
        <v>0</v>
      </c>
      <c r="AD98" s="85">
        <f t="shared" si="56"/>
        <v>0</v>
      </c>
      <c r="AE98" s="262">
        <f t="shared" si="57"/>
        <v>0</v>
      </c>
    </row>
    <row r="99" spans="15:31">
      <c r="O99" s="61" t="str">
        <f>IF(月途中入退所情報!$D49=$B$2,月途中入退所情報!F49,"-")</f>
        <v>-</v>
      </c>
      <c r="P99" s="61" t="str">
        <f>IF(月途中入退所情報!$D49=$B$2,月途中入退所情報!G49,"-")</f>
        <v>-</v>
      </c>
      <c r="Q99" s="61" t="str">
        <f>IF(月途中入退所情報!$D49=$B$2,月途中入退所情報!H49,"-")</f>
        <v>-</v>
      </c>
      <c r="R99" s="61" t="str">
        <f>IF(月途中入退所情報!$D49=$B$2,月途中入退所情報!I49,"-")</f>
        <v>-</v>
      </c>
      <c r="S99" s="61" t="str">
        <f>IF(月途中入退所情報!$D49=$B$2,月途中入退所情報!J49,"-")</f>
        <v>-</v>
      </c>
      <c r="T99" s="84">
        <f>IF($Q99="標準時間",HLOOKUP($P99,$F$31:$I$54,24,FALSE)-SUM($F$10,$F$21:$F$24,$F$26)-HLOOKUP($P99,$F$31:$I$54,17,FALSE)+HLOOKUP($P99,$F$31:$I$56,26,FALSE),IF($Q99="短時間",HLOOKUP($P99,$J$31:$M$54,24,FALSE)-SUM($F$10,$F$21:$F$24,$F$26)-HLOOKUP($P99,$J$31:$M$54,17,FALSE)+HLOOKUP($P99,$J$31:$M$56,26,FALSE),0))+IF(R99="○",加算と減算!$AH$3,0)</f>
        <v>0</v>
      </c>
      <c r="U99" s="85">
        <f t="shared" si="55"/>
        <v>0</v>
      </c>
      <c r="V99" s="262">
        <f t="shared" si="58"/>
        <v>0</v>
      </c>
      <c r="W99" s="262"/>
      <c r="X99" s="61" t="str">
        <f>IF(月途中入退所情報!$N49=$B$2,月途中入退所情報!$P49,"-")</f>
        <v>-</v>
      </c>
      <c r="Y99" s="61" t="str">
        <f>IF(月途中入退所情報!$N49=$B$2,月途中入退所情報!$Q49,"-")</f>
        <v>-</v>
      </c>
      <c r="Z99" s="61" t="str">
        <f>IF(月途中入退所情報!$N49=$B$2,月途中入退所情報!$R49,"-")</f>
        <v>-</v>
      </c>
      <c r="AA99" s="61" t="str">
        <f>IF(月途中入退所情報!$N49=$B$2,月途中入退所情報!$S49,"-")</f>
        <v>-</v>
      </c>
      <c r="AB99" s="61" t="str">
        <f>IF(月途中入退所情報!$N49=$B$2,月途中入退所情報!$T49,"-")</f>
        <v>-</v>
      </c>
      <c r="AC99" s="84">
        <f>IF($Z99="標準時間",HLOOKUP($Y99,$F$31:$I$54,24,FALSE)-SUM($F$10,$F$21:$F$24,$F$26)-HLOOKUP($Y99,$F$31:$I$54,17,FALSE)+HLOOKUP($Y99,$F$31:$I$56,26,FALSE),IF($Z99="短時間",HLOOKUP($Y99,$J$31:$M$54,24,FALSE)-SUM($F$10,$F$21:$F$24,$F$26)-HLOOKUP($Y99,$J$31:$M$54,17,FALSE)+HLOOKUP($Y99,$J$31:$M$56,26,FALSE),0))+IF(AA99="○",加算と減算!$AH$3,0)</f>
        <v>0</v>
      </c>
      <c r="AD99" s="85">
        <f t="shared" si="56"/>
        <v>0</v>
      </c>
      <c r="AE99" s="262">
        <f t="shared" si="57"/>
        <v>0</v>
      </c>
    </row>
    <row r="100" spans="15:31">
      <c r="O100" s="61" t="str">
        <f>IF(月途中入退所情報!$D50=$B$2,月途中入退所情報!F50,"-")</f>
        <v>-</v>
      </c>
      <c r="P100" s="61" t="str">
        <f>IF(月途中入退所情報!$D50=$B$2,月途中入退所情報!G50,"-")</f>
        <v>-</v>
      </c>
      <c r="Q100" s="61" t="str">
        <f>IF(月途中入退所情報!$D50=$B$2,月途中入退所情報!H50,"-")</f>
        <v>-</v>
      </c>
      <c r="R100" s="61" t="str">
        <f>IF(月途中入退所情報!$D50=$B$2,月途中入退所情報!I50,"-")</f>
        <v>-</v>
      </c>
      <c r="S100" s="61" t="str">
        <f>IF(月途中入退所情報!$D50=$B$2,月途中入退所情報!J50,"-")</f>
        <v>-</v>
      </c>
      <c r="T100" s="84">
        <f>IF($Q100="標準時間",HLOOKUP($P100,$F$31:$I$54,24,FALSE)-SUM($F$10,$F$21:$F$24,$F$26)-HLOOKUP($P100,$F$31:$I$54,17,FALSE)+HLOOKUP($P100,$F$31:$I$56,26,FALSE),IF($Q100="短時間",HLOOKUP($P100,$J$31:$M$54,24,FALSE)-SUM($F$10,$F$21:$F$24,$F$26)-HLOOKUP($P100,$J$31:$M$54,17,FALSE)+HLOOKUP($P100,$J$31:$M$56,26,FALSE),0))+IF(R100="○",加算と減算!$AH$3,0)</f>
        <v>0</v>
      </c>
      <c r="U100" s="85">
        <f t="shared" si="55"/>
        <v>0</v>
      </c>
      <c r="V100" s="262">
        <f t="shared" si="58"/>
        <v>0</v>
      </c>
      <c r="W100" s="262"/>
      <c r="X100" s="61" t="str">
        <f>IF(月途中入退所情報!$N50=$B$2,月途中入退所情報!$P50,"-")</f>
        <v>-</v>
      </c>
      <c r="Y100" s="61" t="str">
        <f>IF(月途中入退所情報!$N50=$B$2,月途中入退所情報!$Q50,"-")</f>
        <v>-</v>
      </c>
      <c r="Z100" s="61" t="str">
        <f>IF(月途中入退所情報!$N50=$B$2,月途中入退所情報!$R50,"-")</f>
        <v>-</v>
      </c>
      <c r="AA100" s="61" t="str">
        <f>IF(月途中入退所情報!$N50=$B$2,月途中入退所情報!$S50,"-")</f>
        <v>-</v>
      </c>
      <c r="AB100" s="61" t="str">
        <f>IF(月途中入退所情報!$N50=$B$2,月途中入退所情報!$T50,"-")</f>
        <v>-</v>
      </c>
      <c r="AC100" s="84">
        <f>IF($Z100="標準時間",HLOOKUP($Y100,$F$31:$I$54,24,FALSE)-SUM($F$10,$F$21:$F$24,$F$26)-HLOOKUP($Y100,$F$31:$I$54,17,FALSE)+HLOOKUP($Y100,$F$31:$I$56,26,FALSE),IF($Z100="短時間",HLOOKUP($Y100,$J$31:$M$54,24,FALSE)-SUM($F$10,$F$21:$F$24,$F$26)-HLOOKUP($Y100,$J$31:$M$54,17,FALSE)+HLOOKUP($Y100,$J$31:$M$56,26,FALSE),0))+IF(AA100="○",加算と減算!$AH$3,0)</f>
        <v>0</v>
      </c>
      <c r="AD100" s="85">
        <f t="shared" si="56"/>
        <v>0</v>
      </c>
      <c r="AE100" s="262">
        <f t="shared" si="57"/>
        <v>0</v>
      </c>
    </row>
    <row r="101" spans="15:31">
      <c r="T101" s="86" t="s">
        <v>36</v>
      </c>
      <c r="U101" s="85">
        <f>SUM(U81:U100)</f>
        <v>0</v>
      </c>
      <c r="V101" s="262">
        <f>SUM(V81:V100)</f>
        <v>0</v>
      </c>
      <c r="W101" s="262"/>
      <c r="AC101" s="86" t="s">
        <v>36</v>
      </c>
      <c r="AD101" s="85">
        <f>SUM(AD81:AD100)</f>
        <v>0</v>
      </c>
      <c r="AE101" s="264">
        <f>SUM(AE81:AE100)</f>
        <v>0</v>
      </c>
    </row>
  </sheetData>
  <sheetProtection algorithmName="SHA-512" hashValue="BtZ5B3MQ5jpCUZ3Obsj5uvevvPdr2T5zJl5C2APRA31wlQh+3YN5S5IH8pgqvUJK/ILJfrtFTtOH5i/aluDsXw==" saltValue="cTNiyso3v9bmJ+1Fjqd/TQ==" spinCount="100000" sheet="1" objects="1" scenarios="1"/>
  <mergeCells count="89">
    <mergeCell ref="B2:D2"/>
    <mergeCell ref="B4:B27"/>
    <mergeCell ref="C4:D5"/>
    <mergeCell ref="E4:E5"/>
    <mergeCell ref="F4:I4"/>
    <mergeCell ref="C17:C20"/>
    <mergeCell ref="C21:C26"/>
    <mergeCell ref="D15:D16"/>
    <mergeCell ref="D17:D18"/>
    <mergeCell ref="C8:C16"/>
    <mergeCell ref="U4:X4"/>
    <mergeCell ref="Y4:Y5"/>
    <mergeCell ref="C6:D7"/>
    <mergeCell ref="D8:D9"/>
    <mergeCell ref="D11:D12"/>
    <mergeCell ref="J4:M4"/>
    <mergeCell ref="O4:O11"/>
    <mergeCell ref="P4:P5"/>
    <mergeCell ref="Q4:T4"/>
    <mergeCell ref="O13:O20"/>
    <mergeCell ref="P13:P14"/>
    <mergeCell ref="Q13:T13"/>
    <mergeCell ref="U13:X13"/>
    <mergeCell ref="Y13:Y14"/>
    <mergeCell ref="O22:O28"/>
    <mergeCell ref="T22:T28"/>
    <mergeCell ref="C27:D27"/>
    <mergeCell ref="B30:B54"/>
    <mergeCell ref="C30:D31"/>
    <mergeCell ref="E30:E31"/>
    <mergeCell ref="F30:I30"/>
    <mergeCell ref="J30:M30"/>
    <mergeCell ref="O30:O37"/>
    <mergeCell ref="P30:P31"/>
    <mergeCell ref="Q30:T30"/>
    <mergeCell ref="C48:C53"/>
    <mergeCell ref="O48:O54"/>
    <mergeCell ref="T48:T54"/>
    <mergeCell ref="U30:X30"/>
    <mergeCell ref="Y30:Y31"/>
    <mergeCell ref="C32:D33"/>
    <mergeCell ref="C34:C42"/>
    <mergeCell ref="D34:D35"/>
    <mergeCell ref="D37:D38"/>
    <mergeCell ref="O39:O46"/>
    <mergeCell ref="P39:P40"/>
    <mergeCell ref="Q39:T39"/>
    <mergeCell ref="Y39:Y40"/>
    <mergeCell ref="D41:D42"/>
    <mergeCell ref="C43:C47"/>
    <mergeCell ref="D44:D45"/>
    <mergeCell ref="U39:X39"/>
    <mergeCell ref="O79:P79"/>
    <mergeCell ref="X48:Y48"/>
    <mergeCell ref="C54:D54"/>
    <mergeCell ref="O56:P56"/>
    <mergeCell ref="X56:Y56"/>
    <mergeCell ref="F59:I59"/>
    <mergeCell ref="J59:M59"/>
    <mergeCell ref="D61:D62"/>
    <mergeCell ref="D65:D66"/>
    <mergeCell ref="D68:E69"/>
    <mergeCell ref="F69:M69"/>
    <mergeCell ref="AM4:AM27"/>
    <mergeCell ref="AN4:AO5"/>
    <mergeCell ref="AP4:AP5"/>
    <mergeCell ref="AN6:AO7"/>
    <mergeCell ref="AN8:AN16"/>
    <mergeCell ref="AO8:AO9"/>
    <mergeCell ref="AO11:AO12"/>
    <mergeCell ref="AO15:AO16"/>
    <mergeCell ref="AN17:AN20"/>
    <mergeCell ref="AO17:AO18"/>
    <mergeCell ref="AN21:AN26"/>
    <mergeCell ref="AN27:AO27"/>
    <mergeCell ref="AN55:AO55"/>
    <mergeCell ref="AN28:AO28"/>
    <mergeCell ref="AM30:AM54"/>
    <mergeCell ref="AN30:AO31"/>
    <mergeCell ref="AP30:AP31"/>
    <mergeCell ref="AN32:AO33"/>
    <mergeCell ref="AN34:AN42"/>
    <mergeCell ref="AO34:AO35"/>
    <mergeCell ref="AO37:AO38"/>
    <mergeCell ref="AO41:AO42"/>
    <mergeCell ref="AN43:AN47"/>
    <mergeCell ref="AO44:AO45"/>
    <mergeCell ref="AN48:AN53"/>
    <mergeCell ref="AN54:AO54"/>
  </mergeCells>
  <phoneticPr fontId="2"/>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F09DE-3E2B-400B-B451-3F379AF60275}">
  <sheetPr>
    <tabColor theme="1"/>
  </sheetPr>
  <dimension ref="B1:AQ101"/>
  <sheetViews>
    <sheetView view="pageBreakPreview" zoomScale="85" zoomScaleNormal="55" zoomScaleSheetLayoutView="85" workbookViewId="0">
      <pane ySplit="5" topLeftCell="A6" activePane="bottomLeft" state="frozen"/>
      <selection activeCell="V65" sqref="V65"/>
      <selection pane="bottomLeft" activeCell="A6" sqref="A6"/>
    </sheetView>
  </sheetViews>
  <sheetFormatPr defaultColWidth="8.75" defaultRowHeight="15"/>
  <cols>
    <col min="1" max="1" width="1" style="2" customWidth="1"/>
    <col min="2" max="3" width="2.75" style="2" customWidth="1"/>
    <col min="4" max="4" width="16.5" style="1" customWidth="1"/>
    <col min="5" max="5" width="8.25" style="57" customWidth="1"/>
    <col min="6" max="13" width="7.25" style="2" customWidth="1"/>
    <col min="14" max="14" width="1" style="2" customWidth="1"/>
    <col min="15" max="16" width="8.625" style="2" customWidth="1"/>
    <col min="17" max="25" width="9.75" style="2" customWidth="1"/>
    <col min="26" max="27" width="8.75" style="2" customWidth="1"/>
    <col min="28" max="31" width="8.875" style="2" customWidth="1"/>
    <col min="32" max="38" width="8.75" style="2"/>
    <col min="39" max="40" width="3.875" style="2" bestFit="1" customWidth="1"/>
    <col min="41" max="41" width="16.5" style="2" bestFit="1" customWidth="1"/>
    <col min="42" max="42" width="8.75" style="2"/>
    <col min="43" max="43" width="9.375" style="264" bestFit="1" customWidth="1"/>
    <col min="44" max="16384" width="8.75" style="2"/>
  </cols>
  <sheetData>
    <row r="1" spans="2:43" ht="4.9000000000000004" customHeight="1" thickBot="1">
      <c r="F1" s="57"/>
      <c r="G1" s="57"/>
      <c r="H1" s="57"/>
      <c r="I1" s="57"/>
      <c r="J1" s="57"/>
      <c r="K1" s="57"/>
      <c r="L1" s="57"/>
      <c r="M1" s="57"/>
    </row>
    <row r="2" spans="2:43" ht="15.75" thickBot="1">
      <c r="B2" s="1450">
        <v>10</v>
      </c>
      <c r="C2" s="1451"/>
      <c r="D2" s="1452"/>
      <c r="E2" s="2"/>
      <c r="F2" s="55" t="s">
        <v>183</v>
      </c>
      <c r="G2" s="72">
        <f>児童数!O14</f>
        <v>0</v>
      </c>
      <c r="H2" s="73" t="s">
        <v>184</v>
      </c>
      <c r="I2" s="72">
        <f>児童数!AB14</f>
        <v>0</v>
      </c>
      <c r="J2" s="73" t="s">
        <v>182</v>
      </c>
      <c r="K2" s="72">
        <f>G2+I2</f>
        <v>0</v>
      </c>
      <c r="L2" s="62"/>
      <c r="N2" s="1"/>
      <c r="O2" s="55" t="s">
        <v>192</v>
      </c>
      <c r="P2" s="78">
        <f>IF(基本情報!E5="",0,基本情報!G10)</f>
        <v>0</v>
      </c>
      <c r="Q2" s="77" t="s">
        <v>11</v>
      </c>
      <c r="R2" s="55" t="s">
        <v>202</v>
      </c>
      <c r="S2" s="257">
        <f>IF(基本情報!E12="１日",単価表!BB11,IF(基本情報!E12="２日",単価表!BC11,IF(基本情報!E12="３日",単価表!BD11,IF(基本情報!E12="全て",単価表!BE11,0))))*100</f>
        <v>0</v>
      </c>
      <c r="T2" s="258">
        <f>IF(基本情報!E12="１日",単価表!BB27,IF(基本情報!E12="２日",単価表!BC27,IF(基本情報!E12="３日",単価表!BD27,IF(基本情報!E12="全て",単価表!BE27,0))))*100</f>
        <v>0</v>
      </c>
      <c r="U2" s="55" t="s">
        <v>198</v>
      </c>
      <c r="V2" s="257">
        <f>IF(基本情報!E14="該当",定員超過減算率!C2,0)</f>
        <v>0</v>
      </c>
      <c r="W2" s="258">
        <f>IF(基本情報!E14="該当",定員超過減算率!C3,0)</f>
        <v>0</v>
      </c>
      <c r="X2" s="55"/>
      <c r="Y2" s="55"/>
      <c r="AC2" s="1" t="s">
        <v>206</v>
      </c>
      <c r="AD2" s="1" t="s">
        <v>207</v>
      </c>
    </row>
    <row r="3" spans="2:43" ht="6" customHeight="1">
      <c r="K3" s="1"/>
    </row>
    <row r="4" spans="2:43" ht="15" customHeight="1">
      <c r="B4" s="1426" t="s">
        <v>181</v>
      </c>
      <c r="C4" s="1429"/>
      <c r="D4" s="1429"/>
      <c r="E4" s="1416" t="s">
        <v>172</v>
      </c>
      <c r="F4" s="1418" t="s">
        <v>15</v>
      </c>
      <c r="G4" s="1418"/>
      <c r="H4" s="1418"/>
      <c r="I4" s="1418"/>
      <c r="J4" s="1418" t="s">
        <v>16</v>
      </c>
      <c r="K4" s="1418"/>
      <c r="L4" s="1418"/>
      <c r="M4" s="1418"/>
      <c r="O4" s="1449" t="s">
        <v>40</v>
      </c>
      <c r="P4" s="1446" t="s">
        <v>171</v>
      </c>
      <c r="Q4" s="1440" t="s">
        <v>15</v>
      </c>
      <c r="R4" s="1440"/>
      <c r="S4" s="1440"/>
      <c r="T4" s="1440"/>
      <c r="U4" s="1440" t="s">
        <v>16</v>
      </c>
      <c r="V4" s="1440"/>
      <c r="W4" s="1440"/>
      <c r="X4" s="1440"/>
      <c r="Y4" s="1441" t="s">
        <v>177</v>
      </c>
      <c r="Z4" s="11"/>
      <c r="AA4" s="1"/>
      <c r="AM4" s="1426" t="s">
        <v>181</v>
      </c>
      <c r="AN4" s="1429"/>
      <c r="AO4" s="1429"/>
      <c r="AP4" s="1416" t="s">
        <v>172</v>
      </c>
      <c r="AQ4" s="85"/>
    </row>
    <row r="5" spans="2:43" s="1" customFormat="1">
      <c r="B5" s="1427"/>
      <c r="C5" s="1429"/>
      <c r="D5" s="1429"/>
      <c r="E5" s="1417"/>
      <c r="F5" s="370" t="s">
        <v>6</v>
      </c>
      <c r="G5" s="370" t="s">
        <v>7</v>
      </c>
      <c r="H5" s="370" t="s">
        <v>8</v>
      </c>
      <c r="I5" s="370" t="s">
        <v>9</v>
      </c>
      <c r="J5" s="370" t="s">
        <v>6</v>
      </c>
      <c r="K5" s="370" t="s">
        <v>7</v>
      </c>
      <c r="L5" s="370" t="s">
        <v>8</v>
      </c>
      <c r="M5" s="370" t="s">
        <v>9</v>
      </c>
      <c r="O5" s="1444"/>
      <c r="P5" s="1446"/>
      <c r="Q5" s="368" t="s">
        <v>6</v>
      </c>
      <c r="R5" s="368" t="s">
        <v>7</v>
      </c>
      <c r="S5" s="368" t="s">
        <v>8</v>
      </c>
      <c r="T5" s="368" t="s">
        <v>9</v>
      </c>
      <c r="U5" s="368" t="s">
        <v>6</v>
      </c>
      <c r="V5" s="368" t="s">
        <v>7</v>
      </c>
      <c r="W5" s="368" t="s">
        <v>8</v>
      </c>
      <c r="X5" s="368" t="s">
        <v>9</v>
      </c>
      <c r="Y5" s="1442"/>
      <c r="Z5" s="11"/>
      <c r="AC5" s="1" t="s">
        <v>6</v>
      </c>
      <c r="AD5" s="1" t="s">
        <v>212</v>
      </c>
      <c r="AM5" s="1427"/>
      <c r="AN5" s="1429"/>
      <c r="AO5" s="1429"/>
      <c r="AP5" s="1417"/>
      <c r="AQ5" s="85"/>
    </row>
    <row r="6" spans="2:43" s="1" customFormat="1">
      <c r="B6" s="1427"/>
      <c r="C6" s="1418" t="s">
        <v>17</v>
      </c>
      <c r="D6" s="1418"/>
      <c r="E6" s="53" t="s">
        <v>169</v>
      </c>
      <c r="F6" s="3" t="e">
        <f>単価表!AV7</f>
        <v>#VALUE!</v>
      </c>
      <c r="G6" s="3" t="e">
        <f>単価表!AV9</f>
        <v>#VALUE!</v>
      </c>
      <c r="H6" s="3" t="e">
        <f>単価表!AV11</f>
        <v>#VALUE!</v>
      </c>
      <c r="I6" s="3" t="e">
        <f>単価表!AV13</f>
        <v>#VALUE!</v>
      </c>
      <c r="J6" s="3" t="e">
        <f>単価表!AW7</f>
        <v>#VALUE!</v>
      </c>
      <c r="K6" s="3" t="e">
        <f>単価表!AW9</f>
        <v>#VALUE!</v>
      </c>
      <c r="L6" s="3" t="e">
        <f>単価表!AW11</f>
        <v>#VALUE!</v>
      </c>
      <c r="M6" s="3" t="e">
        <f>単価表!AW13</f>
        <v>#VALUE!</v>
      </c>
      <c r="O6" s="1444"/>
      <c r="P6" s="630">
        <f>基本情報!E17</f>
        <v>0</v>
      </c>
      <c r="Q6" s="3">
        <f>児童数!E28</f>
        <v>0</v>
      </c>
      <c r="R6" s="3">
        <f>児童数!F28</f>
        <v>0</v>
      </c>
      <c r="S6" s="3">
        <f>児童数!G28</f>
        <v>0</v>
      </c>
      <c r="T6" s="3">
        <f>児童数!H28</f>
        <v>0</v>
      </c>
      <c r="U6" s="3">
        <f>児童数!J28</f>
        <v>0</v>
      </c>
      <c r="V6" s="3">
        <f>児童数!K28</f>
        <v>0</v>
      </c>
      <c r="W6" s="3">
        <f>児童数!L28</f>
        <v>0</v>
      </c>
      <c r="X6" s="3">
        <f>児童数!M28</f>
        <v>0</v>
      </c>
      <c r="Y6" s="64">
        <f>SUM(Q6:X6)</f>
        <v>0</v>
      </c>
      <c r="Z6" s="2"/>
      <c r="AC6" s="1" t="s">
        <v>7</v>
      </c>
      <c r="AD6" s="1" t="s">
        <v>16</v>
      </c>
      <c r="AM6" s="1427"/>
      <c r="AN6" s="1418" t="s">
        <v>17</v>
      </c>
      <c r="AO6" s="1418"/>
      <c r="AP6" s="53" t="s">
        <v>169</v>
      </c>
      <c r="AQ6" s="85" t="e">
        <f>SUMPRODUCT(F6:M6,$Q$11:$X$11)</f>
        <v>#VALUE!</v>
      </c>
    </row>
    <row r="7" spans="2:43" s="1" customFormat="1">
      <c r="B7" s="1427"/>
      <c r="C7" s="1418"/>
      <c r="D7" s="1418"/>
      <c r="E7" s="53" t="s">
        <v>167</v>
      </c>
      <c r="F7" s="3" t="e">
        <f>単価表!AX7*基本情報!G7</f>
        <v>#VALUE!</v>
      </c>
      <c r="G7" s="3" t="e">
        <f>単価表!AX9*基本情報!G7</f>
        <v>#VALUE!</v>
      </c>
      <c r="H7" s="3" t="e">
        <f>単価表!AX11*基本情報!G7</f>
        <v>#VALUE!</v>
      </c>
      <c r="I7" s="3" t="e">
        <f>単価表!AX13*基本情報!G7</f>
        <v>#VALUE!</v>
      </c>
      <c r="J7" s="3" t="e">
        <f>単価表!AY7*基本情報!G7</f>
        <v>#VALUE!</v>
      </c>
      <c r="K7" s="3" t="e">
        <f>単価表!AY9*基本情報!G7</f>
        <v>#VALUE!</v>
      </c>
      <c r="L7" s="3" t="e">
        <f>単価表!AY11*基本情報!G7</f>
        <v>#VALUE!</v>
      </c>
      <c r="M7" s="3" t="e">
        <f>単価表!AY13*基本情報!G7</f>
        <v>#VALUE!</v>
      </c>
      <c r="O7" s="1444"/>
      <c r="P7" s="631">
        <f>基本情報!E18</f>
        <v>0</v>
      </c>
      <c r="Q7" s="3">
        <f>児童数!E42</f>
        <v>0</v>
      </c>
      <c r="R7" s="3">
        <f>児童数!F42</f>
        <v>0</v>
      </c>
      <c r="S7" s="3">
        <f>児童数!G42</f>
        <v>0</v>
      </c>
      <c r="T7" s="3">
        <f>児童数!H42</f>
        <v>0</v>
      </c>
      <c r="U7" s="3">
        <f>児童数!J42</f>
        <v>0</v>
      </c>
      <c r="V7" s="3">
        <f>児童数!K42</f>
        <v>0</v>
      </c>
      <c r="W7" s="3">
        <f>児童数!L42</f>
        <v>0</v>
      </c>
      <c r="X7" s="3">
        <f>児童数!M42</f>
        <v>0</v>
      </c>
      <c r="Y7" s="64">
        <f t="shared" ref="Y7:Y10" si="0">SUM(Q7:X7)</f>
        <v>0</v>
      </c>
      <c r="Z7" s="2"/>
      <c r="AA7" s="2"/>
      <c r="AC7" s="1" t="s">
        <v>8</v>
      </c>
      <c r="AM7" s="1427"/>
      <c r="AN7" s="1418"/>
      <c r="AO7" s="1418"/>
      <c r="AP7" s="53" t="s">
        <v>167</v>
      </c>
      <c r="AQ7" s="85" t="e">
        <f t="shared" ref="AQ7:AQ26" si="1">SUMPRODUCT(F7:M7,$Q$11:$X$11)</f>
        <v>#VALUE!</v>
      </c>
    </row>
    <row r="8" spans="2:43" ht="15" customHeight="1">
      <c r="B8" s="1427"/>
      <c r="C8" s="1419" t="s">
        <v>203</v>
      </c>
      <c r="D8" s="1422" t="s">
        <v>37</v>
      </c>
      <c r="E8" s="53" t="s">
        <v>169</v>
      </c>
      <c r="F8" s="6"/>
      <c r="G8" s="3">
        <f>IF(加算と減算!K5="○",単価表!AV41,0)</f>
        <v>0</v>
      </c>
      <c r="H8" s="6"/>
      <c r="I8" s="6"/>
      <c r="J8" s="6"/>
      <c r="K8" s="3">
        <f>G8</f>
        <v>0</v>
      </c>
      <c r="L8" s="6"/>
      <c r="M8" s="6"/>
      <c r="O8" s="1444"/>
      <c r="P8" s="632">
        <f>基本情報!E19</f>
        <v>0</v>
      </c>
      <c r="Q8" s="3">
        <f>児童数!E56</f>
        <v>0</v>
      </c>
      <c r="R8" s="3">
        <f>児童数!F56</f>
        <v>0</v>
      </c>
      <c r="S8" s="3">
        <f>児童数!G56</f>
        <v>0</v>
      </c>
      <c r="T8" s="3">
        <f>児童数!H56</f>
        <v>0</v>
      </c>
      <c r="U8" s="3">
        <f>児童数!J56</f>
        <v>0</v>
      </c>
      <c r="V8" s="3">
        <f>児童数!K56</f>
        <v>0</v>
      </c>
      <c r="W8" s="3">
        <f>児童数!L56</f>
        <v>0</v>
      </c>
      <c r="X8" s="3">
        <f>児童数!M56</f>
        <v>0</v>
      </c>
      <c r="Y8" s="64">
        <f t="shared" si="0"/>
        <v>0</v>
      </c>
      <c r="AC8" s="1" t="s">
        <v>9</v>
      </c>
      <c r="AM8" s="1427"/>
      <c r="AN8" s="1419" t="s">
        <v>203</v>
      </c>
      <c r="AO8" s="1422" t="s">
        <v>37</v>
      </c>
      <c r="AP8" s="732" t="s">
        <v>559</v>
      </c>
      <c r="AQ8" s="85">
        <f t="shared" si="1"/>
        <v>0</v>
      </c>
    </row>
    <row r="9" spans="2:43">
      <c r="B9" s="1427"/>
      <c r="C9" s="1420"/>
      <c r="D9" s="1422"/>
      <c r="E9" s="53" t="s">
        <v>167</v>
      </c>
      <c r="F9" s="6"/>
      <c r="G9" s="3">
        <f>IF(加算と減算!K5="○",単価表!AW41*基本情報!G7,0)</f>
        <v>0</v>
      </c>
      <c r="H9" s="6"/>
      <c r="I9" s="6"/>
      <c r="J9" s="6"/>
      <c r="K9" s="3">
        <f>G9</f>
        <v>0</v>
      </c>
      <c r="L9" s="6"/>
      <c r="M9" s="6"/>
      <c r="O9" s="1444"/>
      <c r="P9" s="633">
        <f>基本情報!E20</f>
        <v>0</v>
      </c>
      <c r="Q9" s="3">
        <f>児童数!E70</f>
        <v>0</v>
      </c>
      <c r="R9" s="3">
        <f>児童数!F70</f>
        <v>0</v>
      </c>
      <c r="S9" s="3">
        <f>児童数!G70</f>
        <v>0</v>
      </c>
      <c r="T9" s="3">
        <f>児童数!H70</f>
        <v>0</v>
      </c>
      <c r="U9" s="3">
        <f>児童数!J70</f>
        <v>0</v>
      </c>
      <c r="V9" s="3">
        <f>児童数!K70</f>
        <v>0</v>
      </c>
      <c r="W9" s="3">
        <f>児童数!L70</f>
        <v>0</v>
      </c>
      <c r="X9" s="3">
        <f>児童数!M70</f>
        <v>0</v>
      </c>
      <c r="Y9" s="64">
        <f t="shared" si="0"/>
        <v>0</v>
      </c>
      <c r="AM9" s="1427"/>
      <c r="AN9" s="1420"/>
      <c r="AO9" s="1422"/>
      <c r="AP9" s="53" t="s">
        <v>167</v>
      </c>
      <c r="AQ9" s="85">
        <f t="shared" si="1"/>
        <v>0</v>
      </c>
    </row>
    <row r="10" spans="2:43">
      <c r="B10" s="1427"/>
      <c r="C10" s="1420"/>
      <c r="D10" s="383" t="s">
        <v>69</v>
      </c>
      <c r="E10" s="60"/>
      <c r="F10" s="3">
        <f>IF(K2=0,0,IF(加算と減算!K6="○",ROUNDDOWN((加算と減算!R6+(加算と減算!S6*基本情報!G7))/'10月'!K2,-1),0))</f>
        <v>0</v>
      </c>
      <c r="G10" s="3">
        <f t="shared" ref="G10:G18" si="2">F10</f>
        <v>0</v>
      </c>
      <c r="H10" s="3">
        <f>F10</f>
        <v>0</v>
      </c>
      <c r="I10" s="3">
        <f>F10</f>
        <v>0</v>
      </c>
      <c r="J10" s="3">
        <f t="shared" ref="J10:J18" si="3">F10</f>
        <v>0</v>
      </c>
      <c r="K10" s="3">
        <f t="shared" ref="K10:K18" si="4">F10</f>
        <v>0</v>
      </c>
      <c r="L10" s="3">
        <f>F10</f>
        <v>0</v>
      </c>
      <c r="M10" s="3">
        <f>F10</f>
        <v>0</v>
      </c>
      <c r="O10" s="1444"/>
      <c r="P10" s="634">
        <f>基本情報!E21</f>
        <v>0</v>
      </c>
      <c r="Q10" s="3">
        <f>児童数!E84</f>
        <v>0</v>
      </c>
      <c r="R10" s="3">
        <f>児童数!F84</f>
        <v>0</v>
      </c>
      <c r="S10" s="3">
        <f>児童数!G84</f>
        <v>0</v>
      </c>
      <c r="T10" s="3">
        <f>児童数!H84</f>
        <v>0</v>
      </c>
      <c r="U10" s="3">
        <f>児童数!J84</f>
        <v>0</v>
      </c>
      <c r="V10" s="3">
        <f>児童数!K84</f>
        <v>0</v>
      </c>
      <c r="W10" s="3">
        <f>児童数!L84</f>
        <v>0</v>
      </c>
      <c r="X10" s="3">
        <f>児童数!M84</f>
        <v>0</v>
      </c>
      <c r="Y10" s="64">
        <f t="shared" si="0"/>
        <v>0</v>
      </c>
      <c r="AM10" s="1427"/>
      <c r="AN10" s="1420"/>
      <c r="AO10" s="383" t="s">
        <v>69</v>
      </c>
      <c r="AP10" s="629"/>
      <c r="AQ10" s="85">
        <f t="shared" si="1"/>
        <v>0</v>
      </c>
    </row>
    <row r="11" spans="2:43">
      <c r="B11" s="1427"/>
      <c r="C11" s="1420"/>
      <c r="D11" s="1422" t="s">
        <v>161</v>
      </c>
      <c r="E11" s="53" t="s">
        <v>169</v>
      </c>
      <c r="F11" s="3">
        <f>IF(加算と減算!K7="○",単価表!AZ39,0)</f>
        <v>0</v>
      </c>
      <c r="G11" s="3">
        <f t="shared" si="2"/>
        <v>0</v>
      </c>
      <c r="H11" s="3">
        <f>IF(加算と減算!K7="○",単価表!AZ43,0)</f>
        <v>0</v>
      </c>
      <c r="I11" s="3">
        <f>H11</f>
        <v>0</v>
      </c>
      <c r="J11" s="3">
        <f t="shared" si="3"/>
        <v>0</v>
      </c>
      <c r="K11" s="3">
        <f t="shared" si="4"/>
        <v>0</v>
      </c>
      <c r="L11" s="3">
        <f>H11</f>
        <v>0</v>
      </c>
      <c r="M11" s="3">
        <f>H11</f>
        <v>0</v>
      </c>
      <c r="O11" s="1445"/>
      <c r="P11" s="635" t="s">
        <v>36</v>
      </c>
      <c r="Q11" s="3">
        <f>SUM(Q6:Q10)</f>
        <v>0</v>
      </c>
      <c r="R11" s="3">
        <f t="shared" ref="R11:Y11" si="5">SUM(R6:R10)</f>
        <v>0</v>
      </c>
      <c r="S11" s="3">
        <f t="shared" si="5"/>
        <v>0</v>
      </c>
      <c r="T11" s="3">
        <f t="shared" si="5"/>
        <v>0</v>
      </c>
      <c r="U11" s="3">
        <f t="shared" si="5"/>
        <v>0</v>
      </c>
      <c r="V11" s="3">
        <f t="shared" si="5"/>
        <v>0</v>
      </c>
      <c r="W11" s="3">
        <f t="shared" si="5"/>
        <v>0</v>
      </c>
      <c r="X11" s="3">
        <f t="shared" si="5"/>
        <v>0</v>
      </c>
      <c r="Y11" s="3">
        <f t="shared" si="5"/>
        <v>0</v>
      </c>
      <c r="Z11" s="55" t="s">
        <v>176</v>
      </c>
      <c r="AA11" s="71" t="str">
        <f>IF(SUM(Q11:X11)=G2,"OK",SUM(Q11:X11)-K2)</f>
        <v>OK</v>
      </c>
      <c r="AB11" s="62"/>
      <c r="AM11" s="1427"/>
      <c r="AN11" s="1420"/>
      <c r="AO11" s="1422" t="s">
        <v>161</v>
      </c>
      <c r="AP11" s="53" t="s">
        <v>169</v>
      </c>
      <c r="AQ11" s="85">
        <f t="shared" si="1"/>
        <v>0</v>
      </c>
    </row>
    <row r="12" spans="2:43" ht="15" customHeight="1">
      <c r="B12" s="1427"/>
      <c r="C12" s="1420"/>
      <c r="D12" s="1422"/>
      <c r="E12" s="53" t="s">
        <v>167</v>
      </c>
      <c r="F12" s="3">
        <f>IF(加算と減算!K7="○",単価表!BA39*基本情報!G7,0)</f>
        <v>0</v>
      </c>
      <c r="G12" s="3">
        <f t="shared" si="2"/>
        <v>0</v>
      </c>
      <c r="H12" s="3">
        <f>IF(加算と減算!K7="○",単価表!BA43*基本情報!G7,0)</f>
        <v>0</v>
      </c>
      <c r="I12" s="3">
        <f>H12</f>
        <v>0</v>
      </c>
      <c r="J12" s="3">
        <f t="shared" si="3"/>
        <v>0</v>
      </c>
      <c r="K12" s="3">
        <f t="shared" si="4"/>
        <v>0</v>
      </c>
      <c r="L12" s="3">
        <f>H12</f>
        <v>0</v>
      </c>
      <c r="M12" s="3">
        <f>H12</f>
        <v>0</v>
      </c>
      <c r="O12" s="75"/>
      <c r="P12" s="636"/>
      <c r="Q12" s="54"/>
      <c r="R12" s="54"/>
      <c r="S12" s="54"/>
      <c r="T12" s="54"/>
      <c r="U12" s="54"/>
      <c r="V12" s="54"/>
      <c r="W12" s="54"/>
      <c r="X12" s="54"/>
      <c r="Y12" s="54"/>
      <c r="AA12" s="62"/>
      <c r="AB12" s="62"/>
      <c r="AM12" s="1427"/>
      <c r="AN12" s="1420"/>
      <c r="AO12" s="1422"/>
      <c r="AP12" s="53" t="s">
        <v>167</v>
      </c>
      <c r="AQ12" s="85">
        <f t="shared" si="1"/>
        <v>0</v>
      </c>
    </row>
    <row r="13" spans="2:43" ht="16.5">
      <c r="B13" s="1427"/>
      <c r="C13" s="1420"/>
      <c r="D13" s="366" t="s">
        <v>162</v>
      </c>
      <c r="E13" s="59"/>
      <c r="F13" s="3">
        <f>IF(加算と減算!K8="○",加算と減算!R8,0)</f>
        <v>0</v>
      </c>
      <c r="G13" s="3">
        <f t="shared" si="2"/>
        <v>0</v>
      </c>
      <c r="H13" s="3">
        <f t="shared" ref="H13:H18" si="6">F13</f>
        <v>0</v>
      </c>
      <c r="I13" s="3">
        <f t="shared" ref="I13:I18" si="7">F13</f>
        <v>0</v>
      </c>
      <c r="J13" s="3">
        <f t="shared" si="3"/>
        <v>0</v>
      </c>
      <c r="K13" s="3">
        <f t="shared" si="4"/>
        <v>0</v>
      </c>
      <c r="L13" s="3">
        <f t="shared" ref="L13:L18" si="8">F13</f>
        <v>0</v>
      </c>
      <c r="M13" s="3">
        <f t="shared" ref="M13:M18" si="9">F13</f>
        <v>0</v>
      </c>
      <c r="O13" s="1443" t="s">
        <v>187</v>
      </c>
      <c r="P13" s="1449" t="s">
        <v>171</v>
      </c>
      <c r="Q13" s="1440" t="s">
        <v>15</v>
      </c>
      <c r="R13" s="1440"/>
      <c r="S13" s="1440"/>
      <c r="T13" s="1440"/>
      <c r="U13" s="1440" t="s">
        <v>16</v>
      </c>
      <c r="V13" s="1440"/>
      <c r="W13" s="1440"/>
      <c r="X13" s="1440"/>
      <c r="Y13" s="1449" t="s">
        <v>177</v>
      </c>
      <c r="AA13" s="62"/>
      <c r="AB13" s="62"/>
      <c r="AM13" s="1427"/>
      <c r="AN13" s="1420"/>
      <c r="AO13" s="720" t="s">
        <v>162</v>
      </c>
      <c r="AP13" s="731" t="s">
        <v>353</v>
      </c>
      <c r="AQ13" s="85">
        <f t="shared" si="1"/>
        <v>0</v>
      </c>
    </row>
    <row r="14" spans="2:43" ht="16.5">
      <c r="B14" s="1427"/>
      <c r="C14" s="1420"/>
      <c r="D14" s="366" t="s">
        <v>54</v>
      </c>
      <c r="E14" s="59"/>
      <c r="F14" s="3">
        <f>IF(加算と減算!K9="○",加算と減算!R9,0)</f>
        <v>0</v>
      </c>
      <c r="G14" s="3">
        <f t="shared" si="2"/>
        <v>0</v>
      </c>
      <c r="H14" s="3">
        <f t="shared" si="6"/>
        <v>0</v>
      </c>
      <c r="I14" s="3">
        <f t="shared" si="7"/>
        <v>0</v>
      </c>
      <c r="J14" s="3">
        <f t="shared" si="3"/>
        <v>0</v>
      </c>
      <c r="K14" s="3">
        <f t="shared" si="4"/>
        <v>0</v>
      </c>
      <c r="L14" s="3">
        <f t="shared" si="8"/>
        <v>0</v>
      </c>
      <c r="M14" s="3">
        <f t="shared" si="9"/>
        <v>0</v>
      </c>
      <c r="O14" s="1447"/>
      <c r="P14" s="1445"/>
      <c r="Q14" s="368" t="s">
        <v>6</v>
      </c>
      <c r="R14" s="368" t="s">
        <v>7</v>
      </c>
      <c r="S14" s="368" t="s">
        <v>8</v>
      </c>
      <c r="T14" s="368" t="s">
        <v>9</v>
      </c>
      <c r="U14" s="368" t="s">
        <v>6</v>
      </c>
      <c r="V14" s="368" t="s">
        <v>7</v>
      </c>
      <c r="W14" s="368" t="s">
        <v>8</v>
      </c>
      <c r="X14" s="368" t="s">
        <v>9</v>
      </c>
      <c r="Y14" s="1445"/>
      <c r="AA14" s="62"/>
      <c r="AB14" s="62"/>
      <c r="AM14" s="1427"/>
      <c r="AN14" s="1420"/>
      <c r="AO14" s="720" t="s">
        <v>54</v>
      </c>
      <c r="AP14" s="731" t="s">
        <v>353</v>
      </c>
      <c r="AQ14" s="85">
        <f t="shared" si="1"/>
        <v>0</v>
      </c>
    </row>
    <row r="15" spans="2:43" ht="16.5">
      <c r="B15" s="1427"/>
      <c r="C15" s="1420"/>
      <c r="D15" s="1422" t="s">
        <v>38</v>
      </c>
      <c r="E15" s="53" t="s">
        <v>169</v>
      </c>
      <c r="F15" s="3">
        <f>IF(加算と減算!K10="○",加算と減算!R10,0)</f>
        <v>0</v>
      </c>
      <c r="G15" s="3">
        <f t="shared" si="2"/>
        <v>0</v>
      </c>
      <c r="H15" s="3">
        <f t="shared" si="6"/>
        <v>0</v>
      </c>
      <c r="I15" s="3">
        <f t="shared" si="7"/>
        <v>0</v>
      </c>
      <c r="J15" s="3">
        <f t="shared" si="3"/>
        <v>0</v>
      </c>
      <c r="K15" s="3">
        <f t="shared" si="4"/>
        <v>0</v>
      </c>
      <c r="L15" s="3">
        <f t="shared" si="8"/>
        <v>0</v>
      </c>
      <c r="M15" s="3">
        <f t="shared" si="9"/>
        <v>0</v>
      </c>
      <c r="O15" s="1447"/>
      <c r="P15" s="630">
        <f>P6</f>
        <v>0</v>
      </c>
      <c r="Q15" s="3" t="e">
        <f>F27*Q6</f>
        <v>#VALUE!</v>
      </c>
      <c r="R15" s="3" t="e">
        <f t="shared" ref="R15:X15" si="10">G27*R6</f>
        <v>#VALUE!</v>
      </c>
      <c r="S15" s="3" t="e">
        <f t="shared" si="10"/>
        <v>#VALUE!</v>
      </c>
      <c r="T15" s="3" t="e">
        <f t="shared" si="10"/>
        <v>#VALUE!</v>
      </c>
      <c r="U15" s="3" t="e">
        <f t="shared" si="10"/>
        <v>#VALUE!</v>
      </c>
      <c r="V15" s="3" t="e">
        <f t="shared" si="10"/>
        <v>#VALUE!</v>
      </c>
      <c r="W15" s="3" t="e">
        <f t="shared" si="10"/>
        <v>#VALUE!</v>
      </c>
      <c r="X15" s="3" t="e">
        <f t="shared" si="10"/>
        <v>#VALUE!</v>
      </c>
      <c r="Y15" s="3" t="e">
        <f>SUM(Q15:X15)</f>
        <v>#VALUE!</v>
      </c>
      <c r="AA15" s="62"/>
      <c r="AB15" s="62"/>
      <c r="AM15" s="1427"/>
      <c r="AN15" s="1420"/>
      <c r="AO15" s="1422" t="s">
        <v>38</v>
      </c>
      <c r="AP15" s="732" t="s">
        <v>559</v>
      </c>
      <c r="AQ15" s="85">
        <f t="shared" si="1"/>
        <v>0</v>
      </c>
    </row>
    <row r="16" spans="2:43">
      <c r="B16" s="1427"/>
      <c r="C16" s="1421"/>
      <c r="D16" s="1422"/>
      <c r="E16" s="53" t="s">
        <v>167</v>
      </c>
      <c r="F16" s="3">
        <f>IF(加算と減算!K10="○",加算と減算!S10*基本情報!G7,0)</f>
        <v>0</v>
      </c>
      <c r="G16" s="3">
        <f t="shared" si="2"/>
        <v>0</v>
      </c>
      <c r="H16" s="3">
        <f t="shared" si="6"/>
        <v>0</v>
      </c>
      <c r="I16" s="3">
        <f t="shared" si="7"/>
        <v>0</v>
      </c>
      <c r="J16" s="3">
        <f t="shared" si="3"/>
        <v>0</v>
      </c>
      <c r="K16" s="3">
        <f t="shared" si="4"/>
        <v>0</v>
      </c>
      <c r="L16" s="3">
        <f t="shared" si="8"/>
        <v>0</v>
      </c>
      <c r="M16" s="3">
        <f t="shared" si="9"/>
        <v>0</v>
      </c>
      <c r="O16" s="1447"/>
      <c r="P16" s="631">
        <f>P7</f>
        <v>0</v>
      </c>
      <c r="Q16" s="3" t="e">
        <f>F27*Q7</f>
        <v>#VALUE!</v>
      </c>
      <c r="R16" s="3" t="e">
        <f t="shared" ref="R16:X16" si="11">G27*R7</f>
        <v>#VALUE!</v>
      </c>
      <c r="S16" s="3" t="e">
        <f t="shared" si="11"/>
        <v>#VALUE!</v>
      </c>
      <c r="T16" s="3" t="e">
        <f t="shared" si="11"/>
        <v>#VALUE!</v>
      </c>
      <c r="U16" s="3" t="e">
        <f t="shared" si="11"/>
        <v>#VALUE!</v>
      </c>
      <c r="V16" s="3" t="e">
        <f t="shared" si="11"/>
        <v>#VALUE!</v>
      </c>
      <c r="W16" s="3" t="e">
        <f t="shared" si="11"/>
        <v>#VALUE!</v>
      </c>
      <c r="X16" s="3" t="e">
        <f t="shared" si="11"/>
        <v>#VALUE!</v>
      </c>
      <c r="Y16" s="3" t="e">
        <f t="shared" ref="Y16:Y19" si="12">SUM(Q16:X16)</f>
        <v>#VALUE!</v>
      </c>
      <c r="AA16" s="62"/>
      <c r="AB16" s="62"/>
      <c r="AM16" s="1427"/>
      <c r="AN16" s="1421"/>
      <c r="AO16" s="1422"/>
      <c r="AP16" s="53" t="s">
        <v>167</v>
      </c>
      <c r="AQ16" s="85">
        <f t="shared" si="1"/>
        <v>0</v>
      </c>
    </row>
    <row r="17" spans="2:43">
      <c r="B17" s="1427"/>
      <c r="C17" s="1423" t="s">
        <v>205</v>
      </c>
      <c r="D17" s="1424" t="s">
        <v>43</v>
      </c>
      <c r="E17" s="53" t="s">
        <v>169</v>
      </c>
      <c r="F17" s="74">
        <f>-IF(加算と減算!K32="○",単価表!AZ7,0)</f>
        <v>0</v>
      </c>
      <c r="G17" s="74">
        <f t="shared" si="2"/>
        <v>0</v>
      </c>
      <c r="H17" s="74">
        <f t="shared" si="6"/>
        <v>0</v>
      </c>
      <c r="I17" s="74">
        <f t="shared" si="7"/>
        <v>0</v>
      </c>
      <c r="J17" s="74">
        <f t="shared" si="3"/>
        <v>0</v>
      </c>
      <c r="K17" s="74">
        <f t="shared" si="4"/>
        <v>0</v>
      </c>
      <c r="L17" s="74">
        <f t="shared" si="8"/>
        <v>0</v>
      </c>
      <c r="M17" s="74">
        <f t="shared" si="9"/>
        <v>0</v>
      </c>
      <c r="O17" s="1447"/>
      <c r="P17" s="632">
        <f>P8</f>
        <v>0</v>
      </c>
      <c r="Q17" s="3" t="e">
        <f>F27*Q8</f>
        <v>#VALUE!</v>
      </c>
      <c r="R17" s="3" t="e">
        <f t="shared" ref="R17:X17" si="13">G27*R8</f>
        <v>#VALUE!</v>
      </c>
      <c r="S17" s="3" t="e">
        <f t="shared" si="13"/>
        <v>#VALUE!</v>
      </c>
      <c r="T17" s="3" t="e">
        <f t="shared" si="13"/>
        <v>#VALUE!</v>
      </c>
      <c r="U17" s="3" t="e">
        <f t="shared" si="13"/>
        <v>#VALUE!</v>
      </c>
      <c r="V17" s="3" t="e">
        <f t="shared" si="13"/>
        <v>#VALUE!</v>
      </c>
      <c r="W17" s="3" t="e">
        <f t="shared" si="13"/>
        <v>#VALUE!</v>
      </c>
      <c r="X17" s="3" t="e">
        <f t="shared" si="13"/>
        <v>#VALUE!</v>
      </c>
      <c r="Y17" s="3" t="e">
        <f t="shared" si="12"/>
        <v>#VALUE!</v>
      </c>
      <c r="AA17" s="62"/>
      <c r="AB17" s="62"/>
      <c r="AM17" s="1427"/>
      <c r="AN17" s="1423" t="s">
        <v>205</v>
      </c>
      <c r="AO17" s="1424" t="s">
        <v>43</v>
      </c>
      <c r="AP17" s="53" t="s">
        <v>169</v>
      </c>
      <c r="AQ17" s="85">
        <f t="shared" si="1"/>
        <v>0</v>
      </c>
    </row>
    <row r="18" spans="2:43">
      <c r="B18" s="1427"/>
      <c r="C18" s="1423"/>
      <c r="D18" s="1424"/>
      <c r="E18" s="53" t="s">
        <v>167</v>
      </c>
      <c r="F18" s="74">
        <f>-IF(加算と減算!K32="○",単価表!BA7*基本情報!G7,0)</f>
        <v>0</v>
      </c>
      <c r="G18" s="74">
        <f t="shared" si="2"/>
        <v>0</v>
      </c>
      <c r="H18" s="74">
        <f t="shared" si="6"/>
        <v>0</v>
      </c>
      <c r="I18" s="74">
        <f t="shared" si="7"/>
        <v>0</v>
      </c>
      <c r="J18" s="74">
        <f t="shared" si="3"/>
        <v>0</v>
      </c>
      <c r="K18" s="74">
        <f t="shared" si="4"/>
        <v>0</v>
      </c>
      <c r="L18" s="74">
        <f t="shared" si="8"/>
        <v>0</v>
      </c>
      <c r="M18" s="74">
        <f t="shared" si="9"/>
        <v>0</v>
      </c>
      <c r="O18" s="1447"/>
      <c r="P18" s="633">
        <f>P9</f>
        <v>0</v>
      </c>
      <c r="Q18" s="3" t="e">
        <f>F27*Q9</f>
        <v>#VALUE!</v>
      </c>
      <c r="R18" s="3" t="e">
        <f t="shared" ref="R18:X18" si="14">G27*R9</f>
        <v>#VALUE!</v>
      </c>
      <c r="S18" s="3" t="e">
        <f t="shared" si="14"/>
        <v>#VALUE!</v>
      </c>
      <c r="T18" s="3" t="e">
        <f t="shared" si="14"/>
        <v>#VALUE!</v>
      </c>
      <c r="U18" s="3" t="e">
        <f t="shared" si="14"/>
        <v>#VALUE!</v>
      </c>
      <c r="V18" s="3" t="e">
        <f t="shared" si="14"/>
        <v>#VALUE!</v>
      </c>
      <c r="W18" s="3" t="e">
        <f t="shared" si="14"/>
        <v>#VALUE!</v>
      </c>
      <c r="X18" s="3" t="e">
        <f t="shared" si="14"/>
        <v>#VALUE!</v>
      </c>
      <c r="Y18" s="3" t="e">
        <f t="shared" si="12"/>
        <v>#VALUE!</v>
      </c>
      <c r="AA18" s="62"/>
      <c r="AB18" s="62"/>
      <c r="AM18" s="1427"/>
      <c r="AN18" s="1423"/>
      <c r="AO18" s="1424"/>
      <c r="AP18" s="53" t="s">
        <v>167</v>
      </c>
      <c r="AQ18" s="85">
        <f t="shared" si="1"/>
        <v>0</v>
      </c>
    </row>
    <row r="19" spans="2:43">
      <c r="B19" s="1427"/>
      <c r="C19" s="1423"/>
      <c r="D19" s="371" t="s">
        <v>165</v>
      </c>
      <c r="E19" s="60"/>
      <c r="F19" s="74" t="e">
        <f t="shared" ref="F19:M19" si="15">-ROUNDDOWN((F6+F7+F11+F12+F8+F9)*$S$2/100,-1)</f>
        <v>#VALUE!</v>
      </c>
      <c r="G19" s="74" t="e">
        <f t="shared" si="15"/>
        <v>#VALUE!</v>
      </c>
      <c r="H19" s="74" t="e">
        <f t="shared" si="15"/>
        <v>#VALUE!</v>
      </c>
      <c r="I19" s="74" t="e">
        <f t="shared" si="15"/>
        <v>#VALUE!</v>
      </c>
      <c r="J19" s="74" t="e">
        <f t="shared" si="15"/>
        <v>#VALUE!</v>
      </c>
      <c r="K19" s="74" t="e">
        <f t="shared" si="15"/>
        <v>#VALUE!</v>
      </c>
      <c r="L19" s="74" t="e">
        <f t="shared" si="15"/>
        <v>#VALUE!</v>
      </c>
      <c r="M19" s="74" t="e">
        <f t="shared" si="15"/>
        <v>#VALUE!</v>
      </c>
      <c r="O19" s="1447"/>
      <c r="P19" s="634">
        <f>P10</f>
        <v>0</v>
      </c>
      <c r="Q19" s="3" t="e">
        <f>F27*Q10</f>
        <v>#VALUE!</v>
      </c>
      <c r="R19" s="3" t="e">
        <f t="shared" ref="R19:X19" si="16">G27*R10</f>
        <v>#VALUE!</v>
      </c>
      <c r="S19" s="3" t="e">
        <f t="shared" si="16"/>
        <v>#VALUE!</v>
      </c>
      <c r="T19" s="3" t="e">
        <f t="shared" si="16"/>
        <v>#VALUE!</v>
      </c>
      <c r="U19" s="3" t="e">
        <f t="shared" si="16"/>
        <v>#VALUE!</v>
      </c>
      <c r="V19" s="3" t="e">
        <f t="shared" si="16"/>
        <v>#VALUE!</v>
      </c>
      <c r="W19" s="3" t="e">
        <f t="shared" si="16"/>
        <v>#VALUE!</v>
      </c>
      <c r="X19" s="3" t="e">
        <f t="shared" si="16"/>
        <v>#VALUE!</v>
      </c>
      <c r="Y19" s="3" t="e">
        <f t="shared" si="12"/>
        <v>#VALUE!</v>
      </c>
      <c r="AA19" s="62"/>
      <c r="AB19" s="62"/>
      <c r="AM19" s="1427"/>
      <c r="AN19" s="1423"/>
      <c r="AO19" s="717" t="s">
        <v>165</v>
      </c>
      <c r="AP19" s="60"/>
      <c r="AQ19" s="85" t="e">
        <f t="shared" si="1"/>
        <v>#VALUE!</v>
      </c>
    </row>
    <row r="20" spans="2:43">
      <c r="B20" s="1427"/>
      <c r="C20" s="1423"/>
      <c r="D20" s="371" t="s">
        <v>166</v>
      </c>
      <c r="E20" s="60"/>
      <c r="F20" s="74" t="e">
        <f t="shared" ref="F20:M20" si="17">-ROUNDUP(SUM(F6:F19)*$V$2/100,-1)</f>
        <v>#VALUE!</v>
      </c>
      <c r="G20" s="74" t="e">
        <f t="shared" si="17"/>
        <v>#VALUE!</v>
      </c>
      <c r="H20" s="74" t="e">
        <f t="shared" si="17"/>
        <v>#VALUE!</v>
      </c>
      <c r="I20" s="74" t="e">
        <f t="shared" si="17"/>
        <v>#VALUE!</v>
      </c>
      <c r="J20" s="74" t="e">
        <f t="shared" si="17"/>
        <v>#VALUE!</v>
      </c>
      <c r="K20" s="74" t="e">
        <f t="shared" si="17"/>
        <v>#VALUE!</v>
      </c>
      <c r="L20" s="74" t="e">
        <f t="shared" si="17"/>
        <v>#VALUE!</v>
      </c>
      <c r="M20" s="74" t="e">
        <f t="shared" si="17"/>
        <v>#VALUE!</v>
      </c>
      <c r="O20" s="1448"/>
      <c r="P20" s="635" t="s">
        <v>36</v>
      </c>
      <c r="Q20" s="3" t="e">
        <f>SUM(Q15:Q19)</f>
        <v>#VALUE!</v>
      </c>
      <c r="R20" s="3" t="e">
        <f t="shared" ref="R20:Y20" si="18">SUM(R15:R19)</f>
        <v>#VALUE!</v>
      </c>
      <c r="S20" s="3" t="e">
        <f t="shared" si="18"/>
        <v>#VALUE!</v>
      </c>
      <c r="T20" s="3" t="e">
        <f t="shared" si="18"/>
        <v>#VALUE!</v>
      </c>
      <c r="U20" s="3" t="e">
        <f t="shared" si="18"/>
        <v>#VALUE!</v>
      </c>
      <c r="V20" s="3" t="e">
        <f t="shared" si="18"/>
        <v>#VALUE!</v>
      </c>
      <c r="W20" s="3" t="e">
        <f t="shared" si="18"/>
        <v>#VALUE!</v>
      </c>
      <c r="X20" s="3" t="e">
        <f t="shared" si="18"/>
        <v>#VALUE!</v>
      </c>
      <c r="Y20" s="3" t="e">
        <f t="shared" si="18"/>
        <v>#VALUE!</v>
      </c>
      <c r="AA20" s="62"/>
      <c r="AB20" s="62"/>
      <c r="AM20" s="1427"/>
      <c r="AN20" s="1423"/>
      <c r="AO20" s="717" t="s">
        <v>166</v>
      </c>
      <c r="AP20" s="60"/>
      <c r="AQ20" s="85" t="e">
        <f t="shared" si="1"/>
        <v>#VALUE!</v>
      </c>
    </row>
    <row r="21" spans="2:43" ht="15" customHeight="1">
      <c r="B21" s="1427"/>
      <c r="C21" s="1419" t="s">
        <v>204</v>
      </c>
      <c r="D21" s="366" t="s">
        <v>18</v>
      </c>
      <c r="E21" s="59"/>
      <c r="F21" s="3">
        <f>IF(K2=0,0,IF(加算と減算!K13="",0,ROUNDDOWN(加算と減算!U13/'10月'!$K$2,-1)))</f>
        <v>0</v>
      </c>
      <c r="G21" s="3">
        <f>F21</f>
        <v>0</v>
      </c>
      <c r="H21" s="3">
        <f t="shared" ref="H21:M21" si="19">G21</f>
        <v>0</v>
      </c>
      <c r="I21" s="3">
        <f t="shared" si="19"/>
        <v>0</v>
      </c>
      <c r="J21" s="3">
        <f t="shared" si="19"/>
        <v>0</v>
      </c>
      <c r="K21" s="3">
        <f t="shared" si="19"/>
        <v>0</v>
      </c>
      <c r="L21" s="3">
        <f t="shared" si="19"/>
        <v>0</v>
      </c>
      <c r="M21" s="3">
        <f t="shared" si="19"/>
        <v>0</v>
      </c>
      <c r="O21" s="76"/>
      <c r="P21" s="636"/>
      <c r="Q21" s="54"/>
      <c r="R21" s="54"/>
      <c r="S21" s="9"/>
      <c r="T21" s="9"/>
      <c r="U21" s="54"/>
      <c r="V21" s="54"/>
      <c r="W21" s="10"/>
      <c r="X21" s="10"/>
      <c r="Y21" s="10"/>
      <c r="AA21" s="62"/>
      <c r="AB21" s="62"/>
      <c r="AM21" s="1427"/>
      <c r="AN21" s="1419" t="s">
        <v>204</v>
      </c>
      <c r="AO21" s="720" t="s">
        <v>18</v>
      </c>
      <c r="AP21" s="732" t="s">
        <v>559</v>
      </c>
      <c r="AQ21" s="85">
        <f t="shared" si="1"/>
        <v>0</v>
      </c>
    </row>
    <row r="22" spans="2:43" ht="15" customHeight="1">
      <c r="B22" s="1427"/>
      <c r="C22" s="1420"/>
      <c r="D22" s="366" t="s">
        <v>62</v>
      </c>
      <c r="E22" s="59"/>
      <c r="F22" s="3">
        <f>IF(K2=0,0,ROUNDDOWN(IF(加算と減算!K14="○",加算と減算!U14,IF(加算と減算!K15="○",加算と減算!U15,0))/K2,-1))</f>
        <v>0</v>
      </c>
      <c r="G22" s="3">
        <f t="shared" ref="G22:M26" si="20">F22</f>
        <v>0</v>
      </c>
      <c r="H22" s="3">
        <f t="shared" si="20"/>
        <v>0</v>
      </c>
      <c r="I22" s="3">
        <f t="shared" si="20"/>
        <v>0</v>
      </c>
      <c r="J22" s="3">
        <f t="shared" si="20"/>
        <v>0</v>
      </c>
      <c r="K22" s="3">
        <f t="shared" si="20"/>
        <v>0</v>
      </c>
      <c r="L22" s="3">
        <f t="shared" si="20"/>
        <v>0</v>
      </c>
      <c r="M22" s="3">
        <f>L22</f>
        <v>0</v>
      </c>
      <c r="O22" s="1443" t="s">
        <v>180</v>
      </c>
      <c r="P22" s="367" t="s">
        <v>171</v>
      </c>
      <c r="Q22" s="368" t="s">
        <v>178</v>
      </c>
      <c r="R22" s="367" t="s">
        <v>179</v>
      </c>
      <c r="S22" s="4"/>
      <c r="T22" s="1443" t="s">
        <v>188</v>
      </c>
      <c r="U22" s="367" t="s">
        <v>171</v>
      </c>
      <c r="V22" s="40" t="s">
        <v>179</v>
      </c>
      <c r="AA22" s="62"/>
      <c r="AB22" s="62"/>
      <c r="AM22" s="1427"/>
      <c r="AN22" s="1420"/>
      <c r="AO22" s="720" t="s">
        <v>62</v>
      </c>
      <c r="AP22" s="732" t="s">
        <v>559</v>
      </c>
      <c r="AQ22" s="85">
        <f t="shared" si="1"/>
        <v>0</v>
      </c>
    </row>
    <row r="23" spans="2:43" ht="16.5">
      <c r="B23" s="1427"/>
      <c r="C23" s="1420"/>
      <c r="D23" s="366" t="s">
        <v>19</v>
      </c>
      <c r="E23" s="59"/>
      <c r="F23" s="3">
        <f>IF(K2=0,0,IF(加算と減算!K16="",0,ROUNDDOWN(加算と減算!U16/'10月'!$K$2,-1)))</f>
        <v>0</v>
      </c>
      <c r="G23" s="3">
        <f t="shared" si="20"/>
        <v>0</v>
      </c>
      <c r="H23" s="3">
        <f t="shared" si="20"/>
        <v>0</v>
      </c>
      <c r="I23" s="3">
        <f t="shared" si="20"/>
        <v>0</v>
      </c>
      <c r="J23" s="3">
        <f t="shared" si="20"/>
        <v>0</v>
      </c>
      <c r="K23" s="3">
        <f t="shared" si="20"/>
        <v>0</v>
      </c>
      <c r="L23" s="3">
        <f t="shared" si="20"/>
        <v>0</v>
      </c>
      <c r="M23" s="3">
        <f t="shared" si="20"/>
        <v>0</v>
      </c>
      <c r="O23" s="1447"/>
      <c r="P23" s="630">
        <f>P6</f>
        <v>0</v>
      </c>
      <c r="Q23" s="3">
        <f>児童数!AE28</f>
        <v>0</v>
      </c>
      <c r="R23" s="64">
        <f>4500*Q23</f>
        <v>0</v>
      </c>
      <c r="S23" s="4"/>
      <c r="T23" s="1447"/>
      <c r="U23" s="630">
        <f>P6</f>
        <v>0</v>
      </c>
      <c r="V23" s="65" t="e">
        <f>Y15+R23</f>
        <v>#VALUE!</v>
      </c>
      <c r="AA23" s="62"/>
      <c r="AB23" s="62"/>
      <c r="AM23" s="1427"/>
      <c r="AN23" s="1420"/>
      <c r="AO23" s="720" t="s">
        <v>19</v>
      </c>
      <c r="AP23" s="732" t="s">
        <v>559</v>
      </c>
      <c r="AQ23" s="85">
        <f t="shared" si="1"/>
        <v>0</v>
      </c>
    </row>
    <row r="24" spans="2:43" ht="16.5">
      <c r="B24" s="1427"/>
      <c r="C24" s="1420"/>
      <c r="D24" s="366" t="s">
        <v>41</v>
      </c>
      <c r="E24" s="59"/>
      <c r="F24" s="3">
        <f>IF(K2=0,0,IF(加算と減算!D17="",0,ROUNDDOWN(加算と減算!U17/'10月'!$K$2,-1)))</f>
        <v>0</v>
      </c>
      <c r="G24" s="3">
        <f t="shared" si="20"/>
        <v>0</v>
      </c>
      <c r="H24" s="3">
        <f t="shared" si="20"/>
        <v>0</v>
      </c>
      <c r="I24" s="3">
        <f t="shared" si="20"/>
        <v>0</v>
      </c>
      <c r="J24" s="3">
        <f t="shared" si="20"/>
        <v>0</v>
      </c>
      <c r="K24" s="3">
        <f t="shared" si="20"/>
        <v>0</v>
      </c>
      <c r="L24" s="3">
        <f t="shared" si="20"/>
        <v>0</v>
      </c>
      <c r="M24" s="3">
        <f t="shared" si="20"/>
        <v>0</v>
      </c>
      <c r="O24" s="1447"/>
      <c r="P24" s="631">
        <f>P7</f>
        <v>0</v>
      </c>
      <c r="Q24" s="3">
        <f>児童数!AE42</f>
        <v>0</v>
      </c>
      <c r="R24" s="64">
        <f t="shared" ref="R24:R27" si="21">4500*Q24</f>
        <v>0</v>
      </c>
      <c r="S24" s="4"/>
      <c r="T24" s="1447"/>
      <c r="U24" s="631">
        <f>P7</f>
        <v>0</v>
      </c>
      <c r="V24" s="66" t="e">
        <f>Y16+R24</f>
        <v>#VALUE!</v>
      </c>
      <c r="AA24" s="62"/>
      <c r="AB24" s="62"/>
      <c r="AM24" s="1427"/>
      <c r="AN24" s="1420"/>
      <c r="AO24" s="720" t="s">
        <v>41</v>
      </c>
      <c r="AP24" s="732" t="s">
        <v>559</v>
      </c>
      <c r="AQ24" s="85">
        <f t="shared" si="1"/>
        <v>0</v>
      </c>
    </row>
    <row r="25" spans="2:43" ht="16.5">
      <c r="B25" s="1427"/>
      <c r="C25" s="1420"/>
      <c r="D25" s="366" t="s">
        <v>42</v>
      </c>
      <c r="E25" s="59"/>
      <c r="F25" s="3" t="str">
        <f>加算と減算!U18</f>
        <v/>
      </c>
      <c r="G25" s="3" t="str">
        <f t="shared" si="20"/>
        <v/>
      </c>
      <c r="H25" s="3" t="str">
        <f t="shared" si="20"/>
        <v/>
      </c>
      <c r="I25" s="3" t="str">
        <f t="shared" si="20"/>
        <v/>
      </c>
      <c r="J25" s="3" t="str">
        <f t="shared" si="20"/>
        <v/>
      </c>
      <c r="K25" s="3" t="str">
        <f t="shared" si="20"/>
        <v/>
      </c>
      <c r="L25" s="3" t="str">
        <f t="shared" si="20"/>
        <v/>
      </c>
      <c r="M25" s="3" t="str">
        <f t="shared" si="20"/>
        <v/>
      </c>
      <c r="O25" s="1447"/>
      <c r="P25" s="632">
        <f>P8</f>
        <v>0</v>
      </c>
      <c r="Q25" s="3">
        <f>児童数!AE56</f>
        <v>0</v>
      </c>
      <c r="R25" s="64">
        <f t="shared" si="21"/>
        <v>0</v>
      </c>
      <c r="S25" s="4"/>
      <c r="T25" s="1447"/>
      <c r="U25" s="632">
        <f>P8</f>
        <v>0</v>
      </c>
      <c r="V25" s="67" t="e">
        <f>Y17+R25</f>
        <v>#VALUE!</v>
      </c>
      <c r="AA25" s="62"/>
      <c r="AB25" s="62"/>
      <c r="AM25" s="1427"/>
      <c r="AN25" s="1420"/>
      <c r="AO25" s="718" t="s">
        <v>42</v>
      </c>
      <c r="AP25" s="731" t="s">
        <v>353</v>
      </c>
      <c r="AQ25" s="85">
        <f t="shared" si="1"/>
        <v>0</v>
      </c>
    </row>
    <row r="26" spans="2:43" ht="16.5">
      <c r="B26" s="1427"/>
      <c r="C26" s="1421"/>
      <c r="D26" s="366" t="s">
        <v>80</v>
      </c>
      <c r="E26" s="59"/>
      <c r="F26" s="3">
        <f>IF(K2=0,0,ROUNDDOWN(IF(加算と減算!K26="○",加算と減算!U26,IF(加算と減算!K27="○",加算と減算!U27,IF(加算と減算!K28="○",加算と減算!U28,0)))/K2,-1))</f>
        <v>0</v>
      </c>
      <c r="G26" s="3">
        <f t="shared" si="20"/>
        <v>0</v>
      </c>
      <c r="H26" s="3">
        <f t="shared" si="20"/>
        <v>0</v>
      </c>
      <c r="I26" s="3">
        <f t="shared" si="20"/>
        <v>0</v>
      </c>
      <c r="J26" s="3">
        <f t="shared" si="20"/>
        <v>0</v>
      </c>
      <c r="K26" s="3">
        <f t="shared" si="20"/>
        <v>0</v>
      </c>
      <c r="L26" s="3">
        <f t="shared" si="20"/>
        <v>0</v>
      </c>
      <c r="M26" s="3">
        <f t="shared" si="20"/>
        <v>0</v>
      </c>
      <c r="O26" s="1447"/>
      <c r="P26" s="633">
        <f>P9</f>
        <v>0</v>
      </c>
      <c r="Q26" s="3">
        <f>児童数!AE70</f>
        <v>0</v>
      </c>
      <c r="R26" s="64">
        <f t="shared" si="21"/>
        <v>0</v>
      </c>
      <c r="S26" s="4"/>
      <c r="T26" s="1447"/>
      <c r="U26" s="633">
        <f>P9</f>
        <v>0</v>
      </c>
      <c r="V26" s="68" t="e">
        <f>Y18+R26</f>
        <v>#VALUE!</v>
      </c>
      <c r="AA26" s="62"/>
      <c r="AB26" s="62"/>
      <c r="AM26" s="1427"/>
      <c r="AN26" s="1421"/>
      <c r="AO26" s="720" t="s">
        <v>80</v>
      </c>
      <c r="AP26" s="731" t="s">
        <v>353</v>
      </c>
      <c r="AQ26" s="85">
        <f t="shared" si="1"/>
        <v>0</v>
      </c>
    </row>
    <row r="27" spans="2:43" ht="18.75" customHeight="1" thickBot="1">
      <c r="B27" s="1428"/>
      <c r="C27" s="1410" t="s">
        <v>44</v>
      </c>
      <c r="D27" s="1411"/>
      <c r="E27" s="53"/>
      <c r="F27" s="5" t="e">
        <f t="shared" ref="F27:M27" si="22">SUM(F6:F26)</f>
        <v>#VALUE!</v>
      </c>
      <c r="G27" s="5" t="e">
        <f t="shared" si="22"/>
        <v>#VALUE!</v>
      </c>
      <c r="H27" s="5" t="e">
        <f t="shared" si="22"/>
        <v>#VALUE!</v>
      </c>
      <c r="I27" s="5" t="e">
        <f t="shared" si="22"/>
        <v>#VALUE!</v>
      </c>
      <c r="J27" s="5" t="e">
        <f t="shared" si="22"/>
        <v>#VALUE!</v>
      </c>
      <c r="K27" s="5" t="e">
        <f t="shared" si="22"/>
        <v>#VALUE!</v>
      </c>
      <c r="L27" s="5" t="e">
        <f t="shared" si="22"/>
        <v>#VALUE!</v>
      </c>
      <c r="M27" s="5" t="e">
        <f t="shared" si="22"/>
        <v>#VALUE!</v>
      </c>
      <c r="O27" s="1447"/>
      <c r="P27" s="634">
        <f>P10</f>
        <v>0</v>
      </c>
      <c r="Q27" s="3">
        <f>児童数!AE84</f>
        <v>0</v>
      </c>
      <c r="R27" s="64">
        <f t="shared" si="21"/>
        <v>0</v>
      </c>
      <c r="S27" s="4"/>
      <c r="T27" s="1447"/>
      <c r="U27" s="634">
        <f>P10</f>
        <v>0</v>
      </c>
      <c r="V27" s="69" t="e">
        <f>Y19+R27</f>
        <v>#VALUE!</v>
      </c>
      <c r="AA27" s="62"/>
      <c r="AB27" s="62"/>
      <c r="AM27" s="1428"/>
      <c r="AN27" s="1425" t="s">
        <v>562</v>
      </c>
      <c r="AO27" s="1425"/>
      <c r="AP27" s="733" t="s">
        <v>376</v>
      </c>
      <c r="AQ27" s="85">
        <f>R28</f>
        <v>0</v>
      </c>
    </row>
    <row r="28" spans="2:43" ht="15.75" thickBot="1">
      <c r="B28" s="263"/>
      <c r="C28" s="58"/>
      <c r="D28" s="58"/>
      <c r="E28" s="58" t="s">
        <v>167</v>
      </c>
      <c r="F28" s="7" t="e">
        <f>F7+F9+F12+F16+F18</f>
        <v>#VALUE!</v>
      </c>
      <c r="G28" s="7" t="e">
        <f t="shared" ref="G28:M28" si="23">G7+G9+G12+G16+G18</f>
        <v>#VALUE!</v>
      </c>
      <c r="H28" s="7" t="e">
        <f t="shared" si="23"/>
        <v>#VALUE!</v>
      </c>
      <c r="I28" s="7" t="e">
        <f t="shared" si="23"/>
        <v>#VALUE!</v>
      </c>
      <c r="J28" s="7" t="e">
        <f t="shared" si="23"/>
        <v>#VALUE!</v>
      </c>
      <c r="K28" s="7" t="e">
        <f>K7+K9+K12+K16+K18</f>
        <v>#VALUE!</v>
      </c>
      <c r="L28" s="7" t="e">
        <f>L7+L9+L12+L16+L18</f>
        <v>#VALUE!</v>
      </c>
      <c r="M28" s="7" t="e">
        <f t="shared" si="23"/>
        <v>#VALUE!</v>
      </c>
      <c r="O28" s="1448"/>
      <c r="P28" s="635" t="s">
        <v>36</v>
      </c>
      <c r="Q28" s="3">
        <f>SUM(Q23:Q27)</f>
        <v>0</v>
      </c>
      <c r="R28" s="3">
        <f>SUM(R23:R27)</f>
        <v>0</v>
      </c>
      <c r="S28" s="4"/>
      <c r="T28" s="1448"/>
      <c r="U28" s="635" t="s">
        <v>36</v>
      </c>
      <c r="V28" s="70" t="e">
        <f>SUM(V23:V27)</f>
        <v>#VALUE!</v>
      </c>
      <c r="AA28" s="62"/>
      <c r="AB28" s="62"/>
      <c r="AG28" s="288" t="e">
        <f>SUMPRODUCT(F28:M28,Q11:X11)</f>
        <v>#VALUE!</v>
      </c>
      <c r="AM28" s="263"/>
      <c r="AN28" s="1410" t="s">
        <v>44</v>
      </c>
      <c r="AO28" s="1411"/>
      <c r="AP28" s="53"/>
      <c r="AQ28" s="85" t="e">
        <f>SUM(AQ6:AQ27)</f>
        <v>#VALUE!</v>
      </c>
    </row>
    <row r="29" spans="2:43" ht="15" customHeight="1">
      <c r="E29" s="1020" t="s">
        <v>703</v>
      </c>
      <c r="F29" s="264" t="e">
        <f>-ROUNDUP(SUM(F6:F9,F11:F19)*$V$2/100,-1)</f>
        <v>#VALUE!</v>
      </c>
      <c r="G29" s="264" t="e">
        <f t="shared" ref="G29:M29" si="24">-ROUNDUP(SUM(G6:G9,G11:G19)*$V$2/100,-1)</f>
        <v>#VALUE!</v>
      </c>
      <c r="H29" s="264" t="e">
        <f t="shared" si="24"/>
        <v>#VALUE!</v>
      </c>
      <c r="I29" s="264" t="e">
        <f t="shared" si="24"/>
        <v>#VALUE!</v>
      </c>
      <c r="J29" s="264" t="e">
        <f t="shared" si="24"/>
        <v>#VALUE!</v>
      </c>
      <c r="K29" s="264" t="e">
        <f t="shared" si="24"/>
        <v>#VALUE!</v>
      </c>
      <c r="L29" s="264" t="e">
        <f t="shared" si="24"/>
        <v>#VALUE!</v>
      </c>
      <c r="M29" s="264" t="e">
        <f t="shared" si="24"/>
        <v>#VALUE!</v>
      </c>
      <c r="O29" s="637"/>
      <c r="P29" s="637"/>
      <c r="Q29" s="637"/>
      <c r="R29" s="637"/>
      <c r="S29" s="637"/>
      <c r="T29" s="637"/>
      <c r="U29" s="637"/>
      <c r="V29" s="63"/>
      <c r="AA29" s="62"/>
      <c r="AB29" s="62"/>
      <c r="AO29" s="1"/>
      <c r="AP29" s="57"/>
    </row>
    <row r="30" spans="2:43" ht="15" customHeight="1">
      <c r="B30" s="1412" t="s">
        <v>3</v>
      </c>
      <c r="C30" s="1415"/>
      <c r="D30" s="1415"/>
      <c r="E30" s="1416" t="s">
        <v>172</v>
      </c>
      <c r="F30" s="1418" t="s">
        <v>15</v>
      </c>
      <c r="G30" s="1418"/>
      <c r="H30" s="1418"/>
      <c r="I30" s="1418"/>
      <c r="J30" s="1418" t="s">
        <v>16</v>
      </c>
      <c r="K30" s="1418"/>
      <c r="L30" s="1418"/>
      <c r="M30" s="1418"/>
      <c r="O30" s="1449" t="s">
        <v>40</v>
      </c>
      <c r="P30" s="1446" t="s">
        <v>171</v>
      </c>
      <c r="Q30" s="1440" t="s">
        <v>15</v>
      </c>
      <c r="R30" s="1440"/>
      <c r="S30" s="1440"/>
      <c r="T30" s="1440"/>
      <c r="U30" s="1440" t="s">
        <v>16</v>
      </c>
      <c r="V30" s="1440"/>
      <c r="W30" s="1440"/>
      <c r="X30" s="1440"/>
      <c r="Y30" s="1441" t="s">
        <v>177</v>
      </c>
      <c r="Z30" s="11"/>
      <c r="AA30" s="57"/>
      <c r="AB30" s="62"/>
      <c r="AM30" s="1412" t="s">
        <v>3</v>
      </c>
      <c r="AN30" s="1415"/>
      <c r="AO30" s="1415"/>
      <c r="AP30" s="1416" t="s">
        <v>172</v>
      </c>
      <c r="AQ30" s="85"/>
    </row>
    <row r="31" spans="2:43" s="1" customFormat="1">
      <c r="B31" s="1413"/>
      <c r="C31" s="1415"/>
      <c r="D31" s="1415"/>
      <c r="E31" s="1417"/>
      <c r="F31" s="370" t="s">
        <v>6</v>
      </c>
      <c r="G31" s="370" t="s">
        <v>7</v>
      </c>
      <c r="H31" s="370" t="s">
        <v>8</v>
      </c>
      <c r="I31" s="370" t="s">
        <v>9</v>
      </c>
      <c r="J31" s="370" t="s">
        <v>6</v>
      </c>
      <c r="K31" s="370" t="s">
        <v>7</v>
      </c>
      <c r="L31" s="370" t="s">
        <v>8</v>
      </c>
      <c r="M31" s="370" t="s">
        <v>9</v>
      </c>
      <c r="N31" s="2"/>
      <c r="O31" s="1444"/>
      <c r="P31" s="1446"/>
      <c r="Q31" s="368" t="s">
        <v>6</v>
      </c>
      <c r="R31" s="368" t="s">
        <v>7</v>
      </c>
      <c r="S31" s="368" t="s">
        <v>8</v>
      </c>
      <c r="T31" s="368" t="s">
        <v>9</v>
      </c>
      <c r="U31" s="368" t="s">
        <v>6</v>
      </c>
      <c r="V31" s="368" t="s">
        <v>7</v>
      </c>
      <c r="W31" s="368" t="s">
        <v>8</v>
      </c>
      <c r="X31" s="368" t="s">
        <v>9</v>
      </c>
      <c r="Y31" s="1442"/>
      <c r="Z31" s="11"/>
      <c r="AA31" s="57"/>
      <c r="AB31" s="57"/>
      <c r="AE31" s="2"/>
      <c r="AM31" s="1413"/>
      <c r="AN31" s="1415"/>
      <c r="AO31" s="1415"/>
      <c r="AP31" s="1417"/>
      <c r="AQ31" s="85"/>
    </row>
    <row r="32" spans="2:43" s="1" customFormat="1">
      <c r="B32" s="1413"/>
      <c r="C32" s="1418" t="s">
        <v>17</v>
      </c>
      <c r="D32" s="1418"/>
      <c r="E32" s="53" t="s">
        <v>169</v>
      </c>
      <c r="F32" s="3">
        <f>単価表!AV23</f>
        <v>0</v>
      </c>
      <c r="G32" s="3">
        <f>単価表!AV25</f>
        <v>0</v>
      </c>
      <c r="H32" s="3">
        <f>単価表!AV27</f>
        <v>0</v>
      </c>
      <c r="I32" s="3">
        <f>単価表!AV29</f>
        <v>0</v>
      </c>
      <c r="J32" s="3">
        <f>単価表!AW23</f>
        <v>0</v>
      </c>
      <c r="K32" s="3">
        <f>単価表!AW25</f>
        <v>0</v>
      </c>
      <c r="L32" s="3">
        <f>単価表!AW27</f>
        <v>0</v>
      </c>
      <c r="M32" s="3">
        <f>単価表!AW29</f>
        <v>0</v>
      </c>
      <c r="O32" s="1444"/>
      <c r="P32" s="630">
        <f>P6</f>
        <v>0</v>
      </c>
      <c r="Q32" s="3">
        <f>児童数!R28</f>
        <v>0</v>
      </c>
      <c r="R32" s="3">
        <f>児童数!S28</f>
        <v>0</v>
      </c>
      <c r="S32" s="3">
        <f>児童数!T28</f>
        <v>0</v>
      </c>
      <c r="T32" s="3">
        <f>児童数!U28</f>
        <v>0</v>
      </c>
      <c r="U32" s="3">
        <f>児童数!W28</f>
        <v>0</v>
      </c>
      <c r="V32" s="3">
        <f>児童数!X28</f>
        <v>0</v>
      </c>
      <c r="W32" s="3">
        <f>児童数!Y28</f>
        <v>0</v>
      </c>
      <c r="X32" s="3">
        <f>児童数!Z28</f>
        <v>0</v>
      </c>
      <c r="Y32" s="64">
        <f>SUM(Q32:X32)</f>
        <v>0</v>
      </c>
      <c r="Z32" s="2"/>
      <c r="AA32" s="57"/>
      <c r="AB32" s="57"/>
      <c r="AM32" s="1413"/>
      <c r="AN32" s="1418" t="s">
        <v>17</v>
      </c>
      <c r="AO32" s="1418"/>
      <c r="AP32" s="53" t="s">
        <v>169</v>
      </c>
      <c r="AQ32" s="85">
        <f>SUMPRODUCT(F32:M32,$Q$37:$X$37)</f>
        <v>0</v>
      </c>
    </row>
    <row r="33" spans="2:43" s="1" customFormat="1" ht="15" customHeight="1">
      <c r="B33" s="1413"/>
      <c r="C33" s="1418"/>
      <c r="D33" s="1418"/>
      <c r="E33" s="53" t="s">
        <v>167</v>
      </c>
      <c r="F33" s="3">
        <f>単価表!AX23*基本情報!G7</f>
        <v>0</v>
      </c>
      <c r="G33" s="3">
        <f>単価表!AX25*基本情報!G7</f>
        <v>0</v>
      </c>
      <c r="H33" s="3">
        <f>単価表!AX27*基本情報!G7</f>
        <v>0</v>
      </c>
      <c r="I33" s="3">
        <f>単価表!AX29*基本情報!G7</f>
        <v>0</v>
      </c>
      <c r="J33" s="3">
        <f>単価表!AY23*基本情報!G7</f>
        <v>0</v>
      </c>
      <c r="K33" s="3">
        <f>単価表!AY25*基本情報!G7</f>
        <v>0</v>
      </c>
      <c r="L33" s="3">
        <f>単価表!AY27*基本情報!G7</f>
        <v>0</v>
      </c>
      <c r="M33" s="3">
        <f>単価表!AY29*基本情報!G7</f>
        <v>0</v>
      </c>
      <c r="O33" s="1444"/>
      <c r="P33" s="631">
        <f>P7</f>
        <v>0</v>
      </c>
      <c r="Q33" s="3">
        <f>児童数!R42</f>
        <v>0</v>
      </c>
      <c r="R33" s="3">
        <f>児童数!S42</f>
        <v>0</v>
      </c>
      <c r="S33" s="3">
        <f>児童数!T42</f>
        <v>0</v>
      </c>
      <c r="T33" s="3">
        <f>児童数!U42</f>
        <v>0</v>
      </c>
      <c r="U33" s="3">
        <f>児童数!W42</f>
        <v>0</v>
      </c>
      <c r="V33" s="3">
        <f>児童数!X42</f>
        <v>0</v>
      </c>
      <c r="W33" s="3">
        <f>児童数!Y42</f>
        <v>0</v>
      </c>
      <c r="X33" s="3">
        <f>児童数!Z42</f>
        <v>0</v>
      </c>
      <c r="Y33" s="64">
        <f t="shared" ref="Y33:Y36" si="25">SUM(Q33:X33)</f>
        <v>0</v>
      </c>
      <c r="Z33" s="2"/>
      <c r="AA33" s="62"/>
      <c r="AB33" s="57"/>
      <c r="AM33" s="1413"/>
      <c r="AN33" s="1418"/>
      <c r="AO33" s="1418"/>
      <c r="AP33" s="53" t="s">
        <v>167</v>
      </c>
      <c r="AQ33" s="85">
        <f t="shared" ref="AQ33:AQ53" si="26">SUMPRODUCT(F33:M33,$Q$37:$X$37)</f>
        <v>0</v>
      </c>
    </row>
    <row r="34" spans="2:43" ht="16.5">
      <c r="B34" s="1413"/>
      <c r="C34" s="1419" t="s">
        <v>203</v>
      </c>
      <c r="D34" s="1422" t="s">
        <v>37</v>
      </c>
      <c r="E34" s="53" t="s">
        <v>169</v>
      </c>
      <c r="F34" s="6"/>
      <c r="G34" s="3">
        <f>IF(基本情報!E5="",0,G8)</f>
        <v>0</v>
      </c>
      <c r="H34" s="6"/>
      <c r="I34" s="6"/>
      <c r="J34" s="6"/>
      <c r="K34" s="3">
        <f>IF(基本情報!E5="",0,K8)</f>
        <v>0</v>
      </c>
      <c r="L34" s="6"/>
      <c r="M34" s="6"/>
      <c r="N34" s="1"/>
      <c r="O34" s="1444"/>
      <c r="P34" s="632">
        <f>P8</f>
        <v>0</v>
      </c>
      <c r="Q34" s="3">
        <f>児童数!R56</f>
        <v>0</v>
      </c>
      <c r="R34" s="3">
        <f>児童数!S56</f>
        <v>0</v>
      </c>
      <c r="S34" s="3">
        <f>児童数!T56</f>
        <v>0</v>
      </c>
      <c r="T34" s="3">
        <f>児童数!U56</f>
        <v>0</v>
      </c>
      <c r="U34" s="3">
        <f>児童数!W56</f>
        <v>0</v>
      </c>
      <c r="V34" s="3">
        <f>児童数!X56</f>
        <v>0</v>
      </c>
      <c r="W34" s="3">
        <f>児童数!Y56</f>
        <v>0</v>
      </c>
      <c r="X34" s="3">
        <f>児童数!Z56</f>
        <v>0</v>
      </c>
      <c r="Y34" s="64">
        <f t="shared" si="25"/>
        <v>0</v>
      </c>
      <c r="AA34" s="62"/>
      <c r="AB34" s="62"/>
      <c r="AE34" s="1"/>
      <c r="AM34" s="1413"/>
      <c r="AN34" s="1419" t="s">
        <v>203</v>
      </c>
      <c r="AO34" s="1422" t="s">
        <v>37</v>
      </c>
      <c r="AP34" s="732" t="s">
        <v>559</v>
      </c>
      <c r="AQ34" s="85">
        <f t="shared" si="26"/>
        <v>0</v>
      </c>
    </row>
    <row r="35" spans="2:43">
      <c r="B35" s="1413"/>
      <c r="C35" s="1420"/>
      <c r="D35" s="1422"/>
      <c r="E35" s="53" t="s">
        <v>167</v>
      </c>
      <c r="F35" s="6"/>
      <c r="G35" s="3">
        <f>IF(基本情報!E5="",0,G9)</f>
        <v>0</v>
      </c>
      <c r="H35" s="6"/>
      <c r="I35" s="6"/>
      <c r="J35" s="6"/>
      <c r="K35" s="3">
        <f>IF(基本情報!E5="",0,K9)</f>
        <v>0</v>
      </c>
      <c r="L35" s="6"/>
      <c r="M35" s="6"/>
      <c r="O35" s="1444"/>
      <c r="P35" s="633">
        <f>P9</f>
        <v>0</v>
      </c>
      <c r="Q35" s="3">
        <f>児童数!R70</f>
        <v>0</v>
      </c>
      <c r="R35" s="3">
        <f>児童数!S70</f>
        <v>0</v>
      </c>
      <c r="S35" s="3">
        <f>児童数!T70</f>
        <v>0</v>
      </c>
      <c r="T35" s="3">
        <f>児童数!U70</f>
        <v>0</v>
      </c>
      <c r="U35" s="3">
        <f>児童数!W70</f>
        <v>0</v>
      </c>
      <c r="V35" s="3">
        <f>児童数!X70</f>
        <v>0</v>
      </c>
      <c r="W35" s="3">
        <f>児童数!Y70</f>
        <v>0</v>
      </c>
      <c r="X35" s="3">
        <f>児童数!Z70</f>
        <v>0</v>
      </c>
      <c r="Y35" s="64">
        <f t="shared" si="25"/>
        <v>0</v>
      </c>
      <c r="AA35" s="62"/>
      <c r="AB35" s="62"/>
      <c r="AM35" s="1413"/>
      <c r="AN35" s="1420"/>
      <c r="AO35" s="1422"/>
      <c r="AP35" s="53" t="s">
        <v>167</v>
      </c>
      <c r="AQ35" s="85">
        <f t="shared" si="26"/>
        <v>0</v>
      </c>
    </row>
    <row r="36" spans="2:43">
      <c r="B36" s="1413"/>
      <c r="C36" s="1420"/>
      <c r="D36" s="383" t="s">
        <v>69</v>
      </c>
      <c r="E36" s="60"/>
      <c r="F36" s="3">
        <f>IF(基本情報!E5="",0,F10)</f>
        <v>0</v>
      </c>
      <c r="G36" s="3">
        <f>$F36</f>
        <v>0</v>
      </c>
      <c r="H36" s="3">
        <f t="shared" ref="H36:L36" si="27">$F36</f>
        <v>0</v>
      </c>
      <c r="I36" s="3">
        <f t="shared" si="27"/>
        <v>0</v>
      </c>
      <c r="J36" s="3">
        <f t="shared" si="27"/>
        <v>0</v>
      </c>
      <c r="K36" s="3">
        <f t="shared" si="27"/>
        <v>0</v>
      </c>
      <c r="L36" s="3">
        <f t="shared" si="27"/>
        <v>0</v>
      </c>
      <c r="M36" s="3">
        <f>$F36</f>
        <v>0</v>
      </c>
      <c r="O36" s="1444"/>
      <c r="P36" s="634">
        <f>P10</f>
        <v>0</v>
      </c>
      <c r="Q36" s="3">
        <f>児童数!R84</f>
        <v>0</v>
      </c>
      <c r="R36" s="3">
        <f>児童数!S84</f>
        <v>0</v>
      </c>
      <c r="S36" s="3">
        <f>児童数!T84</f>
        <v>0</v>
      </c>
      <c r="T36" s="3">
        <f>児童数!U84</f>
        <v>0</v>
      </c>
      <c r="U36" s="3">
        <f>児童数!W84</f>
        <v>0</v>
      </c>
      <c r="V36" s="3">
        <f>児童数!X84</f>
        <v>0</v>
      </c>
      <c r="W36" s="3">
        <f>児童数!Y84</f>
        <v>0</v>
      </c>
      <c r="X36" s="3">
        <f>児童数!Z84</f>
        <v>0</v>
      </c>
      <c r="Y36" s="64">
        <f t="shared" si="25"/>
        <v>0</v>
      </c>
      <c r="AA36" s="62"/>
      <c r="AB36" s="62"/>
      <c r="AM36" s="1413"/>
      <c r="AN36" s="1420"/>
      <c r="AO36" s="383" t="s">
        <v>69</v>
      </c>
      <c r="AP36" s="629"/>
      <c r="AQ36" s="85">
        <f t="shared" si="26"/>
        <v>0</v>
      </c>
    </row>
    <row r="37" spans="2:43">
      <c r="B37" s="1413"/>
      <c r="C37" s="1420"/>
      <c r="D37" s="1422" t="s">
        <v>161</v>
      </c>
      <c r="E37" s="53" t="s">
        <v>169</v>
      </c>
      <c r="F37" s="3">
        <f>IF(基本情報!E5="",0,F11)</f>
        <v>0</v>
      </c>
      <c r="G37" s="3">
        <f>F37</f>
        <v>0</v>
      </c>
      <c r="H37" s="3">
        <f>IF(基本情報!E5="",0,H11)</f>
        <v>0</v>
      </c>
      <c r="I37" s="3">
        <f>H37</f>
        <v>0</v>
      </c>
      <c r="J37" s="3">
        <f>F37</f>
        <v>0</v>
      </c>
      <c r="K37" s="3">
        <f>F37</f>
        <v>0</v>
      </c>
      <c r="L37" s="3">
        <f>H37</f>
        <v>0</v>
      </c>
      <c r="M37" s="3">
        <f>H37</f>
        <v>0</v>
      </c>
      <c r="O37" s="1445"/>
      <c r="P37" s="635" t="s">
        <v>36</v>
      </c>
      <c r="Q37" s="3">
        <f>SUM(Q32:Q36)</f>
        <v>0</v>
      </c>
      <c r="R37" s="3">
        <f t="shared" ref="R37:Y37" si="28">SUM(R32:R36)</f>
        <v>0</v>
      </c>
      <c r="S37" s="3">
        <f t="shared" si="28"/>
        <v>0</v>
      </c>
      <c r="T37" s="3">
        <f t="shared" si="28"/>
        <v>0</v>
      </c>
      <c r="U37" s="3">
        <f t="shared" si="28"/>
        <v>0</v>
      </c>
      <c r="V37" s="3">
        <f t="shared" si="28"/>
        <v>0</v>
      </c>
      <c r="W37" s="3">
        <f t="shared" si="28"/>
        <v>0</v>
      </c>
      <c r="X37" s="3">
        <f t="shared" si="28"/>
        <v>0</v>
      </c>
      <c r="Y37" s="3">
        <f t="shared" si="28"/>
        <v>0</v>
      </c>
      <c r="Z37" s="55" t="s">
        <v>176</v>
      </c>
      <c r="AA37" s="71" t="str">
        <f>IF(SUM(Q37:X37)=I2,"OK",SUM(Q37:X37)-G27)</f>
        <v>OK</v>
      </c>
      <c r="AM37" s="1413"/>
      <c r="AN37" s="1420"/>
      <c r="AO37" s="1422" t="s">
        <v>161</v>
      </c>
      <c r="AP37" s="53" t="s">
        <v>169</v>
      </c>
      <c r="AQ37" s="85">
        <f t="shared" si="26"/>
        <v>0</v>
      </c>
    </row>
    <row r="38" spans="2:43">
      <c r="B38" s="1413"/>
      <c r="C38" s="1420"/>
      <c r="D38" s="1422"/>
      <c r="E38" s="53" t="s">
        <v>167</v>
      </c>
      <c r="F38" s="3">
        <f>IF(基本情報!E5="",0,F12)</f>
        <v>0</v>
      </c>
      <c r="G38" s="3">
        <f>$F38</f>
        <v>0</v>
      </c>
      <c r="H38" s="3">
        <f t="shared" ref="H38:M38" si="29">$F38</f>
        <v>0</v>
      </c>
      <c r="I38" s="3">
        <f t="shared" si="29"/>
        <v>0</v>
      </c>
      <c r="J38" s="3">
        <f t="shared" si="29"/>
        <v>0</v>
      </c>
      <c r="K38" s="3">
        <f t="shared" si="29"/>
        <v>0</v>
      </c>
      <c r="L38" s="3">
        <f t="shared" si="29"/>
        <v>0</v>
      </c>
      <c r="M38" s="3">
        <f t="shared" si="29"/>
        <v>0</v>
      </c>
      <c r="O38" s="58"/>
      <c r="P38" s="58"/>
      <c r="Q38" s="10"/>
      <c r="R38" s="10"/>
      <c r="S38" s="10"/>
      <c r="T38" s="10"/>
      <c r="U38" s="10"/>
      <c r="V38" s="10"/>
      <c r="W38" s="10"/>
      <c r="X38" s="10"/>
      <c r="Y38" s="11"/>
      <c r="Z38" s="11"/>
      <c r="AM38" s="1413"/>
      <c r="AN38" s="1420"/>
      <c r="AO38" s="1422"/>
      <c r="AP38" s="53" t="s">
        <v>167</v>
      </c>
      <c r="AQ38" s="85">
        <f t="shared" si="26"/>
        <v>0</v>
      </c>
    </row>
    <row r="39" spans="2:43" ht="16.5">
      <c r="B39" s="1413"/>
      <c r="C39" s="1420"/>
      <c r="D39" s="366" t="s">
        <v>162</v>
      </c>
      <c r="E39" s="59"/>
      <c r="F39" s="3">
        <f>IF(基本情報!E5="",0,F13)</f>
        <v>0</v>
      </c>
      <c r="G39" s="3">
        <f t="shared" ref="G39:M42" si="30">$F39</f>
        <v>0</v>
      </c>
      <c r="H39" s="3">
        <f t="shared" si="30"/>
        <v>0</v>
      </c>
      <c r="I39" s="3">
        <f t="shared" si="30"/>
        <v>0</v>
      </c>
      <c r="J39" s="3">
        <f t="shared" si="30"/>
        <v>0</v>
      </c>
      <c r="K39" s="3">
        <f t="shared" si="30"/>
        <v>0</v>
      </c>
      <c r="L39" s="3">
        <f t="shared" si="30"/>
        <v>0</v>
      </c>
      <c r="M39" s="3">
        <f t="shared" si="30"/>
        <v>0</v>
      </c>
      <c r="O39" s="1443" t="s">
        <v>189</v>
      </c>
      <c r="P39" s="1446" t="s">
        <v>171</v>
      </c>
      <c r="Q39" s="1440" t="s">
        <v>15</v>
      </c>
      <c r="R39" s="1440"/>
      <c r="S39" s="1440"/>
      <c r="T39" s="1440"/>
      <c r="U39" s="1440" t="s">
        <v>16</v>
      </c>
      <c r="V39" s="1440"/>
      <c r="W39" s="1440"/>
      <c r="X39" s="1440"/>
      <c r="Y39" s="1441" t="s">
        <v>177</v>
      </c>
      <c r="AM39" s="1413"/>
      <c r="AN39" s="1420"/>
      <c r="AO39" s="720" t="s">
        <v>162</v>
      </c>
      <c r="AP39" s="731" t="s">
        <v>353</v>
      </c>
      <c r="AQ39" s="85">
        <f t="shared" si="26"/>
        <v>0</v>
      </c>
    </row>
    <row r="40" spans="2:43" ht="16.5">
      <c r="B40" s="1413"/>
      <c r="C40" s="1420"/>
      <c r="D40" s="366" t="s">
        <v>54</v>
      </c>
      <c r="E40" s="59"/>
      <c r="F40" s="3">
        <f>IF(基本情報!E5="",0,F14)</f>
        <v>0</v>
      </c>
      <c r="G40" s="3">
        <f t="shared" si="30"/>
        <v>0</v>
      </c>
      <c r="H40" s="3">
        <f t="shared" si="30"/>
        <v>0</v>
      </c>
      <c r="I40" s="3">
        <f t="shared" si="30"/>
        <v>0</v>
      </c>
      <c r="J40" s="3">
        <f t="shared" si="30"/>
        <v>0</v>
      </c>
      <c r="K40" s="3">
        <f t="shared" si="30"/>
        <v>0</v>
      </c>
      <c r="L40" s="3">
        <f t="shared" si="30"/>
        <v>0</v>
      </c>
      <c r="M40" s="3">
        <f t="shared" si="30"/>
        <v>0</v>
      </c>
      <c r="O40" s="1444"/>
      <c r="P40" s="1446"/>
      <c r="Q40" s="368" t="s">
        <v>6</v>
      </c>
      <c r="R40" s="368" t="s">
        <v>7</v>
      </c>
      <c r="S40" s="368" t="s">
        <v>8</v>
      </c>
      <c r="T40" s="368" t="s">
        <v>9</v>
      </c>
      <c r="U40" s="368" t="s">
        <v>6</v>
      </c>
      <c r="V40" s="368" t="s">
        <v>7</v>
      </c>
      <c r="W40" s="368" t="s">
        <v>8</v>
      </c>
      <c r="X40" s="368" t="s">
        <v>9</v>
      </c>
      <c r="Y40" s="1442"/>
      <c r="AM40" s="1413"/>
      <c r="AN40" s="1420"/>
      <c r="AO40" s="720" t="s">
        <v>54</v>
      </c>
      <c r="AP40" s="731" t="s">
        <v>353</v>
      </c>
      <c r="AQ40" s="85">
        <f t="shared" si="26"/>
        <v>0</v>
      </c>
    </row>
    <row r="41" spans="2:43" ht="16.5">
      <c r="B41" s="1413"/>
      <c r="C41" s="1420"/>
      <c r="D41" s="1422" t="s">
        <v>38</v>
      </c>
      <c r="E41" s="53" t="s">
        <v>169</v>
      </c>
      <c r="F41" s="3">
        <f>IF(基本情報!E5="",0,F15)</f>
        <v>0</v>
      </c>
      <c r="G41" s="3">
        <f t="shared" si="30"/>
        <v>0</v>
      </c>
      <c r="H41" s="3">
        <f t="shared" si="30"/>
        <v>0</v>
      </c>
      <c r="I41" s="3">
        <f t="shared" si="30"/>
        <v>0</v>
      </c>
      <c r="J41" s="3">
        <f t="shared" si="30"/>
        <v>0</v>
      </c>
      <c r="K41" s="3">
        <f t="shared" si="30"/>
        <v>0</v>
      </c>
      <c r="L41" s="3">
        <f t="shared" si="30"/>
        <v>0</v>
      </c>
      <c r="M41" s="3">
        <f t="shared" si="30"/>
        <v>0</v>
      </c>
      <c r="O41" s="1444"/>
      <c r="P41" s="630">
        <f>P32</f>
        <v>0</v>
      </c>
      <c r="Q41" s="3">
        <f t="shared" ref="Q41:X41" si="31">F54*Q32</f>
        <v>0</v>
      </c>
      <c r="R41" s="3">
        <f t="shared" si="31"/>
        <v>0</v>
      </c>
      <c r="S41" s="3">
        <f t="shared" si="31"/>
        <v>0</v>
      </c>
      <c r="T41" s="3">
        <f t="shared" si="31"/>
        <v>0</v>
      </c>
      <c r="U41" s="3">
        <f t="shared" si="31"/>
        <v>0</v>
      </c>
      <c r="V41" s="3">
        <f t="shared" si="31"/>
        <v>0</v>
      </c>
      <c r="W41" s="3">
        <f t="shared" si="31"/>
        <v>0</v>
      </c>
      <c r="X41" s="3">
        <f t="shared" si="31"/>
        <v>0</v>
      </c>
      <c r="Y41" s="3">
        <f>SUM(Q41:X41)</f>
        <v>0</v>
      </c>
      <c r="AM41" s="1413"/>
      <c r="AN41" s="1420"/>
      <c r="AO41" s="1422" t="s">
        <v>38</v>
      </c>
      <c r="AP41" s="732" t="s">
        <v>559</v>
      </c>
      <c r="AQ41" s="85">
        <f t="shared" si="26"/>
        <v>0</v>
      </c>
    </row>
    <row r="42" spans="2:43">
      <c r="B42" s="1413"/>
      <c r="C42" s="1421"/>
      <c r="D42" s="1422"/>
      <c r="E42" s="53" t="s">
        <v>167</v>
      </c>
      <c r="F42" s="3">
        <f>IF(基本情報!E5="",0,F16)</f>
        <v>0</v>
      </c>
      <c r="G42" s="3">
        <f t="shared" si="30"/>
        <v>0</v>
      </c>
      <c r="H42" s="3">
        <f t="shared" si="30"/>
        <v>0</v>
      </c>
      <c r="I42" s="3">
        <f t="shared" si="30"/>
        <v>0</v>
      </c>
      <c r="J42" s="3">
        <f t="shared" si="30"/>
        <v>0</v>
      </c>
      <c r="K42" s="3">
        <f t="shared" si="30"/>
        <v>0</v>
      </c>
      <c r="L42" s="3">
        <f t="shared" si="30"/>
        <v>0</v>
      </c>
      <c r="M42" s="3">
        <f>$F42</f>
        <v>0</v>
      </c>
      <c r="O42" s="1444"/>
      <c r="P42" s="631">
        <f>P33</f>
        <v>0</v>
      </c>
      <c r="Q42" s="3">
        <f t="shared" ref="Q42:X42" si="32">F54*Q33</f>
        <v>0</v>
      </c>
      <c r="R42" s="3">
        <f t="shared" si="32"/>
        <v>0</v>
      </c>
      <c r="S42" s="3">
        <f t="shared" si="32"/>
        <v>0</v>
      </c>
      <c r="T42" s="3">
        <f t="shared" si="32"/>
        <v>0</v>
      </c>
      <c r="U42" s="3">
        <f t="shared" si="32"/>
        <v>0</v>
      </c>
      <c r="V42" s="3">
        <f t="shared" si="32"/>
        <v>0</v>
      </c>
      <c r="W42" s="3">
        <f t="shared" si="32"/>
        <v>0</v>
      </c>
      <c r="X42" s="3">
        <f t="shared" si="32"/>
        <v>0</v>
      </c>
      <c r="Y42" s="3">
        <f t="shared" ref="Y42:Y45" si="33">SUM(Q42:X42)</f>
        <v>0</v>
      </c>
      <c r="AM42" s="1413"/>
      <c r="AN42" s="1421"/>
      <c r="AO42" s="1422"/>
      <c r="AP42" s="53" t="s">
        <v>167</v>
      </c>
      <c r="AQ42" s="85">
        <f t="shared" si="26"/>
        <v>0</v>
      </c>
    </row>
    <row r="43" spans="2:43">
      <c r="B43" s="1413"/>
      <c r="C43" s="1423" t="s">
        <v>205</v>
      </c>
      <c r="D43" s="371" t="s">
        <v>164</v>
      </c>
      <c r="E43" s="60"/>
      <c r="F43" s="3">
        <f t="shared" ref="F43:M43" si="34">-ROUNDDOWN((F32+F33)*$P$2%,-1)</f>
        <v>0</v>
      </c>
      <c r="G43" s="3">
        <f t="shared" si="34"/>
        <v>0</v>
      </c>
      <c r="H43" s="3">
        <f t="shared" si="34"/>
        <v>0</v>
      </c>
      <c r="I43" s="3">
        <f t="shared" si="34"/>
        <v>0</v>
      </c>
      <c r="J43" s="3">
        <f t="shared" si="34"/>
        <v>0</v>
      </c>
      <c r="K43" s="3">
        <f t="shared" si="34"/>
        <v>0</v>
      </c>
      <c r="L43" s="3">
        <f t="shared" si="34"/>
        <v>0</v>
      </c>
      <c r="M43" s="3">
        <f t="shared" si="34"/>
        <v>0</v>
      </c>
      <c r="O43" s="1444"/>
      <c r="P43" s="632">
        <f>P34</f>
        <v>0</v>
      </c>
      <c r="Q43" s="3">
        <f t="shared" ref="Q43:X43" si="35">F54*Q34</f>
        <v>0</v>
      </c>
      <c r="R43" s="3">
        <f t="shared" si="35"/>
        <v>0</v>
      </c>
      <c r="S43" s="3">
        <f t="shared" si="35"/>
        <v>0</v>
      </c>
      <c r="T43" s="3">
        <f t="shared" si="35"/>
        <v>0</v>
      </c>
      <c r="U43" s="3">
        <f t="shared" si="35"/>
        <v>0</v>
      </c>
      <c r="V43" s="3">
        <f t="shared" si="35"/>
        <v>0</v>
      </c>
      <c r="W43" s="3">
        <f t="shared" si="35"/>
        <v>0</v>
      </c>
      <c r="X43" s="3">
        <f t="shared" si="35"/>
        <v>0</v>
      </c>
      <c r="Y43" s="3">
        <f t="shared" si="33"/>
        <v>0</v>
      </c>
      <c r="AM43" s="1413"/>
      <c r="AN43" s="1423" t="s">
        <v>205</v>
      </c>
      <c r="AO43" s="717" t="s">
        <v>164</v>
      </c>
      <c r="AP43" s="60"/>
      <c r="AQ43" s="85">
        <f t="shared" si="26"/>
        <v>0</v>
      </c>
    </row>
    <row r="44" spans="2:43">
      <c r="B44" s="1413"/>
      <c r="C44" s="1423"/>
      <c r="D44" s="1424" t="s">
        <v>43</v>
      </c>
      <c r="E44" s="53" t="s">
        <v>169</v>
      </c>
      <c r="F44" s="74">
        <f>IF(基本情報!E5="",0,-IF(加算と減算!K32="○",単価表!AZ23,0))</f>
        <v>0</v>
      </c>
      <c r="G44" s="74">
        <f>F44</f>
        <v>0</v>
      </c>
      <c r="H44" s="74">
        <f>F44</f>
        <v>0</v>
      </c>
      <c r="I44" s="74">
        <f>F44</f>
        <v>0</v>
      </c>
      <c r="J44" s="74">
        <f>F44</f>
        <v>0</v>
      </c>
      <c r="K44" s="74">
        <f>F44</f>
        <v>0</v>
      </c>
      <c r="L44" s="74">
        <f>F44</f>
        <v>0</v>
      </c>
      <c r="M44" s="74">
        <f>F44</f>
        <v>0</v>
      </c>
      <c r="O44" s="1444"/>
      <c r="P44" s="633">
        <f>P35</f>
        <v>0</v>
      </c>
      <c r="Q44" s="3">
        <f t="shared" ref="Q44:X44" si="36">F54*Q35</f>
        <v>0</v>
      </c>
      <c r="R44" s="3">
        <f t="shared" si="36"/>
        <v>0</v>
      </c>
      <c r="S44" s="3">
        <f t="shared" si="36"/>
        <v>0</v>
      </c>
      <c r="T44" s="3">
        <f t="shared" si="36"/>
        <v>0</v>
      </c>
      <c r="U44" s="3">
        <f t="shared" si="36"/>
        <v>0</v>
      </c>
      <c r="V44" s="3">
        <f t="shared" si="36"/>
        <v>0</v>
      </c>
      <c r="W44" s="3">
        <f t="shared" si="36"/>
        <v>0</v>
      </c>
      <c r="X44" s="3">
        <f t="shared" si="36"/>
        <v>0</v>
      </c>
      <c r="Y44" s="3">
        <f t="shared" si="33"/>
        <v>0</v>
      </c>
      <c r="AM44" s="1413"/>
      <c r="AN44" s="1423"/>
      <c r="AO44" s="1424" t="s">
        <v>43</v>
      </c>
      <c r="AP44" s="53" t="s">
        <v>169</v>
      </c>
      <c r="AQ44" s="85">
        <f t="shared" si="26"/>
        <v>0</v>
      </c>
    </row>
    <row r="45" spans="2:43">
      <c r="B45" s="1413"/>
      <c r="C45" s="1423"/>
      <c r="D45" s="1424"/>
      <c r="E45" s="53" t="s">
        <v>167</v>
      </c>
      <c r="F45" s="74">
        <f>IF(基本情報!E5="",0,-IF(加算と減算!K32="○",単価表!BA23*基本情報!G7,0))</f>
        <v>0</v>
      </c>
      <c r="G45" s="74">
        <f>F45</f>
        <v>0</v>
      </c>
      <c r="H45" s="74">
        <f>F45</f>
        <v>0</v>
      </c>
      <c r="I45" s="74">
        <f>F45</f>
        <v>0</v>
      </c>
      <c r="J45" s="74">
        <f>F45</f>
        <v>0</v>
      </c>
      <c r="K45" s="74">
        <f>F45</f>
        <v>0</v>
      </c>
      <c r="L45" s="74">
        <f>F45</f>
        <v>0</v>
      </c>
      <c r="M45" s="74">
        <f>F45</f>
        <v>0</v>
      </c>
      <c r="O45" s="1444"/>
      <c r="P45" s="634">
        <f>P36</f>
        <v>0</v>
      </c>
      <c r="Q45" s="3">
        <f t="shared" ref="Q45:X45" si="37">F54*Q36</f>
        <v>0</v>
      </c>
      <c r="R45" s="3">
        <f t="shared" si="37"/>
        <v>0</v>
      </c>
      <c r="S45" s="3">
        <f t="shared" si="37"/>
        <v>0</v>
      </c>
      <c r="T45" s="3">
        <f t="shared" si="37"/>
        <v>0</v>
      </c>
      <c r="U45" s="3">
        <f t="shared" si="37"/>
        <v>0</v>
      </c>
      <c r="V45" s="3">
        <f t="shared" si="37"/>
        <v>0</v>
      </c>
      <c r="W45" s="3">
        <f t="shared" si="37"/>
        <v>0</v>
      </c>
      <c r="X45" s="3">
        <f t="shared" si="37"/>
        <v>0</v>
      </c>
      <c r="Y45" s="3">
        <f t="shared" si="33"/>
        <v>0</v>
      </c>
      <c r="AM45" s="1413"/>
      <c r="AN45" s="1423"/>
      <c r="AO45" s="1424"/>
      <c r="AP45" s="53" t="s">
        <v>167</v>
      </c>
      <c r="AQ45" s="85">
        <f t="shared" si="26"/>
        <v>0</v>
      </c>
    </row>
    <row r="46" spans="2:43">
      <c r="B46" s="1413"/>
      <c r="C46" s="1423"/>
      <c r="D46" s="371" t="s">
        <v>165</v>
      </c>
      <c r="E46" s="60"/>
      <c r="F46" s="74">
        <f t="shared" ref="F46:M46" si="38">-ROUNDDOWN((F32+F33+F37+F38+F34+F35)*$T$2/100,-1)</f>
        <v>0</v>
      </c>
      <c r="G46" s="74">
        <f t="shared" si="38"/>
        <v>0</v>
      </c>
      <c r="H46" s="74">
        <f t="shared" si="38"/>
        <v>0</v>
      </c>
      <c r="I46" s="74">
        <f t="shared" si="38"/>
        <v>0</v>
      </c>
      <c r="J46" s="74">
        <f t="shared" si="38"/>
        <v>0</v>
      </c>
      <c r="K46" s="74">
        <f t="shared" si="38"/>
        <v>0</v>
      </c>
      <c r="L46" s="74">
        <f t="shared" si="38"/>
        <v>0</v>
      </c>
      <c r="M46" s="74">
        <f t="shared" si="38"/>
        <v>0</v>
      </c>
      <c r="O46" s="1445"/>
      <c r="P46" s="635" t="s">
        <v>36</v>
      </c>
      <c r="Q46" s="3">
        <f>SUM(Q41:Q45)</f>
        <v>0</v>
      </c>
      <c r="R46" s="3">
        <f t="shared" ref="R46:Y46" si="39">SUM(R41:R45)</f>
        <v>0</v>
      </c>
      <c r="S46" s="3">
        <f t="shared" si="39"/>
        <v>0</v>
      </c>
      <c r="T46" s="3">
        <f t="shared" si="39"/>
        <v>0</v>
      </c>
      <c r="U46" s="3">
        <f t="shared" si="39"/>
        <v>0</v>
      </c>
      <c r="V46" s="3">
        <f t="shared" si="39"/>
        <v>0</v>
      </c>
      <c r="W46" s="3">
        <f t="shared" si="39"/>
        <v>0</v>
      </c>
      <c r="X46" s="3">
        <f t="shared" si="39"/>
        <v>0</v>
      </c>
      <c r="Y46" s="3">
        <f t="shared" si="39"/>
        <v>0</v>
      </c>
      <c r="AM46" s="1413"/>
      <c r="AN46" s="1423"/>
      <c r="AO46" s="717" t="s">
        <v>165</v>
      </c>
      <c r="AP46" s="60"/>
      <c r="AQ46" s="85">
        <f t="shared" si="26"/>
        <v>0</v>
      </c>
    </row>
    <row r="47" spans="2:43" ht="15" customHeight="1">
      <c r="B47" s="1413"/>
      <c r="C47" s="1423"/>
      <c r="D47" s="371" t="s">
        <v>166</v>
      </c>
      <c r="E47" s="60"/>
      <c r="F47" s="74">
        <f>IF(基本情報!E5="",0,-ROUNDUP(SUM(F32:F46)*$W$2/100,-1))</f>
        <v>0</v>
      </c>
      <c r="G47" s="74">
        <f t="shared" ref="G47:M47" si="40">-ROUNDUP(SUM(G32:G46)*$W$2/100,-1)</f>
        <v>0</v>
      </c>
      <c r="H47" s="74">
        <f t="shared" si="40"/>
        <v>0</v>
      </c>
      <c r="I47" s="74">
        <f t="shared" si="40"/>
        <v>0</v>
      </c>
      <c r="J47" s="74">
        <f t="shared" si="40"/>
        <v>0</v>
      </c>
      <c r="K47" s="74">
        <f t="shared" si="40"/>
        <v>0</v>
      </c>
      <c r="L47" s="74">
        <f t="shared" si="40"/>
        <v>0</v>
      </c>
      <c r="M47" s="74">
        <f t="shared" si="40"/>
        <v>0</v>
      </c>
      <c r="O47" s="8"/>
      <c r="P47" s="58"/>
      <c r="Q47" s="7"/>
      <c r="R47" s="7"/>
      <c r="S47" s="7"/>
      <c r="T47" s="7"/>
      <c r="U47" s="7"/>
      <c r="V47" s="7"/>
      <c r="W47" s="7"/>
      <c r="X47" s="7"/>
      <c r="Y47" s="4"/>
      <c r="Z47" s="4"/>
      <c r="AM47" s="1413"/>
      <c r="AN47" s="1423"/>
      <c r="AO47" s="717" t="s">
        <v>166</v>
      </c>
      <c r="AP47" s="60"/>
      <c r="AQ47" s="85">
        <f t="shared" si="26"/>
        <v>0</v>
      </c>
    </row>
    <row r="48" spans="2:43" ht="15" customHeight="1">
      <c r="B48" s="1413"/>
      <c r="C48" s="1419" t="s">
        <v>204</v>
      </c>
      <c r="D48" s="366" t="s">
        <v>18</v>
      </c>
      <c r="E48" s="59"/>
      <c r="F48" s="3">
        <f>IF(基本情報!E5="",0,F21)</f>
        <v>0</v>
      </c>
      <c r="G48" s="3">
        <f t="shared" ref="G48:M53" si="41">$F48</f>
        <v>0</v>
      </c>
      <c r="H48" s="3">
        <f t="shared" si="41"/>
        <v>0</v>
      </c>
      <c r="I48" s="3">
        <f t="shared" si="41"/>
        <v>0</v>
      </c>
      <c r="J48" s="3">
        <f t="shared" si="41"/>
        <v>0</v>
      </c>
      <c r="K48" s="3">
        <f t="shared" si="41"/>
        <v>0</v>
      </c>
      <c r="L48" s="3">
        <f t="shared" si="41"/>
        <v>0</v>
      </c>
      <c r="M48" s="3">
        <f t="shared" si="41"/>
        <v>0</v>
      </c>
      <c r="O48" s="1443" t="s">
        <v>180</v>
      </c>
      <c r="P48" s="367" t="s">
        <v>171</v>
      </c>
      <c r="Q48" s="61" t="s">
        <v>178</v>
      </c>
      <c r="R48" s="40" t="s">
        <v>179</v>
      </c>
      <c r="S48" s="4"/>
      <c r="T48" s="1443" t="s">
        <v>190</v>
      </c>
      <c r="U48" s="367" t="s">
        <v>171</v>
      </c>
      <c r="V48" s="40" t="s">
        <v>179</v>
      </c>
      <c r="X48" s="1431" t="s">
        <v>186</v>
      </c>
      <c r="Y48" s="1431"/>
      <c r="AM48" s="1413"/>
      <c r="AN48" s="1419" t="s">
        <v>204</v>
      </c>
      <c r="AO48" s="720" t="s">
        <v>18</v>
      </c>
      <c r="AP48" s="732" t="s">
        <v>559</v>
      </c>
      <c r="AQ48" s="85">
        <f t="shared" si="26"/>
        <v>0</v>
      </c>
    </row>
    <row r="49" spans="2:43" ht="16.5">
      <c r="B49" s="1413"/>
      <c r="C49" s="1420"/>
      <c r="D49" s="366" t="s">
        <v>62</v>
      </c>
      <c r="E49" s="59"/>
      <c r="F49" s="3">
        <f>IF(基本情報!E5="",0,F22)</f>
        <v>0</v>
      </c>
      <c r="G49" s="3">
        <f t="shared" si="41"/>
        <v>0</v>
      </c>
      <c r="H49" s="3">
        <f t="shared" si="41"/>
        <v>0</v>
      </c>
      <c r="I49" s="3">
        <f t="shared" si="41"/>
        <v>0</v>
      </c>
      <c r="J49" s="3">
        <f t="shared" si="41"/>
        <v>0</v>
      </c>
      <c r="K49" s="3">
        <f t="shared" si="41"/>
        <v>0</v>
      </c>
      <c r="L49" s="3">
        <f t="shared" si="41"/>
        <v>0</v>
      </c>
      <c r="M49" s="3">
        <f t="shared" si="41"/>
        <v>0</v>
      </c>
      <c r="O49" s="1444"/>
      <c r="P49" s="630">
        <f>P32</f>
        <v>0</v>
      </c>
      <c r="Q49" s="3">
        <f>児童数!AF28</f>
        <v>0</v>
      </c>
      <c r="R49" s="64">
        <f>4500*Q49</f>
        <v>0</v>
      </c>
      <c r="S49" s="4"/>
      <c r="T49" s="1444"/>
      <c r="U49" s="630">
        <f>P32</f>
        <v>0</v>
      </c>
      <c r="V49" s="65">
        <f>Y41+R49</f>
        <v>0</v>
      </c>
      <c r="X49" s="630">
        <f>P32</f>
        <v>0</v>
      </c>
      <c r="Y49" s="65" t="e">
        <f>V23+V49</f>
        <v>#VALUE!</v>
      </c>
      <c r="AM49" s="1413"/>
      <c r="AN49" s="1420"/>
      <c r="AO49" s="720" t="s">
        <v>62</v>
      </c>
      <c r="AP49" s="732" t="s">
        <v>559</v>
      </c>
      <c r="AQ49" s="85">
        <f t="shared" si="26"/>
        <v>0</v>
      </c>
    </row>
    <row r="50" spans="2:43" ht="16.5">
      <c r="B50" s="1413"/>
      <c r="C50" s="1420"/>
      <c r="D50" s="366" t="s">
        <v>19</v>
      </c>
      <c r="E50" s="59"/>
      <c r="F50" s="3">
        <f>IF(基本情報!E5="",0,F23)</f>
        <v>0</v>
      </c>
      <c r="G50" s="3">
        <f t="shared" si="41"/>
        <v>0</v>
      </c>
      <c r="H50" s="3">
        <f t="shared" si="41"/>
        <v>0</v>
      </c>
      <c r="I50" s="3">
        <f t="shared" si="41"/>
        <v>0</v>
      </c>
      <c r="J50" s="3">
        <f t="shared" si="41"/>
        <v>0</v>
      </c>
      <c r="K50" s="3">
        <f t="shared" si="41"/>
        <v>0</v>
      </c>
      <c r="L50" s="3">
        <f t="shared" si="41"/>
        <v>0</v>
      </c>
      <c r="M50" s="3">
        <f t="shared" si="41"/>
        <v>0</v>
      </c>
      <c r="O50" s="1444"/>
      <c r="P50" s="631">
        <f>P33</f>
        <v>0</v>
      </c>
      <c r="Q50" s="3">
        <f>児童数!AF42</f>
        <v>0</v>
      </c>
      <c r="R50" s="64">
        <f t="shared" ref="R50:R53" si="42">4500*Q50</f>
        <v>0</v>
      </c>
      <c r="S50" s="4"/>
      <c r="T50" s="1444"/>
      <c r="U50" s="631">
        <f>P33</f>
        <v>0</v>
      </c>
      <c r="V50" s="66">
        <f>Y42+R50</f>
        <v>0</v>
      </c>
      <c r="X50" s="631">
        <f>P33</f>
        <v>0</v>
      </c>
      <c r="Y50" s="66" t="e">
        <f>V24+V50</f>
        <v>#VALUE!</v>
      </c>
      <c r="AM50" s="1413"/>
      <c r="AN50" s="1420"/>
      <c r="AO50" s="720" t="s">
        <v>19</v>
      </c>
      <c r="AP50" s="732" t="s">
        <v>559</v>
      </c>
      <c r="AQ50" s="85">
        <f t="shared" si="26"/>
        <v>0</v>
      </c>
    </row>
    <row r="51" spans="2:43" ht="16.5">
      <c r="B51" s="1413"/>
      <c r="C51" s="1420"/>
      <c r="D51" s="366" t="s">
        <v>41</v>
      </c>
      <c r="E51" s="59"/>
      <c r="F51" s="3">
        <f>IF(基本情報!E5="",0,F24)</f>
        <v>0</v>
      </c>
      <c r="G51" s="3">
        <f t="shared" si="41"/>
        <v>0</v>
      </c>
      <c r="H51" s="3">
        <f t="shared" si="41"/>
        <v>0</v>
      </c>
      <c r="I51" s="3">
        <f t="shared" si="41"/>
        <v>0</v>
      </c>
      <c r="J51" s="3">
        <f t="shared" si="41"/>
        <v>0</v>
      </c>
      <c r="K51" s="3">
        <f t="shared" si="41"/>
        <v>0</v>
      </c>
      <c r="L51" s="3">
        <f t="shared" si="41"/>
        <v>0</v>
      </c>
      <c r="M51" s="3">
        <f t="shared" si="41"/>
        <v>0</v>
      </c>
      <c r="O51" s="1444"/>
      <c r="P51" s="632">
        <f>P34</f>
        <v>0</v>
      </c>
      <c r="Q51" s="3">
        <f>児童数!AF56</f>
        <v>0</v>
      </c>
      <c r="R51" s="64">
        <f t="shared" si="42"/>
        <v>0</v>
      </c>
      <c r="S51" s="4"/>
      <c r="T51" s="1444"/>
      <c r="U51" s="632">
        <f>P34</f>
        <v>0</v>
      </c>
      <c r="V51" s="67">
        <f>Y43+R51</f>
        <v>0</v>
      </c>
      <c r="X51" s="632">
        <f>P34</f>
        <v>0</v>
      </c>
      <c r="Y51" s="67" t="e">
        <f>V25+V51</f>
        <v>#VALUE!</v>
      </c>
      <c r="AM51" s="1413"/>
      <c r="AN51" s="1420"/>
      <c r="AO51" s="720" t="s">
        <v>41</v>
      </c>
      <c r="AP51" s="732" t="s">
        <v>559</v>
      </c>
      <c r="AQ51" s="85">
        <f t="shared" si="26"/>
        <v>0</v>
      </c>
    </row>
    <row r="52" spans="2:43" ht="16.5">
      <c r="B52" s="1413"/>
      <c r="C52" s="1420"/>
      <c r="D52" s="366" t="s">
        <v>42</v>
      </c>
      <c r="E52" s="59"/>
      <c r="F52" s="3">
        <f>IF(基本情報!E5="",0,F25)</f>
        <v>0</v>
      </c>
      <c r="G52" s="3">
        <f t="shared" si="41"/>
        <v>0</v>
      </c>
      <c r="H52" s="3">
        <f t="shared" si="41"/>
        <v>0</v>
      </c>
      <c r="I52" s="3">
        <f t="shared" si="41"/>
        <v>0</v>
      </c>
      <c r="J52" s="3">
        <f t="shared" si="41"/>
        <v>0</v>
      </c>
      <c r="K52" s="3">
        <f t="shared" si="41"/>
        <v>0</v>
      </c>
      <c r="L52" s="3">
        <f t="shared" si="41"/>
        <v>0</v>
      </c>
      <c r="M52" s="3">
        <f t="shared" si="41"/>
        <v>0</v>
      </c>
      <c r="O52" s="1444"/>
      <c r="P52" s="633">
        <f>P35</f>
        <v>0</v>
      </c>
      <c r="Q52" s="3">
        <f>児童数!AF70</f>
        <v>0</v>
      </c>
      <c r="R52" s="64">
        <f t="shared" si="42"/>
        <v>0</v>
      </c>
      <c r="S52" s="4"/>
      <c r="T52" s="1444"/>
      <c r="U52" s="633">
        <f>P35</f>
        <v>0</v>
      </c>
      <c r="V52" s="68">
        <f>Y44+R52</f>
        <v>0</v>
      </c>
      <c r="X52" s="633">
        <f>P35</f>
        <v>0</v>
      </c>
      <c r="Y52" s="68" t="e">
        <f>V26+V52</f>
        <v>#VALUE!</v>
      </c>
      <c r="AM52" s="1413"/>
      <c r="AN52" s="1420"/>
      <c r="AO52" s="720" t="s">
        <v>42</v>
      </c>
      <c r="AP52" s="731" t="s">
        <v>353</v>
      </c>
      <c r="AQ52" s="85">
        <f t="shared" si="26"/>
        <v>0</v>
      </c>
    </row>
    <row r="53" spans="2:43" ht="16.5">
      <c r="B53" s="1413"/>
      <c r="C53" s="1421"/>
      <c r="D53" s="366" t="s">
        <v>80</v>
      </c>
      <c r="E53" s="59"/>
      <c r="F53" s="3">
        <f>IF(基本情報!E5="",0,F26)</f>
        <v>0</v>
      </c>
      <c r="G53" s="3">
        <f t="shared" si="41"/>
        <v>0</v>
      </c>
      <c r="H53" s="3">
        <f t="shared" si="41"/>
        <v>0</v>
      </c>
      <c r="I53" s="3">
        <f t="shared" si="41"/>
        <v>0</v>
      </c>
      <c r="J53" s="3">
        <f t="shared" si="41"/>
        <v>0</v>
      </c>
      <c r="K53" s="3">
        <f t="shared" si="41"/>
        <v>0</v>
      </c>
      <c r="L53" s="3">
        <f t="shared" si="41"/>
        <v>0</v>
      </c>
      <c r="M53" s="3">
        <f t="shared" si="41"/>
        <v>0</v>
      </c>
      <c r="O53" s="1444"/>
      <c r="P53" s="634">
        <f>P36</f>
        <v>0</v>
      </c>
      <c r="Q53" s="3">
        <f>児童数!AF84</f>
        <v>0</v>
      </c>
      <c r="R53" s="64">
        <f t="shared" si="42"/>
        <v>0</v>
      </c>
      <c r="S53" s="4"/>
      <c r="T53" s="1444"/>
      <c r="U53" s="634">
        <f>P36</f>
        <v>0</v>
      </c>
      <c r="V53" s="69">
        <f>Y45+R53</f>
        <v>0</v>
      </c>
      <c r="X53" s="634">
        <f>P36</f>
        <v>0</v>
      </c>
      <c r="Y53" s="69" t="e">
        <f>V27+V53</f>
        <v>#VALUE!</v>
      </c>
      <c r="AM53" s="1413"/>
      <c r="AN53" s="1421"/>
      <c r="AO53" s="720" t="s">
        <v>80</v>
      </c>
      <c r="AP53" s="731" t="s">
        <v>353</v>
      </c>
      <c r="AQ53" s="85">
        <f t="shared" si="26"/>
        <v>0</v>
      </c>
    </row>
    <row r="54" spans="2:43" ht="17.25" thickBot="1">
      <c r="B54" s="1414"/>
      <c r="C54" s="1410" t="s">
        <v>44</v>
      </c>
      <c r="D54" s="1411"/>
      <c r="E54" s="53"/>
      <c r="F54" s="5">
        <f t="shared" ref="F54:M54" si="43">SUM(F32:F53)</f>
        <v>0</v>
      </c>
      <c r="G54" s="5">
        <f t="shared" si="43"/>
        <v>0</v>
      </c>
      <c r="H54" s="5">
        <f t="shared" si="43"/>
        <v>0</v>
      </c>
      <c r="I54" s="5">
        <f t="shared" si="43"/>
        <v>0</v>
      </c>
      <c r="J54" s="5">
        <f t="shared" si="43"/>
        <v>0</v>
      </c>
      <c r="K54" s="5">
        <f t="shared" si="43"/>
        <v>0</v>
      </c>
      <c r="L54" s="5">
        <f t="shared" si="43"/>
        <v>0</v>
      </c>
      <c r="M54" s="5">
        <f t="shared" si="43"/>
        <v>0</v>
      </c>
      <c r="O54" s="1445"/>
      <c r="P54" s="635" t="s">
        <v>36</v>
      </c>
      <c r="Q54" s="3">
        <f>SUM(Q49:Q53)</f>
        <v>0</v>
      </c>
      <c r="R54" s="3">
        <f>SUM(R49:R53)</f>
        <v>0</v>
      </c>
      <c r="S54" s="4"/>
      <c r="T54" s="1445"/>
      <c r="U54" s="635" t="s">
        <v>36</v>
      </c>
      <c r="V54" s="70">
        <f>SUM(V49:V53)</f>
        <v>0</v>
      </c>
      <c r="X54" s="635" t="s">
        <v>36</v>
      </c>
      <c r="Y54" s="70" t="e">
        <f>SUM(Y49:Y53)</f>
        <v>#VALUE!</v>
      </c>
      <c r="AM54" s="1414"/>
      <c r="AN54" s="1425" t="s">
        <v>562</v>
      </c>
      <c r="AO54" s="1425"/>
      <c r="AP54" s="733" t="s">
        <v>376</v>
      </c>
      <c r="AQ54" s="85">
        <f>R54</f>
        <v>0</v>
      </c>
    </row>
    <row r="55" spans="2:43" ht="15.75" thickBot="1">
      <c r="C55" s="57"/>
      <c r="D55" s="57"/>
      <c r="E55" s="58" t="s">
        <v>167</v>
      </c>
      <c r="F55" s="264">
        <f>F33+F35+F38+F42+F45</f>
        <v>0</v>
      </c>
      <c r="G55" s="264">
        <f t="shared" ref="G55:M55" si="44">G33+G35+G38+G42+G45</f>
        <v>0</v>
      </c>
      <c r="H55" s="264">
        <f t="shared" si="44"/>
        <v>0</v>
      </c>
      <c r="I55" s="264">
        <f t="shared" si="44"/>
        <v>0</v>
      </c>
      <c r="J55" s="264">
        <f t="shared" si="44"/>
        <v>0</v>
      </c>
      <c r="K55" s="264">
        <f t="shared" si="44"/>
        <v>0</v>
      </c>
      <c r="L55" s="264">
        <f t="shared" si="44"/>
        <v>0</v>
      </c>
      <c r="M55" s="264">
        <f t="shared" si="44"/>
        <v>0</v>
      </c>
      <c r="AG55" s="288">
        <f>ROUNDUP(SUMPRODUCT(F55:M55,Q37:X37)*90%,-1)</f>
        <v>0</v>
      </c>
      <c r="AN55" s="1410" t="s">
        <v>44</v>
      </c>
      <c r="AO55" s="1411"/>
      <c r="AP55" s="53"/>
      <c r="AQ55" s="85">
        <f>SUM(AQ32:AQ54)</f>
        <v>0</v>
      </c>
    </row>
    <row r="56" spans="2:43">
      <c r="E56" s="1020" t="s">
        <v>703</v>
      </c>
      <c r="F56" s="264">
        <f>-ROUNDUP(SUM(F32:F35,F37:F46)*$W$2/100,-1)</f>
        <v>0</v>
      </c>
      <c r="G56" s="264">
        <f>-ROUNDUP(SUM(G32:G35,G37:G46)*$W$2/100,-1)</f>
        <v>0</v>
      </c>
      <c r="H56" s="264">
        <f t="shared" ref="H56:K56" si="45">-ROUNDUP(SUM(H32:H35,H37:H46)*$W$2/100,-1)</f>
        <v>0</v>
      </c>
      <c r="I56" s="264">
        <f t="shared" si="45"/>
        <v>0</v>
      </c>
      <c r="J56" s="264">
        <f t="shared" si="45"/>
        <v>0</v>
      </c>
      <c r="K56" s="264">
        <f t="shared" si="45"/>
        <v>0</v>
      </c>
      <c r="L56" s="264">
        <f>-ROUNDUP(SUM(L32:L35,L37:L46)*$W$2/100,-1)</f>
        <v>0</v>
      </c>
      <c r="M56" s="264">
        <f>-ROUNDUP(SUM(M32:M35,M37:M46)*$W$2/100,-1)</f>
        <v>0</v>
      </c>
      <c r="O56" s="1430" t="s">
        <v>428</v>
      </c>
      <c r="P56" s="1430"/>
      <c r="X56" s="1430" t="s">
        <v>427</v>
      </c>
      <c r="Y56" s="1430"/>
      <c r="AO56" s="1"/>
      <c r="AP56" s="57"/>
    </row>
    <row r="57" spans="2:43" ht="15.75" thickBot="1">
      <c r="O57" s="83" t="s">
        <v>429</v>
      </c>
      <c r="P57" s="83" t="s">
        <v>206</v>
      </c>
      <c r="Q57" s="83" t="s">
        <v>207</v>
      </c>
      <c r="R57" s="83" t="s">
        <v>448</v>
      </c>
      <c r="S57" s="83" t="s">
        <v>214</v>
      </c>
      <c r="T57" s="83" t="s">
        <v>215</v>
      </c>
      <c r="U57" s="83" t="s">
        <v>216</v>
      </c>
      <c r="V57" s="282" t="s">
        <v>455</v>
      </c>
      <c r="W57" s="261"/>
      <c r="X57" s="83" t="s">
        <v>429</v>
      </c>
      <c r="Y57" s="83" t="s">
        <v>206</v>
      </c>
      <c r="Z57" s="83" t="s">
        <v>207</v>
      </c>
      <c r="AA57" s="83" t="s">
        <v>448</v>
      </c>
      <c r="AB57" s="83" t="s">
        <v>218</v>
      </c>
      <c r="AC57" s="83" t="s">
        <v>215</v>
      </c>
      <c r="AD57" s="280" t="s">
        <v>453</v>
      </c>
      <c r="AE57" s="282" t="s">
        <v>455</v>
      </c>
    </row>
    <row r="58" spans="2:43" ht="15.75" thickBot="1">
      <c r="C58" s="310" t="s">
        <v>479</v>
      </c>
      <c r="D58" s="311"/>
      <c r="E58" s="312"/>
      <c r="F58" s="313"/>
      <c r="G58" s="313"/>
      <c r="H58" s="313"/>
      <c r="I58" s="313"/>
      <c r="J58" s="313"/>
      <c r="K58" s="313"/>
      <c r="L58" s="313"/>
      <c r="M58" s="314"/>
      <c r="O58" s="61" t="str">
        <f>IF(月途中入退所情報!$D8=$B$2,月途中入退所情報!F8,"-")</f>
        <v>-</v>
      </c>
      <c r="P58" s="61" t="str">
        <f>IF(月途中入退所情報!$D8=$B$2,月途中入退所情報!G8,"-")</f>
        <v>-</v>
      </c>
      <c r="Q58" s="61" t="str">
        <f>IF(月途中入退所情報!$D8=$B$2,月途中入退所情報!H8,"-")</f>
        <v>-</v>
      </c>
      <c r="R58" s="61" t="str">
        <f>IF(月途中入退所情報!$D8=$B$2,月途中入退所情報!I8,"-")</f>
        <v>-</v>
      </c>
      <c r="S58" s="61" t="str">
        <f>IF(月途中入退所情報!$D8=$B$2,月途中入退所情報!J8,"-")</f>
        <v>-</v>
      </c>
      <c r="T58" s="84">
        <f>IF($Q58="標準時間",HLOOKUP($P58,$F$5:$I$27,23,FALSE)-SUM($F$10,$F$21:$F$24,$F$26)-HLOOKUP($P58,$F$5:$I$27,16,FALSE)+HLOOKUP($P58,$F$5:$I$29,25,FALSE),IF($Q58="短時間",HLOOKUP($P58,$J$5:$M$27,23,FALSE)-SUM($F$10,$F$21:$F$24,$F$26)-HLOOKUP($P58,$J$5:$M$27,16,FALSE)+HLOOKUP($P58,$J$5:$M$29,25,FALSE),0))+IF(R58="○",加算と減算!$AH$3,0)</f>
        <v>0</v>
      </c>
      <c r="U58" s="85">
        <f t="shared" ref="U58:U77" si="46">IFERROR(ROUNDDOWN(T58*S58/25,-1),0)</f>
        <v>0</v>
      </c>
      <c r="V58" s="262">
        <f>IFERROR(ROUNDDOWN(IF($Q58="標準時間",HLOOKUP($P58,$F$5:$I$28,24,FALSE),IF($Q58="短時間",HLOOKUP($P58,$J$5:$M$28,24,FALSE),0))*S58/25,-1),0)</f>
        <v>0</v>
      </c>
      <c r="W58" s="262"/>
      <c r="X58" s="61" t="str">
        <f>IF(月途中入退所情報!$N8=$B$2,月途中入退所情報!$P8,"-")</f>
        <v>-</v>
      </c>
      <c r="Y58" s="61" t="str">
        <f>IF(月途中入退所情報!$N8=$B$2,月途中入退所情報!$Q8,"-")</f>
        <v>-</v>
      </c>
      <c r="Z58" s="61" t="str">
        <f>IF(月途中入退所情報!$N8=$B$2,月途中入退所情報!$R8,"-")</f>
        <v>-</v>
      </c>
      <c r="AA58" s="61" t="str">
        <f>IF(月途中入退所情報!$N8=$B$2,月途中入退所情報!$S8,"-")</f>
        <v>-</v>
      </c>
      <c r="AB58" s="61" t="str">
        <f>IF(月途中入退所情報!$N8=$B$2,月途中入退所情報!$T8,"-")</f>
        <v>-</v>
      </c>
      <c r="AC58" s="84">
        <f>IF($Z58="標準時間",HLOOKUP($Y58,$F$5:$I$27,23,FALSE)-SUM($F$10,$F$21:$F$24,$F$26)-HLOOKUP($Y58,$F$5:$I$27,16,FALSE)+HLOOKUP($Y58,$F$5:$I$29,25,FALSE),IF($Z58="短時間",HLOOKUP($Y58,$J$5:$M$27,23,FALSE)-SUM($F$10,$F$21:$F$24,$F$26)-HLOOKUP($Y58,$J$5:$M$27,16,FALSE)+HLOOKUP($Y58,$J$5:$M$29,25,FALSE),0))+IF(AA58="○",加算と減算!$AH$3,0)</f>
        <v>0</v>
      </c>
      <c r="AD58" s="85">
        <f t="shared" ref="AD58:AD77" si="47">IFERROR(-ROUNDUP(AC58*AB58/25,-1),0)</f>
        <v>0</v>
      </c>
      <c r="AE58" s="262">
        <f t="shared" ref="AE58:AE77" si="48">IFERROR(-ROUNDUP(IF($Z58="標準時間",HLOOKUP($Y58,$F$5:$I$28,24,FALSE),IF($Z58="短時間",HLOOKUP($Y58,$J$5:$M$28,24,FALSE),0))*AB58/25,-1),0)</f>
        <v>0</v>
      </c>
    </row>
    <row r="59" spans="2:43">
      <c r="C59" s="307"/>
      <c r="D59" s="308"/>
      <c r="E59" s="309"/>
      <c r="F59" s="1417" t="s">
        <v>15</v>
      </c>
      <c r="G59" s="1417"/>
      <c r="H59" s="1417"/>
      <c r="I59" s="1417"/>
      <c r="J59" s="1417" t="s">
        <v>16</v>
      </c>
      <c r="K59" s="1417"/>
      <c r="L59" s="1417"/>
      <c r="M59" s="1417"/>
      <c r="O59" s="61" t="str">
        <f>IF(月途中入退所情報!$D9=$B$2,月途中入退所情報!F9,"-")</f>
        <v>-</v>
      </c>
      <c r="P59" s="61" t="str">
        <f>IF(月途中入退所情報!$D9=$B$2,月途中入退所情報!G9,"-")</f>
        <v>-</v>
      </c>
      <c r="Q59" s="61" t="str">
        <f>IF(月途中入退所情報!$D9=$B$2,月途中入退所情報!H9,"-")</f>
        <v>-</v>
      </c>
      <c r="R59" s="61" t="str">
        <f>IF(月途中入退所情報!$D9=$B$2,月途中入退所情報!I9,"-")</f>
        <v>-</v>
      </c>
      <c r="S59" s="61" t="str">
        <f>IF(月途中入退所情報!$D9=$B$2,月途中入退所情報!J9,"-")</f>
        <v>-</v>
      </c>
      <c r="T59" s="84">
        <f>IF($Q59="標準時間",HLOOKUP($P59,$F$5:$I$27,23,FALSE)-SUM($F$10,$F$21:$F$24,$F$26)-HLOOKUP($P59,$F$5:$I$27,16,FALSE)+HLOOKUP($P59,$F$5:$I$29,25,FALSE),IF($Q59="短時間",HLOOKUP($P59,$J$5:$M$27,23,FALSE)-SUM($F$10,$F$21:$F$24,$F$26)-HLOOKUP($P59,$J$5:$M$27,16,FALSE)+HLOOKUP($P59,$J$5:$M$29,25,FALSE),0))+IF(R59="○",加算と減算!$AH$3,0)</f>
        <v>0</v>
      </c>
      <c r="U59" s="85">
        <f t="shared" si="46"/>
        <v>0</v>
      </c>
      <c r="V59" s="262">
        <f t="shared" ref="V59:V77" si="49">IFERROR(ROUNDDOWN(IF($Q59="標準時間",HLOOKUP($P59,$F$5:$I$28,24,FALSE),IF($Q59="短時間",HLOOKUP($P59,$J$5:$M$28,24,FALSE),0))*S59/25,-1),0)</f>
        <v>0</v>
      </c>
      <c r="W59" s="262"/>
      <c r="X59" s="61" t="str">
        <f>IF(月途中入退所情報!$N9=$B$2,月途中入退所情報!$P9,"-")</f>
        <v>-</v>
      </c>
      <c r="Y59" s="61" t="str">
        <f>IF(月途中入退所情報!$N9=$B$2,月途中入退所情報!$Q9,"-")</f>
        <v>-</v>
      </c>
      <c r="Z59" s="61" t="str">
        <f>IF(月途中入退所情報!$N9=$B$2,月途中入退所情報!$R9,"-")</f>
        <v>-</v>
      </c>
      <c r="AA59" s="61" t="str">
        <f>IF(月途中入退所情報!$N9=$B$2,月途中入退所情報!$S9,"-")</f>
        <v>-</v>
      </c>
      <c r="AB59" s="61" t="str">
        <f>IF(月途中入退所情報!$N9=$B$2,月途中入退所情報!$T9,"-")</f>
        <v>-</v>
      </c>
      <c r="AC59" s="84">
        <f>IF($Z59="標準時間",HLOOKUP($Y59,$F$5:$I$27,23,FALSE)-SUM($F$10,$F$21:$F$24,$F$26)-HLOOKUP($Y59,$F$5:$I$27,16,FALSE)+HLOOKUP($Y59,$F$5:$I$29,25,FALSE),IF($Z59="短時間",HLOOKUP($Y59,$J$5:$M$27,23,FALSE)-SUM($F$10,$F$21:$F$24,$F$26)-HLOOKUP($Y59,$J$5:$M$27,16,FALSE)+HLOOKUP($Y59,$J$5:$M$29,25,FALSE),0))+IF(AA59="○",加算と減算!$AH$3,0)</f>
        <v>0</v>
      </c>
      <c r="AD59" s="85">
        <f t="shared" si="47"/>
        <v>0</v>
      </c>
      <c r="AE59" s="262">
        <f t="shared" si="48"/>
        <v>0</v>
      </c>
    </row>
    <row r="60" spans="2:43">
      <c r="C60" s="307"/>
      <c r="D60" s="308"/>
      <c r="E60" s="309"/>
      <c r="F60" s="369" t="s">
        <v>6</v>
      </c>
      <c r="G60" s="369" t="s">
        <v>7</v>
      </c>
      <c r="H60" s="369" t="s">
        <v>8</v>
      </c>
      <c r="I60" s="369" t="s">
        <v>9</v>
      </c>
      <c r="J60" s="369" t="s">
        <v>6</v>
      </c>
      <c r="K60" s="369" t="s">
        <v>7</v>
      </c>
      <c r="L60" s="369" t="s">
        <v>8</v>
      </c>
      <c r="M60" s="369" t="s">
        <v>9</v>
      </c>
      <c r="O60" s="61" t="str">
        <f>IF(月途中入退所情報!$D10=$B$2,月途中入退所情報!F10,"-")</f>
        <v>-</v>
      </c>
      <c r="P60" s="61" t="str">
        <f>IF(月途中入退所情報!$D10=$B$2,月途中入退所情報!G10,"-")</f>
        <v>-</v>
      </c>
      <c r="Q60" s="61" t="str">
        <f>IF(月途中入退所情報!$D10=$B$2,月途中入退所情報!H10,"-")</f>
        <v>-</v>
      </c>
      <c r="R60" s="61" t="str">
        <f>IF(月途中入退所情報!$D10=$B$2,月途中入退所情報!I10,"-")</f>
        <v>-</v>
      </c>
      <c r="S60" s="61" t="str">
        <f>IF(月途中入退所情報!$D10=$B$2,月途中入退所情報!J10,"-")</f>
        <v>-</v>
      </c>
      <c r="T60" s="84">
        <f>IF($Q60="標準時間",HLOOKUP($P60,$F$5:$I$27,23,FALSE)-SUM($F$10,$F$21:$F$24,$F$26)-HLOOKUP($P60,$F$5:$I$27,16,FALSE)+HLOOKUP($P60,$F$5:$I$29,25,FALSE),IF($Q60="短時間",HLOOKUP($P60,$J$5:$M$27,23,FALSE)-SUM($F$10,$F$21:$F$24,$F$26)-HLOOKUP($P60,$J$5:$M$27,16,FALSE)+HLOOKUP($P60,$J$5:$M$29,25,FALSE),0))+IF(R60="○",加算と減算!$AH$3,0)</f>
        <v>0</v>
      </c>
      <c r="U60" s="85">
        <f t="shared" si="46"/>
        <v>0</v>
      </c>
      <c r="V60" s="262">
        <f t="shared" si="49"/>
        <v>0</v>
      </c>
      <c r="W60" s="262"/>
      <c r="X60" s="61" t="str">
        <f>IF(月途中入退所情報!$N10=$B$2,月途中入退所情報!$P10,"-")</f>
        <v>-</v>
      </c>
      <c r="Y60" s="61" t="str">
        <f>IF(月途中入退所情報!$N10=$B$2,月途中入退所情報!$Q10,"-")</f>
        <v>-</v>
      </c>
      <c r="Z60" s="61" t="str">
        <f>IF(月途中入退所情報!$N10=$B$2,月途中入退所情報!$R10,"-")</f>
        <v>-</v>
      </c>
      <c r="AA60" s="61" t="str">
        <f>IF(月途中入退所情報!$N10=$B$2,月途中入退所情報!$S10,"-")</f>
        <v>-</v>
      </c>
      <c r="AB60" s="61" t="str">
        <f>IF(月途中入退所情報!$N10=$B$2,月途中入退所情報!$T10,"-")</f>
        <v>-</v>
      </c>
      <c r="AC60" s="84">
        <f>IF($Z60="標準時間",HLOOKUP($Y60,$F$5:$I$27,23,FALSE)-SUM($F$10,$F$21:$F$24,$F$26)-HLOOKUP($Y60,$F$5:$I$27,16,FALSE)+HLOOKUP($Y60,$F$5:$I$29,25,FALSE),IF($Z60="短時間",HLOOKUP($Y60,$J$5:$M$27,23,FALSE)-SUM($F$10,$F$21:$F$24,$F$26)-HLOOKUP($Y60,$J$5:$M$27,16,FALSE)+HLOOKUP($Y60,$J$5:$M$29,25,FALSE),0))+IF(AA60="○",加算と減算!$AH$3,0)</f>
        <v>0</v>
      </c>
      <c r="AD60" s="85">
        <f t="shared" si="47"/>
        <v>0</v>
      </c>
      <c r="AE60" s="262">
        <f t="shared" si="48"/>
        <v>0</v>
      </c>
    </row>
    <row r="61" spans="2:43">
      <c r="C61" s="307"/>
      <c r="D61" s="1432" t="s">
        <v>482</v>
      </c>
      <c r="E61" s="320" t="s">
        <v>480</v>
      </c>
      <c r="F61" s="85" t="e">
        <f t="shared" ref="F61:M61" si="50">-ROUNDDOWN((F7+F9+F1)*$S$2%,-1)</f>
        <v>#VALUE!</v>
      </c>
      <c r="G61" s="85" t="e">
        <f t="shared" si="50"/>
        <v>#VALUE!</v>
      </c>
      <c r="H61" s="85" t="e">
        <f t="shared" si="50"/>
        <v>#VALUE!</v>
      </c>
      <c r="I61" s="85" t="e">
        <f t="shared" si="50"/>
        <v>#VALUE!</v>
      </c>
      <c r="J61" s="85" t="e">
        <f t="shared" si="50"/>
        <v>#VALUE!</v>
      </c>
      <c r="K61" s="85" t="e">
        <f t="shared" si="50"/>
        <v>#VALUE!</v>
      </c>
      <c r="L61" s="85" t="e">
        <f t="shared" si="50"/>
        <v>#VALUE!</v>
      </c>
      <c r="M61" s="85" t="e">
        <f t="shared" si="50"/>
        <v>#VALUE!</v>
      </c>
      <c r="O61" s="61" t="str">
        <f>IF(月途中入退所情報!$D11=$B$2,月途中入退所情報!F11,"-")</f>
        <v>-</v>
      </c>
      <c r="P61" s="61" t="str">
        <f>IF(月途中入退所情報!$D11=$B$2,月途中入退所情報!G11,"-")</f>
        <v>-</v>
      </c>
      <c r="Q61" s="61" t="str">
        <f>IF(月途中入退所情報!$D11=$B$2,月途中入退所情報!H11,"-")</f>
        <v>-</v>
      </c>
      <c r="R61" s="61" t="str">
        <f>IF(月途中入退所情報!$D11=$B$2,月途中入退所情報!I11,"-")</f>
        <v>-</v>
      </c>
      <c r="S61" s="61" t="str">
        <f>IF(月途中入退所情報!$D11=$B$2,月途中入退所情報!J11,"-")</f>
        <v>-</v>
      </c>
      <c r="T61" s="84">
        <f>IF($Q61="標準時間",HLOOKUP($P61,$F$5:$I$27,23,FALSE)-SUM($F$10,$F$21:$F$24,$F$26)-HLOOKUP($P61,$F$5:$I$27,16,FALSE)+HLOOKUP($P61,$F$5:$I$29,25,FALSE),IF($Q61="短時間",HLOOKUP($P61,$J$5:$M$27,23,FALSE)-SUM($F$10,$F$21:$F$24,$F$26)-HLOOKUP($P61,$J$5:$M$27,16,FALSE)+HLOOKUP($P61,$J$5:$M$29,25,FALSE),0))+IF(R61="○",加算と減算!$AH$3,0)</f>
        <v>0</v>
      </c>
      <c r="U61" s="85">
        <f t="shared" si="46"/>
        <v>0</v>
      </c>
      <c r="V61" s="262">
        <f t="shared" si="49"/>
        <v>0</v>
      </c>
      <c r="W61" s="262"/>
      <c r="X61" s="61" t="str">
        <f>IF(月途中入退所情報!$N11=$B$2,月途中入退所情報!$P11,"-")</f>
        <v>-</v>
      </c>
      <c r="Y61" s="61" t="str">
        <f>IF(月途中入退所情報!$N11=$B$2,月途中入退所情報!$Q11,"-")</f>
        <v>-</v>
      </c>
      <c r="Z61" s="61" t="str">
        <f>IF(月途中入退所情報!$N11=$B$2,月途中入退所情報!$R11,"-")</f>
        <v>-</v>
      </c>
      <c r="AA61" s="61" t="str">
        <f>IF(月途中入退所情報!$N11=$B$2,月途中入退所情報!$S11,"-")</f>
        <v>-</v>
      </c>
      <c r="AB61" s="61" t="str">
        <f>IF(月途中入退所情報!$N11=$B$2,月途中入退所情報!$T11,"-")</f>
        <v>-</v>
      </c>
      <c r="AC61" s="84">
        <f>IF($Z61="標準時間",HLOOKUP($Y61,$F$5:$I$27,23,FALSE)-SUM($F$10,$F$21:$F$24,$F$26)-HLOOKUP($Y61,$F$5:$I$27,16,FALSE)+HLOOKUP($Y61,$F$5:$I$29,25,FALSE),IF($Z61="短時間",HLOOKUP($Y61,$J$5:$M$27,23,FALSE)-SUM($F$10,$F$21:$F$24,$F$26)-HLOOKUP($Y61,$J$5:$M$27,16,FALSE)+HLOOKUP($Y61,$J$5:$M$29,25,FALSE),0))+IF(AA61="○",加算と減算!$AH$3,0)</f>
        <v>0</v>
      </c>
      <c r="AD61" s="85">
        <f t="shared" si="47"/>
        <v>0</v>
      </c>
      <c r="AE61" s="262">
        <f t="shared" si="48"/>
        <v>0</v>
      </c>
    </row>
    <row r="62" spans="2:43">
      <c r="C62" s="307"/>
      <c r="D62" s="1432"/>
      <c r="E62" s="320" t="s">
        <v>481</v>
      </c>
      <c r="F62" s="85" t="e">
        <f>F61*Q11</f>
        <v>#VALUE!</v>
      </c>
      <c r="G62" s="85" t="e">
        <f t="shared" ref="G62:M62" si="51">G61*R11</f>
        <v>#VALUE!</v>
      </c>
      <c r="H62" s="85" t="e">
        <f t="shared" si="51"/>
        <v>#VALUE!</v>
      </c>
      <c r="I62" s="85" t="e">
        <f t="shared" si="51"/>
        <v>#VALUE!</v>
      </c>
      <c r="J62" s="85" t="e">
        <f t="shared" si="51"/>
        <v>#VALUE!</v>
      </c>
      <c r="K62" s="85" t="e">
        <f t="shared" si="51"/>
        <v>#VALUE!</v>
      </c>
      <c r="L62" s="85" t="e">
        <f t="shared" si="51"/>
        <v>#VALUE!</v>
      </c>
      <c r="M62" s="85" t="e">
        <f t="shared" si="51"/>
        <v>#VALUE!</v>
      </c>
      <c r="O62" s="61" t="str">
        <f>IF(月途中入退所情報!$D12=$B$2,月途中入退所情報!F12,"-")</f>
        <v>-</v>
      </c>
      <c r="P62" s="61" t="str">
        <f>IF(月途中入退所情報!$D12=$B$2,月途中入退所情報!G12,"-")</f>
        <v>-</v>
      </c>
      <c r="Q62" s="61" t="str">
        <f>IF(月途中入退所情報!$D12=$B$2,月途中入退所情報!H12,"-")</f>
        <v>-</v>
      </c>
      <c r="R62" s="61" t="str">
        <f>IF(月途中入退所情報!$D12=$B$2,月途中入退所情報!I12,"-")</f>
        <v>-</v>
      </c>
      <c r="S62" s="61" t="str">
        <f>IF(月途中入退所情報!$D12=$B$2,月途中入退所情報!J12,"-")</f>
        <v>-</v>
      </c>
      <c r="T62" s="84">
        <f>IF($Q62="標準時間",HLOOKUP($P62,$F$5:$I$27,23,FALSE)-SUM($F$10,$F$21:$F$24,$F$26)-HLOOKUP($P62,$F$5:$I$27,16,FALSE)+HLOOKUP($P62,$F$5:$I$29,25,FALSE),IF($Q62="短時間",HLOOKUP($P62,$J$5:$M$27,23,FALSE)-SUM($F$10,$F$21:$F$24,$F$26)-HLOOKUP($P62,$J$5:$M$27,16,FALSE)+HLOOKUP($P62,$J$5:$M$29,25,FALSE),0))+IF(R62="○",加算と減算!$AH$3,0)</f>
        <v>0</v>
      </c>
      <c r="U62" s="85">
        <f t="shared" si="46"/>
        <v>0</v>
      </c>
      <c r="V62" s="262">
        <f t="shared" si="49"/>
        <v>0</v>
      </c>
      <c r="W62" s="262"/>
      <c r="X62" s="61" t="str">
        <f>IF(月途中入退所情報!$N12=$B$2,月途中入退所情報!$P12,"-")</f>
        <v>-</v>
      </c>
      <c r="Y62" s="61" t="str">
        <f>IF(月途中入退所情報!$N12=$B$2,月途中入退所情報!$Q12,"-")</f>
        <v>-</v>
      </c>
      <c r="Z62" s="61" t="str">
        <f>IF(月途中入退所情報!$N12=$B$2,月途中入退所情報!$R12,"-")</f>
        <v>-</v>
      </c>
      <c r="AA62" s="61" t="str">
        <f>IF(月途中入退所情報!$N12=$B$2,月途中入退所情報!$S12,"-")</f>
        <v>-</v>
      </c>
      <c r="AB62" s="61" t="str">
        <f>IF(月途中入退所情報!$N12=$B$2,月途中入退所情報!$T12,"-")</f>
        <v>-</v>
      </c>
      <c r="AC62" s="84">
        <f>IF($Z62="標準時間",HLOOKUP($Y62,$F$5:$I$27,23,FALSE)-SUM($F$10,$F$21:$F$24,$F$26)-HLOOKUP($Y62,$F$5:$I$27,16,FALSE)+HLOOKUP($Y62,$F$5:$I$29,25,FALSE),IF($Z62="短時間",HLOOKUP($Y62,$J$5:$M$27,23,FALSE)-SUM($F$10,$F$21:$F$24,$F$26)-HLOOKUP($Y62,$J$5:$M$27,16,FALSE)+HLOOKUP($Y62,$J$5:$M$29,25,FALSE),0))+IF(AA62="○",加算と減算!$AH$3,0)</f>
        <v>0</v>
      </c>
      <c r="AD62" s="85">
        <f t="shared" si="47"/>
        <v>0</v>
      </c>
      <c r="AE62" s="262">
        <f t="shared" si="48"/>
        <v>0</v>
      </c>
    </row>
    <row r="63" spans="2:43">
      <c r="C63" s="307"/>
      <c r="D63" s="317"/>
      <c r="E63" s="315"/>
      <c r="F63" s="316"/>
      <c r="G63" s="316"/>
      <c r="H63" s="316"/>
      <c r="I63" s="316"/>
      <c r="J63" s="316"/>
      <c r="K63" s="316"/>
      <c r="L63" s="316"/>
      <c r="M63" s="316"/>
      <c r="O63" s="61" t="str">
        <f>IF(月途中入退所情報!$D13=$B$2,月途中入退所情報!F13,"-")</f>
        <v>-</v>
      </c>
      <c r="P63" s="61" t="str">
        <f>IF(月途中入退所情報!$D13=$B$2,月途中入退所情報!G13,"-")</f>
        <v>-</v>
      </c>
      <c r="Q63" s="61" t="str">
        <f>IF(月途中入退所情報!$D13=$B$2,月途中入退所情報!H13,"-")</f>
        <v>-</v>
      </c>
      <c r="R63" s="61" t="str">
        <f>IF(月途中入退所情報!$D13=$B$2,月途中入退所情報!I13,"-")</f>
        <v>-</v>
      </c>
      <c r="S63" s="61" t="str">
        <f>IF(月途中入退所情報!$D13=$B$2,月途中入退所情報!J13,"-")</f>
        <v>-</v>
      </c>
      <c r="T63" s="84">
        <f>IF($Q63="標準時間",HLOOKUP($P63,$F$5:$I$27,23,FALSE)-SUM($F$10,$F$21:$F$24,$F$26)-HLOOKUP($P63,$F$5:$I$27,16,FALSE)+HLOOKUP($P63,$F$5:$I$29,25,FALSE),IF($Q63="短時間",HLOOKUP($P63,$J$5:$M$27,23,FALSE)-SUM($F$10,$F$21:$F$24,$F$26)-HLOOKUP($P63,$J$5:$M$27,16,FALSE)+HLOOKUP($P63,$J$5:$M$29,25,FALSE),0))+IF(R63="○",加算と減算!$AH$3,0)</f>
        <v>0</v>
      </c>
      <c r="U63" s="85">
        <f t="shared" si="46"/>
        <v>0</v>
      </c>
      <c r="V63" s="262">
        <f t="shared" si="49"/>
        <v>0</v>
      </c>
      <c r="W63" s="262"/>
      <c r="X63" s="61" t="str">
        <f>IF(月途中入退所情報!$N13=$B$2,月途中入退所情報!$P13,"-")</f>
        <v>-</v>
      </c>
      <c r="Y63" s="61" t="str">
        <f>IF(月途中入退所情報!$N13=$B$2,月途中入退所情報!$Q13,"-")</f>
        <v>-</v>
      </c>
      <c r="Z63" s="61" t="str">
        <f>IF(月途中入退所情報!$N13=$B$2,月途中入退所情報!$R13,"-")</f>
        <v>-</v>
      </c>
      <c r="AA63" s="61" t="str">
        <f>IF(月途中入退所情報!$N13=$B$2,月途中入退所情報!$S13,"-")</f>
        <v>-</v>
      </c>
      <c r="AB63" s="61" t="str">
        <f>IF(月途中入退所情報!$N13=$B$2,月途中入退所情報!$T13,"-")</f>
        <v>-</v>
      </c>
      <c r="AC63" s="84">
        <f>IF($Z63="標準時間",HLOOKUP($Y63,$F$5:$I$27,23,FALSE)-SUM($F$10,$F$21:$F$24,$F$26)-HLOOKUP($Y63,$F$5:$I$27,16,FALSE)+HLOOKUP($Y63,$F$5:$I$29,25,FALSE),IF($Z63="短時間",HLOOKUP($Y63,$J$5:$M$27,23,FALSE)-SUM($F$10,$F$21:$F$24,$F$26)-HLOOKUP($Y63,$J$5:$M$27,16,FALSE)+HLOOKUP($Y63,$J$5:$M$29,25,FALSE),0))+IF(AA63="○",加算と減算!$AH$3,0)</f>
        <v>0</v>
      </c>
      <c r="AD63" s="85">
        <f t="shared" si="47"/>
        <v>0</v>
      </c>
      <c r="AE63" s="262">
        <f t="shared" si="48"/>
        <v>0</v>
      </c>
    </row>
    <row r="64" spans="2:43">
      <c r="C64" s="307"/>
      <c r="D64" s="308"/>
      <c r="E64" s="309"/>
      <c r="F64" s="369" t="s">
        <v>6</v>
      </c>
      <c r="G64" s="369" t="s">
        <v>7</v>
      </c>
      <c r="H64" s="369" t="s">
        <v>8</v>
      </c>
      <c r="I64" s="369" t="s">
        <v>9</v>
      </c>
      <c r="J64" s="369" t="s">
        <v>6</v>
      </c>
      <c r="K64" s="369" t="s">
        <v>7</v>
      </c>
      <c r="L64" s="369" t="s">
        <v>8</v>
      </c>
      <c r="M64" s="369" t="s">
        <v>9</v>
      </c>
      <c r="O64" s="61" t="str">
        <f>IF(月途中入退所情報!$D14=$B$2,月途中入退所情報!F14,"-")</f>
        <v>-</v>
      </c>
      <c r="P64" s="61" t="str">
        <f>IF(月途中入退所情報!$D14=$B$2,月途中入退所情報!G14,"-")</f>
        <v>-</v>
      </c>
      <c r="Q64" s="61" t="str">
        <f>IF(月途中入退所情報!$D14=$B$2,月途中入退所情報!H14,"-")</f>
        <v>-</v>
      </c>
      <c r="R64" s="61" t="str">
        <f>IF(月途中入退所情報!$D14=$B$2,月途中入退所情報!I14,"-")</f>
        <v>-</v>
      </c>
      <c r="S64" s="61" t="str">
        <f>IF(月途中入退所情報!$D14=$B$2,月途中入退所情報!J14,"-")</f>
        <v>-</v>
      </c>
      <c r="T64" s="84">
        <f>IF($Q64="標準時間",HLOOKUP($P64,$F$5:$I$27,23,FALSE)-SUM($F$10,$F$21:$F$24,$F$26)-HLOOKUP($P64,$F$5:$I$27,16,FALSE)+HLOOKUP($P64,$F$5:$I$29,25,FALSE),IF($Q64="短時間",HLOOKUP($P64,$J$5:$M$27,23,FALSE)-SUM($F$10,$F$21:$F$24,$F$26)-HLOOKUP($P64,$J$5:$M$27,16,FALSE)+HLOOKUP($P64,$J$5:$M$29,25,FALSE),0))+IF(R64="○",加算と減算!$AH$3,0)</f>
        <v>0</v>
      </c>
      <c r="U64" s="85">
        <f t="shared" si="46"/>
        <v>0</v>
      </c>
      <c r="V64" s="262">
        <f t="shared" si="49"/>
        <v>0</v>
      </c>
      <c r="W64" s="262"/>
      <c r="X64" s="61" t="str">
        <f>IF(月途中入退所情報!$N14=$B$2,月途中入退所情報!$P14,"-")</f>
        <v>-</v>
      </c>
      <c r="Y64" s="61" t="str">
        <f>IF(月途中入退所情報!$N14=$B$2,月途中入退所情報!$Q14,"-")</f>
        <v>-</v>
      </c>
      <c r="Z64" s="61" t="str">
        <f>IF(月途中入退所情報!$N14=$B$2,月途中入退所情報!$R14,"-")</f>
        <v>-</v>
      </c>
      <c r="AA64" s="61" t="str">
        <f>IF(月途中入退所情報!$N14=$B$2,月途中入退所情報!$S14,"-")</f>
        <v>-</v>
      </c>
      <c r="AB64" s="61" t="str">
        <f>IF(月途中入退所情報!$N14=$B$2,月途中入退所情報!$T14,"-")</f>
        <v>-</v>
      </c>
      <c r="AC64" s="84">
        <f>IF($Z64="標準時間",HLOOKUP($Y64,$F$5:$I$27,23,FALSE)-SUM($F$10,$F$21:$F$24,$F$26)-HLOOKUP($Y64,$F$5:$I$27,16,FALSE)+HLOOKUP($Y64,$F$5:$I$29,25,FALSE),IF($Z64="短時間",HLOOKUP($Y64,$J$5:$M$27,23,FALSE)-SUM($F$10,$F$21:$F$24,$F$26)-HLOOKUP($Y64,$J$5:$M$27,16,FALSE)+HLOOKUP($Y64,$J$5:$M$29,25,FALSE),0))+IF(AA64="○",加算と減算!$AH$3,0)</f>
        <v>0</v>
      </c>
      <c r="AD64" s="85">
        <f t="shared" si="47"/>
        <v>0</v>
      </c>
      <c r="AE64" s="262">
        <f t="shared" si="48"/>
        <v>0</v>
      </c>
    </row>
    <row r="65" spans="3:31">
      <c r="C65" s="307"/>
      <c r="D65" s="1432" t="s">
        <v>483</v>
      </c>
      <c r="E65" s="320" t="s">
        <v>480</v>
      </c>
      <c r="F65" s="85">
        <f t="shared" ref="F65:M65" si="52">-ROUNDDOWN((F33+F35+F38)*$T$2%,-1)</f>
        <v>0</v>
      </c>
      <c r="G65" s="85">
        <f t="shared" si="52"/>
        <v>0</v>
      </c>
      <c r="H65" s="85">
        <f t="shared" si="52"/>
        <v>0</v>
      </c>
      <c r="I65" s="85">
        <f t="shared" si="52"/>
        <v>0</v>
      </c>
      <c r="J65" s="85">
        <f t="shared" si="52"/>
        <v>0</v>
      </c>
      <c r="K65" s="85">
        <f t="shared" si="52"/>
        <v>0</v>
      </c>
      <c r="L65" s="85">
        <f t="shared" si="52"/>
        <v>0</v>
      </c>
      <c r="M65" s="85">
        <f t="shared" si="52"/>
        <v>0</v>
      </c>
      <c r="O65" s="61" t="str">
        <f>IF(月途中入退所情報!$D15=$B$2,月途中入退所情報!F15,"-")</f>
        <v>-</v>
      </c>
      <c r="P65" s="61" t="str">
        <f>IF(月途中入退所情報!$D15=$B$2,月途中入退所情報!G15,"-")</f>
        <v>-</v>
      </c>
      <c r="Q65" s="61" t="str">
        <f>IF(月途中入退所情報!$D15=$B$2,月途中入退所情報!H15,"-")</f>
        <v>-</v>
      </c>
      <c r="R65" s="61" t="str">
        <f>IF(月途中入退所情報!$D15=$B$2,月途中入退所情報!I15,"-")</f>
        <v>-</v>
      </c>
      <c r="S65" s="61" t="str">
        <f>IF(月途中入退所情報!$D15=$B$2,月途中入退所情報!J15,"-")</f>
        <v>-</v>
      </c>
      <c r="T65" s="84">
        <f>IF($Q65="標準時間",HLOOKUP($P65,$F$5:$I$27,23,FALSE)-SUM($F$10,$F$21:$F$24,$F$26)-HLOOKUP($P65,$F$5:$I$27,16,FALSE)+HLOOKUP($P65,$F$5:$I$29,25,FALSE),IF($Q65="短時間",HLOOKUP($P65,$J$5:$M$27,23,FALSE)-SUM($F$10,$F$21:$F$24,$F$26)-HLOOKUP($P65,$J$5:$M$27,16,FALSE)+HLOOKUP($P65,$J$5:$M$29,25,FALSE),0))+IF(R65="○",加算と減算!$AH$3,0)</f>
        <v>0</v>
      </c>
      <c r="U65" s="85">
        <f t="shared" si="46"/>
        <v>0</v>
      </c>
      <c r="V65" s="262">
        <f t="shared" si="49"/>
        <v>0</v>
      </c>
      <c r="W65" s="262"/>
      <c r="X65" s="61" t="str">
        <f>IF(月途中入退所情報!$N15=$B$2,月途中入退所情報!$P15,"-")</f>
        <v>-</v>
      </c>
      <c r="Y65" s="61" t="str">
        <f>IF(月途中入退所情報!$N15=$B$2,月途中入退所情報!$Q15,"-")</f>
        <v>-</v>
      </c>
      <c r="Z65" s="61" t="str">
        <f>IF(月途中入退所情報!$N15=$B$2,月途中入退所情報!$R15,"-")</f>
        <v>-</v>
      </c>
      <c r="AA65" s="61" t="str">
        <f>IF(月途中入退所情報!$N15=$B$2,月途中入退所情報!$S15,"-")</f>
        <v>-</v>
      </c>
      <c r="AB65" s="61" t="str">
        <f>IF(月途中入退所情報!$N15=$B$2,月途中入退所情報!$T15,"-")</f>
        <v>-</v>
      </c>
      <c r="AC65" s="84">
        <f>IF($Z65="標準時間",HLOOKUP($Y65,$F$5:$I$27,23,FALSE)-SUM($F$10,$F$21:$F$24,$F$26)-HLOOKUP($Y65,$F$5:$I$27,16,FALSE)+HLOOKUP($Y65,$F$5:$I$29,25,FALSE),IF($Z65="短時間",HLOOKUP($Y65,$J$5:$M$27,23,FALSE)-SUM($F$10,$F$21:$F$24,$F$26)-HLOOKUP($Y65,$J$5:$M$27,16,FALSE)+HLOOKUP($Y65,$J$5:$M$29,25,FALSE),0))+IF(AA65="○",加算と減算!$AH$3,0)</f>
        <v>0</v>
      </c>
      <c r="AD65" s="85">
        <f t="shared" si="47"/>
        <v>0</v>
      </c>
      <c r="AE65" s="262">
        <f t="shared" si="48"/>
        <v>0</v>
      </c>
    </row>
    <row r="66" spans="3:31">
      <c r="C66" s="307"/>
      <c r="D66" s="1432"/>
      <c r="E66" s="320" t="s">
        <v>481</v>
      </c>
      <c r="F66" s="85">
        <f>F65*Q37</f>
        <v>0</v>
      </c>
      <c r="G66" s="85">
        <f t="shared" ref="G66:M66" si="53">G65*R37</f>
        <v>0</v>
      </c>
      <c r="H66" s="85">
        <f t="shared" si="53"/>
        <v>0</v>
      </c>
      <c r="I66" s="85">
        <f t="shared" si="53"/>
        <v>0</v>
      </c>
      <c r="J66" s="85">
        <f t="shared" si="53"/>
        <v>0</v>
      </c>
      <c r="K66" s="85">
        <f t="shared" si="53"/>
        <v>0</v>
      </c>
      <c r="L66" s="85">
        <f t="shared" si="53"/>
        <v>0</v>
      </c>
      <c r="M66" s="85">
        <f t="shared" si="53"/>
        <v>0</v>
      </c>
      <c r="O66" s="61" t="str">
        <f>IF(月途中入退所情報!$D16=$B$2,月途中入退所情報!F16,"-")</f>
        <v>-</v>
      </c>
      <c r="P66" s="61" t="str">
        <f>IF(月途中入退所情報!$D16=$B$2,月途中入退所情報!G16,"-")</f>
        <v>-</v>
      </c>
      <c r="Q66" s="61" t="str">
        <f>IF(月途中入退所情報!$D16=$B$2,月途中入退所情報!H16,"-")</f>
        <v>-</v>
      </c>
      <c r="R66" s="61" t="str">
        <f>IF(月途中入退所情報!$D16=$B$2,月途中入退所情報!I16,"-")</f>
        <v>-</v>
      </c>
      <c r="S66" s="61" t="str">
        <f>IF(月途中入退所情報!$D16=$B$2,月途中入退所情報!J16,"-")</f>
        <v>-</v>
      </c>
      <c r="T66" s="84">
        <f>IF($Q66="標準時間",HLOOKUP($P66,$F$5:$I$27,23,FALSE)-SUM($F$10,$F$21:$F$24,$F$26)-HLOOKUP($P66,$F$5:$I$27,16,FALSE)+HLOOKUP($P66,$F$5:$I$29,25,FALSE),IF($Q66="短時間",HLOOKUP($P66,$J$5:$M$27,23,FALSE)-SUM($F$10,$F$21:$F$24,$F$26)-HLOOKUP($P66,$J$5:$M$27,16,FALSE)+HLOOKUP($P66,$J$5:$M$29,25,FALSE),0))+IF(R66="○",加算と減算!$AH$3,0)</f>
        <v>0</v>
      </c>
      <c r="U66" s="85">
        <f t="shared" si="46"/>
        <v>0</v>
      </c>
      <c r="V66" s="262">
        <f t="shared" si="49"/>
        <v>0</v>
      </c>
      <c r="W66" s="262"/>
      <c r="X66" s="61" t="str">
        <f>IF(月途中入退所情報!$N16=$B$2,月途中入退所情報!$P16,"-")</f>
        <v>-</v>
      </c>
      <c r="Y66" s="61" t="str">
        <f>IF(月途中入退所情報!$N16=$B$2,月途中入退所情報!$Q16,"-")</f>
        <v>-</v>
      </c>
      <c r="Z66" s="61" t="str">
        <f>IF(月途中入退所情報!$N16=$B$2,月途中入退所情報!$R16,"-")</f>
        <v>-</v>
      </c>
      <c r="AA66" s="61" t="str">
        <f>IF(月途中入退所情報!$N16=$B$2,月途中入退所情報!$S16,"-")</f>
        <v>-</v>
      </c>
      <c r="AB66" s="61" t="str">
        <f>IF(月途中入退所情報!$N16=$B$2,月途中入退所情報!$T16,"-")</f>
        <v>-</v>
      </c>
      <c r="AC66" s="84">
        <f>IF($Z66="標準時間",HLOOKUP($Y66,$F$5:$I$27,23,FALSE)-SUM($F$10,$F$21:$F$24,$F$26)-HLOOKUP($Y66,$F$5:$I$27,16,FALSE)+HLOOKUP($Y66,$F$5:$I$29,25,FALSE),IF($Z66="短時間",HLOOKUP($Y66,$J$5:$M$27,23,FALSE)-SUM($F$10,$F$21:$F$24,$F$26)-HLOOKUP($Y66,$J$5:$M$27,16,FALSE)+HLOOKUP($Y66,$J$5:$M$29,25,FALSE),0))+IF(AA66="○",加算と減算!$AH$3,0)</f>
        <v>0</v>
      </c>
      <c r="AD66" s="85">
        <f t="shared" si="47"/>
        <v>0</v>
      </c>
      <c r="AE66" s="262">
        <f t="shared" si="48"/>
        <v>0</v>
      </c>
    </row>
    <row r="67" spans="3:31" ht="15.75" thickBot="1">
      <c r="C67" s="307"/>
      <c r="D67" s="317"/>
      <c r="E67" s="315"/>
      <c r="F67" s="316"/>
      <c r="G67" s="316"/>
      <c r="H67" s="316"/>
      <c r="I67" s="316"/>
      <c r="J67" s="316"/>
      <c r="K67" s="316"/>
      <c r="L67" s="316"/>
      <c r="M67" s="316"/>
      <c r="O67" s="61" t="str">
        <f>IF(月途中入退所情報!$D17=$B$2,月途中入退所情報!F17,"-")</f>
        <v>-</v>
      </c>
      <c r="P67" s="61" t="str">
        <f>IF(月途中入退所情報!$D17=$B$2,月途中入退所情報!G17,"-")</f>
        <v>-</v>
      </c>
      <c r="Q67" s="61" t="str">
        <f>IF(月途中入退所情報!$D17=$B$2,月途中入退所情報!H17,"-")</f>
        <v>-</v>
      </c>
      <c r="R67" s="61" t="str">
        <f>IF(月途中入退所情報!$D17=$B$2,月途中入退所情報!I17,"-")</f>
        <v>-</v>
      </c>
      <c r="S67" s="61" t="str">
        <f>IF(月途中入退所情報!$D17=$B$2,月途中入退所情報!J17,"-")</f>
        <v>-</v>
      </c>
      <c r="T67" s="84">
        <f>IF($Q67="標準時間",HLOOKUP($P67,$F$5:$I$27,23,FALSE)-SUM($F$10,$F$21:$F$24,$F$26)-HLOOKUP($P67,$F$5:$I$27,16,FALSE)+HLOOKUP($P67,$F$5:$I$29,25,FALSE),IF($Q67="短時間",HLOOKUP($P67,$J$5:$M$27,23,FALSE)-SUM($F$10,$F$21:$F$24,$F$26)-HLOOKUP($P67,$J$5:$M$27,16,FALSE)+HLOOKUP($P67,$J$5:$M$29,25,FALSE),0))+IF(R67="○",加算と減算!$AH$3,0)</f>
        <v>0</v>
      </c>
      <c r="U67" s="85">
        <f t="shared" si="46"/>
        <v>0</v>
      </c>
      <c r="V67" s="262">
        <f t="shared" si="49"/>
        <v>0</v>
      </c>
      <c r="W67" s="262"/>
      <c r="X67" s="61" t="str">
        <f>IF(月途中入退所情報!$N17=$B$2,月途中入退所情報!$P17,"-")</f>
        <v>-</v>
      </c>
      <c r="Y67" s="61" t="str">
        <f>IF(月途中入退所情報!$N17=$B$2,月途中入退所情報!$Q17,"-")</f>
        <v>-</v>
      </c>
      <c r="Z67" s="61" t="str">
        <f>IF(月途中入退所情報!$N17=$B$2,月途中入退所情報!$R17,"-")</f>
        <v>-</v>
      </c>
      <c r="AA67" s="61" t="str">
        <f>IF(月途中入退所情報!$N17=$B$2,月途中入退所情報!$S17,"-")</f>
        <v>-</v>
      </c>
      <c r="AB67" s="61" t="str">
        <f>IF(月途中入退所情報!$N17=$B$2,月途中入退所情報!$T17,"-")</f>
        <v>-</v>
      </c>
      <c r="AC67" s="84">
        <f>IF($Z67="標準時間",HLOOKUP($Y67,$F$5:$I$27,23,FALSE)-SUM($F$10,$F$21:$F$24,$F$26)-HLOOKUP($Y67,$F$5:$I$27,16,FALSE)+HLOOKUP($Y67,$F$5:$I$29,25,FALSE),IF($Z67="短時間",HLOOKUP($Y67,$J$5:$M$27,23,FALSE)-SUM($F$10,$F$21:$F$24,$F$26)-HLOOKUP($Y67,$J$5:$M$27,16,FALSE)+HLOOKUP($Y67,$J$5:$M$29,25,FALSE),0))+IF(AA67="○",加算と減算!$AH$3,0)</f>
        <v>0</v>
      </c>
      <c r="AD67" s="85">
        <f t="shared" si="47"/>
        <v>0</v>
      </c>
      <c r="AE67" s="262">
        <f t="shared" si="48"/>
        <v>0</v>
      </c>
    </row>
    <row r="68" spans="3:31" ht="15.75" thickBot="1">
      <c r="D68" s="1433" t="s">
        <v>484</v>
      </c>
      <c r="E68" s="1434"/>
      <c r="F68" s="321" t="e">
        <f>F62+F66</f>
        <v>#VALUE!</v>
      </c>
      <c r="G68" s="321" t="e">
        <f t="shared" ref="G68:M68" si="54">G62+G66</f>
        <v>#VALUE!</v>
      </c>
      <c r="H68" s="321" t="e">
        <f t="shared" si="54"/>
        <v>#VALUE!</v>
      </c>
      <c r="I68" s="321" t="e">
        <f t="shared" si="54"/>
        <v>#VALUE!</v>
      </c>
      <c r="J68" s="321" t="e">
        <f t="shared" si="54"/>
        <v>#VALUE!</v>
      </c>
      <c r="K68" s="321" t="e">
        <f t="shared" si="54"/>
        <v>#VALUE!</v>
      </c>
      <c r="L68" s="321" t="e">
        <f t="shared" si="54"/>
        <v>#VALUE!</v>
      </c>
      <c r="M68" s="322" t="e">
        <f t="shared" si="54"/>
        <v>#VALUE!</v>
      </c>
      <c r="O68" s="61" t="str">
        <f>IF(月途中入退所情報!$D18=$B$2,月途中入退所情報!F18,"-")</f>
        <v>-</v>
      </c>
      <c r="P68" s="61" t="str">
        <f>IF(月途中入退所情報!$D18=$B$2,月途中入退所情報!G18,"-")</f>
        <v>-</v>
      </c>
      <c r="Q68" s="61" t="str">
        <f>IF(月途中入退所情報!$D18=$B$2,月途中入退所情報!H18,"-")</f>
        <v>-</v>
      </c>
      <c r="R68" s="61" t="str">
        <f>IF(月途中入退所情報!$D18=$B$2,月途中入退所情報!I18,"-")</f>
        <v>-</v>
      </c>
      <c r="S68" s="61" t="str">
        <f>IF(月途中入退所情報!$D18=$B$2,月途中入退所情報!J18,"-")</f>
        <v>-</v>
      </c>
      <c r="T68" s="84">
        <f>IF($Q68="標準時間",HLOOKUP($P68,$F$5:$I$27,23,FALSE)-SUM($F$10,$F$21:$F$24,$F$26)-HLOOKUP($P68,$F$5:$I$27,16,FALSE)+HLOOKUP($P68,$F$5:$I$29,25,FALSE),IF($Q68="短時間",HLOOKUP($P68,$J$5:$M$27,23,FALSE)-SUM($F$10,$F$21:$F$24,$F$26)-HLOOKUP($P68,$J$5:$M$27,16,FALSE)+HLOOKUP($P68,$J$5:$M$29,25,FALSE),0))+IF(R68="○",加算と減算!$AH$3,0)</f>
        <v>0</v>
      </c>
      <c r="U68" s="85">
        <f t="shared" si="46"/>
        <v>0</v>
      </c>
      <c r="V68" s="262">
        <f t="shared" si="49"/>
        <v>0</v>
      </c>
      <c r="W68" s="262"/>
      <c r="X68" s="61" t="str">
        <f>IF(月途中入退所情報!$N18=$B$2,月途中入退所情報!$P18,"-")</f>
        <v>-</v>
      </c>
      <c r="Y68" s="61" t="str">
        <f>IF(月途中入退所情報!$N18=$B$2,月途中入退所情報!$Q18,"-")</f>
        <v>-</v>
      </c>
      <c r="Z68" s="61" t="str">
        <f>IF(月途中入退所情報!$N18=$B$2,月途中入退所情報!$R18,"-")</f>
        <v>-</v>
      </c>
      <c r="AA68" s="61" t="str">
        <f>IF(月途中入退所情報!$N18=$B$2,月途中入退所情報!$S18,"-")</f>
        <v>-</v>
      </c>
      <c r="AB68" s="61" t="str">
        <f>IF(月途中入退所情報!$N18=$B$2,月途中入退所情報!$T18,"-")</f>
        <v>-</v>
      </c>
      <c r="AC68" s="84">
        <f>IF($Z68="標準時間",HLOOKUP($Y68,$F$5:$I$27,23,FALSE)-SUM($F$10,$F$21:$F$24,$F$26)-HLOOKUP($Y68,$F$5:$I$27,16,FALSE)+HLOOKUP($Y68,$F$5:$I$29,25,FALSE),IF($Z68="短時間",HLOOKUP($Y68,$J$5:$M$27,23,FALSE)-SUM($F$10,$F$21:$F$24,$F$26)-HLOOKUP($Y68,$J$5:$M$27,16,FALSE)+HLOOKUP($Y68,$J$5:$M$29,25,FALSE),0))+IF(AA68="○",加算と減算!$AH$3,0)</f>
        <v>0</v>
      </c>
      <c r="AD68" s="85">
        <f t="shared" si="47"/>
        <v>0</v>
      </c>
      <c r="AE68" s="262">
        <f t="shared" si="48"/>
        <v>0</v>
      </c>
    </row>
    <row r="69" spans="3:31" ht="15.75" thickBot="1">
      <c r="D69" s="1435"/>
      <c r="E69" s="1436"/>
      <c r="F69" s="1437" t="e">
        <f>SUM(F68:M68)</f>
        <v>#VALUE!</v>
      </c>
      <c r="G69" s="1438"/>
      <c r="H69" s="1438"/>
      <c r="I69" s="1438"/>
      <c r="J69" s="1438"/>
      <c r="K69" s="1438"/>
      <c r="L69" s="1438"/>
      <c r="M69" s="1439"/>
      <c r="O69" s="61" t="str">
        <f>IF(月途中入退所情報!$D19=$B$2,月途中入退所情報!F19,"-")</f>
        <v>-</v>
      </c>
      <c r="P69" s="61" t="str">
        <f>IF(月途中入退所情報!$D19=$B$2,月途中入退所情報!G19,"-")</f>
        <v>-</v>
      </c>
      <c r="Q69" s="61" t="str">
        <f>IF(月途中入退所情報!$D19=$B$2,月途中入退所情報!H19,"-")</f>
        <v>-</v>
      </c>
      <c r="R69" s="61" t="str">
        <f>IF(月途中入退所情報!$D19=$B$2,月途中入退所情報!I19,"-")</f>
        <v>-</v>
      </c>
      <c r="S69" s="61" t="str">
        <f>IF(月途中入退所情報!$D19=$B$2,月途中入退所情報!J19,"-")</f>
        <v>-</v>
      </c>
      <c r="T69" s="84">
        <f>IF($Q69="標準時間",HLOOKUP($P69,$F$5:$I$27,23,FALSE)-SUM($F$10,$F$21:$F$24,$F$26)-HLOOKUP($P69,$F$5:$I$27,16,FALSE)+HLOOKUP($P69,$F$5:$I$29,25,FALSE),IF($Q69="短時間",HLOOKUP($P69,$J$5:$M$27,23,FALSE)-SUM($F$10,$F$21:$F$24,$F$26)-HLOOKUP($P69,$J$5:$M$27,16,FALSE)+HLOOKUP($P69,$J$5:$M$29,25,FALSE),0))+IF(R69="○",加算と減算!$AH$3,0)</f>
        <v>0</v>
      </c>
      <c r="U69" s="85">
        <f t="shared" si="46"/>
        <v>0</v>
      </c>
      <c r="V69" s="262">
        <f t="shared" si="49"/>
        <v>0</v>
      </c>
      <c r="W69" s="262"/>
      <c r="X69" s="61" t="str">
        <f>IF(月途中入退所情報!$N19=$B$2,月途中入退所情報!$P19,"-")</f>
        <v>-</v>
      </c>
      <c r="Y69" s="61" t="str">
        <f>IF(月途中入退所情報!$N19=$B$2,月途中入退所情報!$Q19,"-")</f>
        <v>-</v>
      </c>
      <c r="Z69" s="61" t="str">
        <f>IF(月途中入退所情報!$N19=$B$2,月途中入退所情報!$R19,"-")</f>
        <v>-</v>
      </c>
      <c r="AA69" s="61" t="str">
        <f>IF(月途中入退所情報!$N19=$B$2,月途中入退所情報!$S19,"-")</f>
        <v>-</v>
      </c>
      <c r="AB69" s="61" t="str">
        <f>IF(月途中入退所情報!$N19=$B$2,月途中入退所情報!$T19,"-")</f>
        <v>-</v>
      </c>
      <c r="AC69" s="84">
        <f>IF($Z69="標準時間",HLOOKUP($Y69,$F$5:$I$27,23,FALSE)-SUM($F$10,$F$21:$F$24,$F$26)-HLOOKUP($Y69,$F$5:$I$27,16,FALSE)+HLOOKUP($Y69,$F$5:$I$29,25,FALSE),IF($Z69="短時間",HLOOKUP($Y69,$J$5:$M$27,23,FALSE)-SUM($F$10,$F$21:$F$24,$F$26)-HLOOKUP($Y69,$J$5:$M$27,16,FALSE)+HLOOKUP($Y69,$J$5:$M$29,25,FALSE),0))+IF(AA69="○",加算と減算!$AH$3,0)</f>
        <v>0</v>
      </c>
      <c r="AD69" s="85">
        <f t="shared" si="47"/>
        <v>0</v>
      </c>
      <c r="AE69" s="262">
        <f t="shared" si="48"/>
        <v>0</v>
      </c>
    </row>
    <row r="70" spans="3:31">
      <c r="O70" s="61" t="str">
        <f>IF(月途中入退所情報!$D20=$B$2,月途中入退所情報!F20,"-")</f>
        <v>-</v>
      </c>
      <c r="P70" s="61" t="str">
        <f>IF(月途中入退所情報!$D20=$B$2,月途中入退所情報!G20,"-")</f>
        <v>-</v>
      </c>
      <c r="Q70" s="61" t="str">
        <f>IF(月途中入退所情報!$D20=$B$2,月途中入退所情報!H20,"-")</f>
        <v>-</v>
      </c>
      <c r="R70" s="61" t="str">
        <f>IF(月途中入退所情報!$D20=$B$2,月途中入退所情報!I20,"-")</f>
        <v>-</v>
      </c>
      <c r="S70" s="61" t="str">
        <f>IF(月途中入退所情報!$D20=$B$2,月途中入退所情報!J20,"-")</f>
        <v>-</v>
      </c>
      <c r="T70" s="84">
        <f>IF($Q70="標準時間",HLOOKUP($P70,$F$5:$I$27,23,FALSE)-SUM($F$10,$F$21:$F$24,$F$26)-HLOOKUP($P70,$F$5:$I$27,16,FALSE)+HLOOKUP($P70,$F$5:$I$29,25,FALSE),IF($Q70="短時間",HLOOKUP($P70,$J$5:$M$27,23,FALSE)-SUM($F$10,$F$21:$F$24,$F$26)-HLOOKUP($P70,$J$5:$M$27,16,FALSE)+HLOOKUP($P70,$J$5:$M$29,25,FALSE),0))+IF(R70="○",加算と減算!$AH$3,0)</f>
        <v>0</v>
      </c>
      <c r="U70" s="85">
        <f t="shared" si="46"/>
        <v>0</v>
      </c>
      <c r="V70" s="262">
        <f t="shared" si="49"/>
        <v>0</v>
      </c>
      <c r="W70" s="262"/>
      <c r="X70" s="61" t="str">
        <f>IF(月途中入退所情報!$N20=$B$2,月途中入退所情報!$P20,"-")</f>
        <v>-</v>
      </c>
      <c r="Y70" s="61" t="str">
        <f>IF(月途中入退所情報!$N20=$B$2,月途中入退所情報!$Q20,"-")</f>
        <v>-</v>
      </c>
      <c r="Z70" s="61" t="str">
        <f>IF(月途中入退所情報!$N20=$B$2,月途中入退所情報!$R20,"-")</f>
        <v>-</v>
      </c>
      <c r="AA70" s="61" t="str">
        <f>IF(月途中入退所情報!$N20=$B$2,月途中入退所情報!$S20,"-")</f>
        <v>-</v>
      </c>
      <c r="AB70" s="61" t="str">
        <f>IF(月途中入退所情報!$N20=$B$2,月途中入退所情報!$T20,"-")</f>
        <v>-</v>
      </c>
      <c r="AC70" s="84">
        <f>IF($Z70="標準時間",HLOOKUP($Y70,$F$5:$I$27,23,FALSE)-SUM($F$10,$F$21:$F$24,$F$26)-HLOOKUP($Y70,$F$5:$I$27,16,FALSE)+HLOOKUP($Y70,$F$5:$I$29,25,FALSE),IF($Z70="短時間",HLOOKUP($Y70,$J$5:$M$27,23,FALSE)-SUM($F$10,$F$21:$F$24,$F$26)-HLOOKUP($Y70,$J$5:$M$27,16,FALSE)+HLOOKUP($Y70,$J$5:$M$29,25,FALSE),0))+IF(AA70="○",加算と減算!$AH$3,0)</f>
        <v>0</v>
      </c>
      <c r="AD70" s="85">
        <f t="shared" si="47"/>
        <v>0</v>
      </c>
      <c r="AE70" s="262">
        <f t="shared" si="48"/>
        <v>0</v>
      </c>
    </row>
    <row r="71" spans="3:31">
      <c r="O71" s="61" t="str">
        <f>IF(月途中入退所情報!$D21=$B$2,月途中入退所情報!F21,"-")</f>
        <v>-</v>
      </c>
      <c r="P71" s="61" t="str">
        <f>IF(月途中入退所情報!$D21=$B$2,月途中入退所情報!G21,"-")</f>
        <v>-</v>
      </c>
      <c r="Q71" s="61" t="str">
        <f>IF(月途中入退所情報!$D21=$B$2,月途中入退所情報!H21,"-")</f>
        <v>-</v>
      </c>
      <c r="R71" s="61" t="str">
        <f>IF(月途中入退所情報!$D21=$B$2,月途中入退所情報!I21,"-")</f>
        <v>-</v>
      </c>
      <c r="S71" s="61" t="str">
        <f>IF(月途中入退所情報!$D21=$B$2,月途中入退所情報!J21,"-")</f>
        <v>-</v>
      </c>
      <c r="T71" s="84">
        <f>IF($Q71="標準時間",HLOOKUP($P71,$F$5:$I$27,23,FALSE)-SUM($F$10,$F$21:$F$24,$F$26)-HLOOKUP($P71,$F$5:$I$27,16,FALSE)+HLOOKUP($P71,$F$5:$I$29,25,FALSE),IF($Q71="短時間",HLOOKUP($P71,$J$5:$M$27,23,FALSE)-SUM($F$10,$F$21:$F$24,$F$26)-HLOOKUP($P71,$J$5:$M$27,16,FALSE)+HLOOKUP($P71,$J$5:$M$29,25,FALSE),0))+IF(R71="○",加算と減算!$AH$3,0)</f>
        <v>0</v>
      </c>
      <c r="U71" s="85">
        <f t="shared" si="46"/>
        <v>0</v>
      </c>
      <c r="V71" s="262">
        <f t="shared" si="49"/>
        <v>0</v>
      </c>
      <c r="W71" s="262"/>
      <c r="X71" s="61" t="str">
        <f>IF(月途中入退所情報!$N21=$B$2,月途中入退所情報!$P21,"-")</f>
        <v>-</v>
      </c>
      <c r="Y71" s="61" t="str">
        <f>IF(月途中入退所情報!$N21=$B$2,月途中入退所情報!$Q21,"-")</f>
        <v>-</v>
      </c>
      <c r="Z71" s="61" t="str">
        <f>IF(月途中入退所情報!$N21=$B$2,月途中入退所情報!$R21,"-")</f>
        <v>-</v>
      </c>
      <c r="AA71" s="61" t="str">
        <f>IF(月途中入退所情報!$N21=$B$2,月途中入退所情報!$S21,"-")</f>
        <v>-</v>
      </c>
      <c r="AB71" s="61" t="str">
        <f>IF(月途中入退所情報!$N21=$B$2,月途中入退所情報!$T21,"-")</f>
        <v>-</v>
      </c>
      <c r="AC71" s="84">
        <f>IF($Z71="標準時間",HLOOKUP($Y71,$F$5:$I$27,23,FALSE)-SUM($F$10,$F$21:$F$24,$F$26)-HLOOKUP($Y71,$F$5:$I$27,16,FALSE)+HLOOKUP($Y71,$F$5:$I$29,25,FALSE),IF($Z71="短時間",HLOOKUP($Y71,$J$5:$M$27,23,FALSE)-SUM($F$10,$F$21:$F$24,$F$26)-HLOOKUP($Y71,$J$5:$M$27,16,FALSE)+HLOOKUP($Y71,$J$5:$M$29,25,FALSE),0))+IF(AA71="○",加算と減算!$AH$3,0)</f>
        <v>0</v>
      </c>
      <c r="AD71" s="85">
        <f t="shared" si="47"/>
        <v>0</v>
      </c>
      <c r="AE71" s="262">
        <f t="shared" si="48"/>
        <v>0</v>
      </c>
    </row>
    <row r="72" spans="3:31">
      <c r="O72" s="61" t="str">
        <f>IF(月途中入退所情報!$D22=$B$2,月途中入退所情報!F22,"-")</f>
        <v>-</v>
      </c>
      <c r="P72" s="61" t="str">
        <f>IF(月途中入退所情報!$D22=$B$2,月途中入退所情報!G22,"-")</f>
        <v>-</v>
      </c>
      <c r="Q72" s="61" t="str">
        <f>IF(月途中入退所情報!$D22=$B$2,月途中入退所情報!H22,"-")</f>
        <v>-</v>
      </c>
      <c r="R72" s="61" t="str">
        <f>IF(月途中入退所情報!$D22=$B$2,月途中入退所情報!I22,"-")</f>
        <v>-</v>
      </c>
      <c r="S72" s="61" t="str">
        <f>IF(月途中入退所情報!$D22=$B$2,月途中入退所情報!J22,"-")</f>
        <v>-</v>
      </c>
      <c r="T72" s="84">
        <f>IF($Q72="標準時間",HLOOKUP($P72,$F$5:$I$27,23,FALSE)-SUM($F$10,$F$21:$F$24,$F$26)-HLOOKUP($P72,$F$5:$I$27,16,FALSE)+HLOOKUP($P72,$F$5:$I$29,25,FALSE),IF($Q72="短時間",HLOOKUP($P72,$J$5:$M$27,23,FALSE)-SUM($F$10,$F$21:$F$24,$F$26)-HLOOKUP($P72,$J$5:$M$27,16,FALSE)+HLOOKUP($P72,$J$5:$M$29,25,FALSE),0))+IF(R72="○",加算と減算!$AH$3,0)</f>
        <v>0</v>
      </c>
      <c r="U72" s="85">
        <f t="shared" si="46"/>
        <v>0</v>
      </c>
      <c r="V72" s="262">
        <f t="shared" si="49"/>
        <v>0</v>
      </c>
      <c r="W72" s="262"/>
      <c r="X72" s="61" t="str">
        <f>IF(月途中入退所情報!$N22=$B$2,月途中入退所情報!$P22,"-")</f>
        <v>-</v>
      </c>
      <c r="Y72" s="61" t="str">
        <f>IF(月途中入退所情報!$N22=$B$2,月途中入退所情報!$Q22,"-")</f>
        <v>-</v>
      </c>
      <c r="Z72" s="61" t="str">
        <f>IF(月途中入退所情報!$N22=$B$2,月途中入退所情報!$R22,"-")</f>
        <v>-</v>
      </c>
      <c r="AA72" s="61" t="str">
        <f>IF(月途中入退所情報!$N22=$B$2,月途中入退所情報!$S22,"-")</f>
        <v>-</v>
      </c>
      <c r="AB72" s="61" t="str">
        <f>IF(月途中入退所情報!$N22=$B$2,月途中入退所情報!$T22,"-")</f>
        <v>-</v>
      </c>
      <c r="AC72" s="84">
        <f>IF($Z72="標準時間",HLOOKUP($Y72,$F$5:$I$27,23,FALSE)-SUM($F$10,$F$21:$F$24,$F$26)-HLOOKUP($Y72,$F$5:$I$27,16,FALSE)+HLOOKUP($Y72,$F$5:$I$29,25,FALSE),IF($Z72="短時間",HLOOKUP($Y72,$J$5:$M$27,23,FALSE)-SUM($F$10,$F$21:$F$24,$F$26)-HLOOKUP($Y72,$J$5:$M$27,16,FALSE)+HLOOKUP($Y72,$J$5:$M$29,25,FALSE),0))+IF(AA72="○",加算と減算!$AH$3,0)</f>
        <v>0</v>
      </c>
      <c r="AD72" s="85">
        <f t="shared" si="47"/>
        <v>0</v>
      </c>
      <c r="AE72" s="262">
        <f t="shared" si="48"/>
        <v>0</v>
      </c>
    </row>
    <row r="73" spans="3:31">
      <c r="O73" s="61" t="str">
        <f>IF(月途中入退所情報!$D23=$B$2,月途中入退所情報!F23,"-")</f>
        <v>-</v>
      </c>
      <c r="P73" s="61" t="str">
        <f>IF(月途中入退所情報!$D23=$B$2,月途中入退所情報!G23,"-")</f>
        <v>-</v>
      </c>
      <c r="Q73" s="61" t="str">
        <f>IF(月途中入退所情報!$D23=$B$2,月途中入退所情報!H23,"-")</f>
        <v>-</v>
      </c>
      <c r="R73" s="61" t="str">
        <f>IF(月途中入退所情報!$D23=$B$2,月途中入退所情報!I23,"-")</f>
        <v>-</v>
      </c>
      <c r="S73" s="61" t="str">
        <f>IF(月途中入退所情報!$D23=$B$2,月途中入退所情報!J23,"-")</f>
        <v>-</v>
      </c>
      <c r="T73" s="84">
        <f>IF($Q73="標準時間",HLOOKUP($P73,$F$5:$I$27,23,FALSE)-SUM($F$10,$F$21:$F$24,$F$26)-HLOOKUP($P73,$F$5:$I$27,16,FALSE)+HLOOKUP($P73,$F$5:$I$29,25,FALSE),IF($Q73="短時間",HLOOKUP($P73,$J$5:$M$27,23,FALSE)-SUM($F$10,$F$21:$F$24,$F$26)-HLOOKUP($P73,$J$5:$M$27,16,FALSE)+HLOOKUP($P73,$J$5:$M$29,25,FALSE),0))+IF(R73="○",加算と減算!$AH$3,0)</f>
        <v>0</v>
      </c>
      <c r="U73" s="85">
        <f t="shared" si="46"/>
        <v>0</v>
      </c>
      <c r="V73" s="262">
        <f t="shared" si="49"/>
        <v>0</v>
      </c>
      <c r="W73" s="262"/>
      <c r="X73" s="61" t="str">
        <f>IF(月途中入退所情報!$N23=$B$2,月途中入退所情報!$P23,"-")</f>
        <v>-</v>
      </c>
      <c r="Y73" s="61" t="str">
        <f>IF(月途中入退所情報!$N23=$B$2,月途中入退所情報!$Q23,"-")</f>
        <v>-</v>
      </c>
      <c r="Z73" s="61" t="str">
        <f>IF(月途中入退所情報!$N23=$B$2,月途中入退所情報!$R23,"-")</f>
        <v>-</v>
      </c>
      <c r="AA73" s="61" t="str">
        <f>IF(月途中入退所情報!$N23=$B$2,月途中入退所情報!$S23,"-")</f>
        <v>-</v>
      </c>
      <c r="AB73" s="61" t="str">
        <f>IF(月途中入退所情報!$N23=$B$2,月途中入退所情報!$T23,"-")</f>
        <v>-</v>
      </c>
      <c r="AC73" s="84">
        <f>IF($Z73="標準時間",HLOOKUP($Y73,$F$5:$I$27,23,FALSE)-SUM($F$10,$F$21:$F$24,$F$26)-HLOOKUP($Y73,$F$5:$I$27,16,FALSE)+HLOOKUP($Y73,$F$5:$I$29,25,FALSE),IF($Z73="短時間",HLOOKUP($Y73,$J$5:$M$27,23,FALSE)-SUM($F$10,$F$21:$F$24,$F$26)-HLOOKUP($Y73,$J$5:$M$27,16,FALSE)+HLOOKUP($Y73,$J$5:$M$29,25,FALSE),0))+IF(AA73="○",加算と減算!$AH$3,0)</f>
        <v>0</v>
      </c>
      <c r="AD73" s="85">
        <f t="shared" si="47"/>
        <v>0</v>
      </c>
      <c r="AE73" s="262">
        <f t="shared" si="48"/>
        <v>0</v>
      </c>
    </row>
    <row r="74" spans="3:31">
      <c r="O74" s="61" t="str">
        <f>IF(月途中入退所情報!$D24=$B$2,月途中入退所情報!F24,"-")</f>
        <v>-</v>
      </c>
      <c r="P74" s="61" t="str">
        <f>IF(月途中入退所情報!$D24=$B$2,月途中入退所情報!G24,"-")</f>
        <v>-</v>
      </c>
      <c r="Q74" s="61" t="str">
        <f>IF(月途中入退所情報!$D24=$B$2,月途中入退所情報!H24,"-")</f>
        <v>-</v>
      </c>
      <c r="R74" s="61" t="str">
        <f>IF(月途中入退所情報!$D24=$B$2,月途中入退所情報!I24,"-")</f>
        <v>-</v>
      </c>
      <c r="S74" s="61" t="str">
        <f>IF(月途中入退所情報!$D24=$B$2,月途中入退所情報!J24,"-")</f>
        <v>-</v>
      </c>
      <c r="T74" s="84">
        <f>IF($Q74="標準時間",HLOOKUP($P74,$F$5:$I$27,23,FALSE)-SUM($F$10,$F$21:$F$24,$F$26)-HLOOKUP($P74,$F$5:$I$27,16,FALSE)+HLOOKUP($P74,$F$5:$I$29,25,FALSE),IF($Q74="短時間",HLOOKUP($P74,$J$5:$M$27,23,FALSE)-SUM($F$10,$F$21:$F$24,$F$26)-HLOOKUP($P74,$J$5:$M$27,16,FALSE)+HLOOKUP($P74,$J$5:$M$29,25,FALSE),0))+IF(R74="○",加算と減算!$AH$3,0)</f>
        <v>0</v>
      </c>
      <c r="U74" s="85">
        <f t="shared" si="46"/>
        <v>0</v>
      </c>
      <c r="V74" s="262">
        <f t="shared" si="49"/>
        <v>0</v>
      </c>
      <c r="W74" s="262"/>
      <c r="X74" s="61" t="str">
        <f>IF(月途中入退所情報!$N24=$B$2,月途中入退所情報!$P24,"-")</f>
        <v>-</v>
      </c>
      <c r="Y74" s="61" t="str">
        <f>IF(月途中入退所情報!$N24=$B$2,月途中入退所情報!$Q24,"-")</f>
        <v>-</v>
      </c>
      <c r="Z74" s="61" t="str">
        <f>IF(月途中入退所情報!$N24=$B$2,月途中入退所情報!$R24,"-")</f>
        <v>-</v>
      </c>
      <c r="AA74" s="61" t="str">
        <f>IF(月途中入退所情報!$N24=$B$2,月途中入退所情報!$S24,"-")</f>
        <v>-</v>
      </c>
      <c r="AB74" s="61" t="str">
        <f>IF(月途中入退所情報!$N24=$B$2,月途中入退所情報!$T24,"-")</f>
        <v>-</v>
      </c>
      <c r="AC74" s="84">
        <f>IF($Z74="標準時間",HLOOKUP($Y74,$F$5:$I$27,23,FALSE)-SUM($F$10,$F$21:$F$24,$F$26)-HLOOKUP($Y74,$F$5:$I$27,16,FALSE)+HLOOKUP($Y74,$F$5:$I$29,25,FALSE),IF($Z74="短時間",HLOOKUP($Y74,$J$5:$M$27,23,FALSE)-SUM($F$10,$F$21:$F$24,$F$26)-HLOOKUP($Y74,$J$5:$M$27,16,FALSE)+HLOOKUP($Y74,$J$5:$M$29,25,FALSE),0))+IF(AA74="○",加算と減算!$AH$3,0)</f>
        <v>0</v>
      </c>
      <c r="AD74" s="85">
        <f t="shared" si="47"/>
        <v>0</v>
      </c>
      <c r="AE74" s="262">
        <f t="shared" si="48"/>
        <v>0</v>
      </c>
    </row>
    <row r="75" spans="3:31">
      <c r="O75" s="61" t="str">
        <f>IF(月途中入退所情報!$D25=$B$2,月途中入退所情報!F25,"-")</f>
        <v>-</v>
      </c>
      <c r="P75" s="61" t="str">
        <f>IF(月途中入退所情報!$D25=$B$2,月途中入退所情報!G25,"-")</f>
        <v>-</v>
      </c>
      <c r="Q75" s="61" t="str">
        <f>IF(月途中入退所情報!$D25=$B$2,月途中入退所情報!H25,"-")</f>
        <v>-</v>
      </c>
      <c r="R75" s="61" t="str">
        <f>IF(月途中入退所情報!$D25=$B$2,月途中入退所情報!I25,"-")</f>
        <v>-</v>
      </c>
      <c r="S75" s="61" t="str">
        <f>IF(月途中入退所情報!$D25=$B$2,月途中入退所情報!J25,"-")</f>
        <v>-</v>
      </c>
      <c r="T75" s="84">
        <f>IF($Q75="標準時間",HLOOKUP($P75,$F$5:$I$27,23,FALSE)-SUM($F$10,$F$21:$F$24,$F$26)-HLOOKUP($P75,$F$5:$I$27,16,FALSE)+HLOOKUP($P75,$F$5:$I$29,25,FALSE),IF($Q75="短時間",HLOOKUP($P75,$J$5:$M$27,23,FALSE)-SUM($F$10,$F$21:$F$24,$F$26)-HLOOKUP($P75,$J$5:$M$27,16,FALSE)+HLOOKUP($P75,$J$5:$M$29,25,FALSE),0))+IF(R75="○",加算と減算!$AH$3,0)</f>
        <v>0</v>
      </c>
      <c r="U75" s="85">
        <f t="shared" si="46"/>
        <v>0</v>
      </c>
      <c r="V75" s="262">
        <f t="shared" si="49"/>
        <v>0</v>
      </c>
      <c r="W75" s="262"/>
      <c r="X75" s="61" t="str">
        <f>IF(月途中入退所情報!$N25=$B$2,月途中入退所情報!$P25,"-")</f>
        <v>-</v>
      </c>
      <c r="Y75" s="61" t="str">
        <f>IF(月途中入退所情報!$N25=$B$2,月途中入退所情報!$Q25,"-")</f>
        <v>-</v>
      </c>
      <c r="Z75" s="61" t="str">
        <f>IF(月途中入退所情報!$N25=$B$2,月途中入退所情報!$R25,"-")</f>
        <v>-</v>
      </c>
      <c r="AA75" s="61" t="str">
        <f>IF(月途中入退所情報!$N25=$B$2,月途中入退所情報!$S25,"-")</f>
        <v>-</v>
      </c>
      <c r="AB75" s="61" t="str">
        <f>IF(月途中入退所情報!$N25=$B$2,月途中入退所情報!$T25,"-")</f>
        <v>-</v>
      </c>
      <c r="AC75" s="84">
        <f>IF($Z75="標準時間",HLOOKUP($Y75,$F$5:$I$27,23,FALSE)-SUM($F$10,$F$21:$F$24,$F$26)-HLOOKUP($Y75,$F$5:$I$27,16,FALSE)+HLOOKUP($Y75,$F$5:$I$29,25,FALSE),IF($Z75="短時間",HLOOKUP($Y75,$J$5:$M$27,23,FALSE)-SUM($F$10,$F$21:$F$24,$F$26)-HLOOKUP($Y75,$J$5:$M$27,16,FALSE)+HLOOKUP($Y75,$J$5:$M$29,25,FALSE),0))+IF(AA75="○",加算と減算!$AH$3,0)</f>
        <v>0</v>
      </c>
      <c r="AD75" s="85">
        <f t="shared" si="47"/>
        <v>0</v>
      </c>
      <c r="AE75" s="262">
        <f t="shared" si="48"/>
        <v>0</v>
      </c>
    </row>
    <row r="76" spans="3:31">
      <c r="O76" s="61" t="str">
        <f>IF(月途中入退所情報!$D26=$B$2,月途中入退所情報!F26,"-")</f>
        <v>-</v>
      </c>
      <c r="P76" s="61" t="str">
        <f>IF(月途中入退所情報!$D26=$B$2,月途中入退所情報!G26,"-")</f>
        <v>-</v>
      </c>
      <c r="Q76" s="61" t="str">
        <f>IF(月途中入退所情報!$D26=$B$2,月途中入退所情報!H26,"-")</f>
        <v>-</v>
      </c>
      <c r="R76" s="61" t="str">
        <f>IF(月途中入退所情報!$D26=$B$2,月途中入退所情報!I26,"-")</f>
        <v>-</v>
      </c>
      <c r="S76" s="61" t="str">
        <f>IF(月途中入退所情報!$D26=$B$2,月途中入退所情報!J26,"-")</f>
        <v>-</v>
      </c>
      <c r="T76" s="84">
        <f>IF($Q76="標準時間",HLOOKUP($P76,$F$5:$I$27,23,FALSE)-SUM($F$10,$F$21:$F$24,$F$26)-HLOOKUP($P76,$F$5:$I$27,16,FALSE)+HLOOKUP($P76,$F$5:$I$29,25,FALSE),IF($Q76="短時間",HLOOKUP($P76,$J$5:$M$27,23,FALSE)-SUM($F$10,$F$21:$F$24,$F$26)-HLOOKUP($P76,$J$5:$M$27,16,FALSE)+HLOOKUP($P76,$J$5:$M$29,25,FALSE),0))+IF(R76="○",加算と減算!$AH$3,0)</f>
        <v>0</v>
      </c>
      <c r="U76" s="85">
        <f t="shared" si="46"/>
        <v>0</v>
      </c>
      <c r="V76" s="262">
        <f t="shared" si="49"/>
        <v>0</v>
      </c>
      <c r="W76" s="262"/>
      <c r="X76" s="61" t="str">
        <f>IF(月途中入退所情報!$N26=$B$2,月途中入退所情報!$P26,"-")</f>
        <v>-</v>
      </c>
      <c r="Y76" s="61" t="str">
        <f>IF(月途中入退所情報!$N26=$B$2,月途中入退所情報!$Q26,"-")</f>
        <v>-</v>
      </c>
      <c r="Z76" s="61" t="str">
        <f>IF(月途中入退所情報!$N26=$B$2,月途中入退所情報!$R26,"-")</f>
        <v>-</v>
      </c>
      <c r="AA76" s="61" t="str">
        <f>IF(月途中入退所情報!$N26=$B$2,月途中入退所情報!$S26,"-")</f>
        <v>-</v>
      </c>
      <c r="AB76" s="61" t="str">
        <f>IF(月途中入退所情報!$N26=$B$2,月途中入退所情報!$T26,"-")</f>
        <v>-</v>
      </c>
      <c r="AC76" s="84">
        <f>IF($Z76="標準時間",HLOOKUP($Y76,$F$5:$I$27,23,FALSE)-SUM($F$10,$F$21:$F$24,$F$26)-HLOOKUP($Y76,$F$5:$I$27,16,FALSE)+HLOOKUP($Y76,$F$5:$I$29,25,FALSE),IF($Z76="短時間",HLOOKUP($Y76,$J$5:$M$27,23,FALSE)-SUM($F$10,$F$21:$F$24,$F$26)-HLOOKUP($Y76,$J$5:$M$27,16,FALSE)+HLOOKUP($Y76,$J$5:$M$29,25,FALSE),0))+IF(AA76="○",加算と減算!$AH$3,0)</f>
        <v>0</v>
      </c>
      <c r="AD76" s="85">
        <f t="shared" si="47"/>
        <v>0</v>
      </c>
      <c r="AE76" s="262">
        <f t="shared" si="48"/>
        <v>0</v>
      </c>
    </row>
    <row r="77" spans="3:31">
      <c r="O77" s="61" t="str">
        <f>IF(月途中入退所情報!$D27=$B$2,月途中入退所情報!F27,"-")</f>
        <v>-</v>
      </c>
      <c r="P77" s="61" t="str">
        <f>IF(月途中入退所情報!$D27=$B$2,月途中入退所情報!G27,"-")</f>
        <v>-</v>
      </c>
      <c r="Q77" s="61" t="str">
        <f>IF(月途中入退所情報!$D27=$B$2,月途中入退所情報!H27,"-")</f>
        <v>-</v>
      </c>
      <c r="R77" s="61" t="str">
        <f>IF(月途中入退所情報!$D27=$B$2,月途中入退所情報!I27,"-")</f>
        <v>-</v>
      </c>
      <c r="S77" s="61" t="str">
        <f>IF(月途中入退所情報!$D27=$B$2,月途中入退所情報!J27,"-")</f>
        <v>-</v>
      </c>
      <c r="T77" s="84">
        <f>IF($Q77="標準時間",HLOOKUP($P77,$F$5:$I$27,23,FALSE)-SUM($F$10,$F$21:$F$24,$F$26)-HLOOKUP($P77,$F$5:$I$27,16,FALSE)+HLOOKUP($P77,$F$5:$I$29,25,FALSE),IF($Q77="短時間",HLOOKUP($P77,$J$5:$M$27,23,FALSE)-SUM($F$10,$F$21:$F$24,$F$26)-HLOOKUP($P77,$J$5:$M$27,16,FALSE)+HLOOKUP($P77,$J$5:$M$29,25,FALSE),0))+IF(R77="○",加算と減算!$AH$3,0)</f>
        <v>0</v>
      </c>
      <c r="U77" s="85">
        <f t="shared" si="46"/>
        <v>0</v>
      </c>
      <c r="V77" s="262">
        <f t="shared" si="49"/>
        <v>0</v>
      </c>
      <c r="W77" s="262"/>
      <c r="X77" s="61" t="str">
        <f>IF(月途中入退所情報!$N27=$B$2,月途中入退所情報!$P27,"-")</f>
        <v>-</v>
      </c>
      <c r="Y77" s="61" t="str">
        <f>IF(月途中入退所情報!$N27=$B$2,月途中入退所情報!$Q27,"-")</f>
        <v>-</v>
      </c>
      <c r="Z77" s="61" t="str">
        <f>IF(月途中入退所情報!$N27=$B$2,月途中入退所情報!$R27,"-")</f>
        <v>-</v>
      </c>
      <c r="AA77" s="61" t="str">
        <f>IF(月途中入退所情報!$N27=$B$2,月途中入退所情報!$S27,"-")</f>
        <v>-</v>
      </c>
      <c r="AB77" s="61" t="str">
        <f>IF(月途中入退所情報!$N27=$B$2,月途中入退所情報!$T27,"-")</f>
        <v>-</v>
      </c>
      <c r="AC77" s="84">
        <f>IF($Z77="標準時間",HLOOKUP($Y77,$F$5:$I$27,23,FALSE)-SUM($F$10,$F$21:$F$24,$F$26)-HLOOKUP($Y77,$F$5:$I$27,16,FALSE)+HLOOKUP($Y77,$F$5:$I$29,25,FALSE),IF($Z77="短時間",HLOOKUP($Y77,$J$5:$M$27,23,FALSE)-SUM($F$10,$F$21:$F$24,$F$26)-HLOOKUP($Y77,$J$5:$M$27,16,FALSE)+HLOOKUP($Y77,$J$5:$M$29,25,FALSE),0))+IF(AA77="○",加算と減算!$AH$3,0)</f>
        <v>0</v>
      </c>
      <c r="AD77" s="85">
        <f t="shared" si="47"/>
        <v>0</v>
      </c>
      <c r="AE77" s="262">
        <f t="shared" si="48"/>
        <v>0</v>
      </c>
    </row>
    <row r="78" spans="3:31">
      <c r="T78" s="86" t="s">
        <v>36</v>
      </c>
      <c r="U78" s="85">
        <f>SUM(U58:U77)</f>
        <v>0</v>
      </c>
      <c r="V78" s="262">
        <f>SUM(V58:V77)</f>
        <v>0</v>
      </c>
      <c r="W78" s="262"/>
      <c r="AC78" s="86" t="s">
        <v>36</v>
      </c>
      <c r="AD78" s="85">
        <f>SUM(AD58:AD77)</f>
        <v>0</v>
      </c>
      <c r="AE78" s="264">
        <f>SUM(AE58:AE77)</f>
        <v>0</v>
      </c>
    </row>
    <row r="79" spans="3:31">
      <c r="O79" s="1430" t="s">
        <v>430</v>
      </c>
      <c r="P79" s="1430"/>
      <c r="X79" s="385" t="s">
        <v>431</v>
      </c>
      <c r="Y79" s="385"/>
    </row>
    <row r="80" spans="3:31">
      <c r="O80" s="83" t="s">
        <v>429</v>
      </c>
      <c r="P80" s="83" t="s">
        <v>206</v>
      </c>
      <c r="Q80" s="83" t="s">
        <v>207</v>
      </c>
      <c r="R80" s="83" t="s">
        <v>448</v>
      </c>
      <c r="S80" s="83" t="s">
        <v>214</v>
      </c>
      <c r="T80" s="83" t="s">
        <v>215</v>
      </c>
      <c r="U80" s="83" t="s">
        <v>216</v>
      </c>
      <c r="V80" s="282" t="s">
        <v>455</v>
      </c>
      <c r="W80" s="261"/>
      <c r="X80" s="83" t="s">
        <v>429</v>
      </c>
      <c r="Y80" s="83" t="s">
        <v>206</v>
      </c>
      <c r="Z80" s="83" t="s">
        <v>207</v>
      </c>
      <c r="AA80" s="83" t="s">
        <v>448</v>
      </c>
      <c r="AB80" s="83" t="s">
        <v>218</v>
      </c>
      <c r="AC80" s="83" t="s">
        <v>215</v>
      </c>
      <c r="AD80" s="280" t="s">
        <v>453</v>
      </c>
      <c r="AE80" s="282" t="s">
        <v>455</v>
      </c>
    </row>
    <row r="81" spans="15:31">
      <c r="O81" s="61" t="str">
        <f>IF(月途中入退所情報!$D31=$B$2,月途中入退所情報!F31,"-")</f>
        <v>-</v>
      </c>
      <c r="P81" s="61" t="str">
        <f>IF(月途中入退所情報!$D31=$B$2,月途中入退所情報!G31,"-")</f>
        <v>-</v>
      </c>
      <c r="Q81" s="61" t="str">
        <f>IF(月途中入退所情報!$D31=$B$2,月途中入退所情報!H31,"-")</f>
        <v>-</v>
      </c>
      <c r="R81" s="61" t="str">
        <f>IF(月途中入退所情報!$D31=$B$2,月途中入退所情報!I31,"-")</f>
        <v>-</v>
      </c>
      <c r="S81" s="61" t="str">
        <f>IF(月途中入退所情報!$D31=$B$2,月途中入退所情報!J31,"-")</f>
        <v>-</v>
      </c>
      <c r="T81" s="84">
        <f>IF($Q81="標準時間",HLOOKUP($P81,$F$31:$I$54,24,FALSE)-SUM($F$10,$F$21:$F$24,$F$26)-HLOOKUP($P81,$F$31:$I$54,17,FALSE)+HLOOKUP($P81,$F$31:$I$56,26,FALSE),IF($Q81="短時間",HLOOKUP($P81,$J$31:$M$54,24,FALSE)-SUM($F$10,$F$21:$F$24,$F$26)-HLOOKUP($P81,$J$31:$M$54,17,FALSE)+HLOOKUP($P81,$J$31:$M$56,26,FALSE),0))+IF(R81="○",加算と減算!$AH$3,0)</f>
        <v>0</v>
      </c>
      <c r="U81" s="85">
        <f t="shared" ref="U81:U100" si="55">IFERROR(ROUNDDOWN(T81*S81/25,-1),0)</f>
        <v>0</v>
      </c>
      <c r="V81" s="262">
        <f>IFERROR(ROUNDDOWN(IF($Q81="標準時間",HLOOKUP($P81,$F$31:$I$55,25,FALSE),IF($Q81="短時間",HLOOKUP($P81,$J$31:$M$55,25,FALSE),0))*S81/25,-1),0)</f>
        <v>0</v>
      </c>
      <c r="W81" s="262"/>
      <c r="X81" s="61" t="str">
        <f>IF(月途中入退所情報!$N31=$B$2,月途中入退所情報!$P31,"-")</f>
        <v>-</v>
      </c>
      <c r="Y81" s="61" t="str">
        <f>IF(月途中入退所情報!$N31=$B$2,月途中入退所情報!$Q31,"-")</f>
        <v>-</v>
      </c>
      <c r="Z81" s="61" t="str">
        <f>IF(月途中入退所情報!$N31=$B$2,月途中入退所情報!$R31,"-")</f>
        <v>-</v>
      </c>
      <c r="AA81" s="61" t="str">
        <f>IF(月途中入退所情報!$N31=$B$2,月途中入退所情報!$S31,"-")</f>
        <v>-</v>
      </c>
      <c r="AB81" s="61" t="str">
        <f>IF(月途中入退所情報!$N31=$B$2,月途中入退所情報!$T31,"-")</f>
        <v>-</v>
      </c>
      <c r="AC81" s="84">
        <f>IF($Z81="標準時間",HLOOKUP($Y81,$F$31:$I$54,24,FALSE)-SUM($F$10,$F$21:$F$24,$F$26)-HLOOKUP($Y81,$F$31:$I$54,17,FALSE)+HLOOKUP($Y81,$F$31:$I$56,26,FALSE),IF($Z81="短時間",HLOOKUP($Y81,$J$31:$M$54,24,FALSE)-SUM($F$10,$F$21:$F$24,$F$26)-HLOOKUP($Y81,$J$31:$M$54,17,FALSE)+HLOOKUP($Y81,$J$31:$M$56,26,FALSE),0))+IF(AA81="○",加算と減算!$AH$3,0)</f>
        <v>0</v>
      </c>
      <c r="AD81" s="85">
        <f t="shared" ref="AD81:AD100" si="56">IFERROR(-ROUNDUP(AC81*AB81/25,-1),0)</f>
        <v>0</v>
      </c>
      <c r="AE81" s="262">
        <f t="shared" ref="AE81:AE100" si="57">IFERROR(-ROUNDUP(IF($Z81="標準時間",HLOOKUP($Y81,$F$31:$I$55,25,FALSE),IF($Z81="短時間",HLOOKUP($Y81,$J$31:$M$55,25,FALSE),0))*AB81/25,-1),0)</f>
        <v>0</v>
      </c>
    </row>
    <row r="82" spans="15:31">
      <c r="O82" s="61" t="str">
        <f>IF(月途中入退所情報!$D32=$B$2,月途中入退所情報!F32,"-")</f>
        <v>-</v>
      </c>
      <c r="P82" s="61" t="str">
        <f>IF(月途中入退所情報!$D32=$B$2,月途中入退所情報!G32,"-")</f>
        <v>-</v>
      </c>
      <c r="Q82" s="61" t="str">
        <f>IF(月途中入退所情報!$D32=$B$2,月途中入退所情報!H32,"-")</f>
        <v>-</v>
      </c>
      <c r="R82" s="61" t="str">
        <f>IF(月途中入退所情報!$D32=$B$2,月途中入退所情報!I32,"-")</f>
        <v>-</v>
      </c>
      <c r="S82" s="61" t="str">
        <f>IF(月途中入退所情報!$D32=$B$2,月途中入退所情報!J32,"-")</f>
        <v>-</v>
      </c>
      <c r="T82" s="84">
        <f>IF($Q82="標準時間",HLOOKUP($P82,$F$31:$I$54,24,FALSE)-SUM($F$10,$F$21:$F$24,$F$26)-HLOOKUP($P82,$F$31:$I$54,17,FALSE)+HLOOKUP($P82,$F$31:$I$56,26,FALSE),IF($Q82="短時間",HLOOKUP($P82,$J$31:$M$54,24,FALSE)-SUM($F$10,$F$21:$F$24,$F$26)-HLOOKUP($P82,$J$31:$M$54,17,FALSE)+HLOOKUP($P82,$J$31:$M$56,26,FALSE),0))+IF(R82="○",加算と減算!$AH$3,0)</f>
        <v>0</v>
      </c>
      <c r="U82" s="85">
        <f t="shared" si="55"/>
        <v>0</v>
      </c>
      <c r="V82" s="262">
        <f t="shared" ref="V82:V100" si="58">IFERROR(ROUNDDOWN(IF($Q82="標準時間",HLOOKUP($P82,$F$31:$I$55,25,FALSE),IF($Q82="短時間",HLOOKUP($P82,$J$31:$M$55,25,FALSE),0))*S82/25,-1),0)</f>
        <v>0</v>
      </c>
      <c r="W82" s="262"/>
      <c r="X82" s="61" t="str">
        <f>IF(月途中入退所情報!$N32=$B$2,月途中入退所情報!$P32,"-")</f>
        <v>-</v>
      </c>
      <c r="Y82" s="61" t="str">
        <f>IF(月途中入退所情報!$N32=$B$2,月途中入退所情報!$Q32,"-")</f>
        <v>-</v>
      </c>
      <c r="Z82" s="61" t="str">
        <f>IF(月途中入退所情報!$N32=$B$2,月途中入退所情報!$R32,"-")</f>
        <v>-</v>
      </c>
      <c r="AA82" s="61" t="str">
        <f>IF(月途中入退所情報!$N32=$B$2,月途中入退所情報!$S32,"-")</f>
        <v>-</v>
      </c>
      <c r="AB82" s="61" t="str">
        <f>IF(月途中入退所情報!$N32=$B$2,月途中入退所情報!$T32,"-")</f>
        <v>-</v>
      </c>
      <c r="AC82" s="84">
        <f>IF($Z82="標準時間",HLOOKUP($Y82,$F$31:$I$54,24,FALSE)-SUM($F$10,$F$21:$F$24,$F$26)-HLOOKUP($Y82,$F$31:$I$54,17,FALSE)+HLOOKUP($Y82,$F$31:$I$56,26,FALSE),IF($Z82="短時間",HLOOKUP($Y82,$J$31:$M$54,24,FALSE)-SUM($F$10,$F$21:$F$24,$F$26)-HLOOKUP($Y82,$J$31:$M$54,17,FALSE)+HLOOKUP($Y82,$J$31:$M$56,26,FALSE),0))+IF(AA82="○",加算と減算!$AH$3,0)</f>
        <v>0</v>
      </c>
      <c r="AD82" s="85">
        <f t="shared" si="56"/>
        <v>0</v>
      </c>
      <c r="AE82" s="262">
        <f t="shared" si="57"/>
        <v>0</v>
      </c>
    </row>
    <row r="83" spans="15:31">
      <c r="O83" s="61" t="str">
        <f>IF(月途中入退所情報!$D33=$B$2,月途中入退所情報!F33,"-")</f>
        <v>-</v>
      </c>
      <c r="P83" s="61" t="str">
        <f>IF(月途中入退所情報!$D33=$B$2,月途中入退所情報!G33,"-")</f>
        <v>-</v>
      </c>
      <c r="Q83" s="61" t="str">
        <f>IF(月途中入退所情報!$D33=$B$2,月途中入退所情報!H33,"-")</f>
        <v>-</v>
      </c>
      <c r="R83" s="61" t="str">
        <f>IF(月途中入退所情報!$D33=$B$2,月途中入退所情報!I33,"-")</f>
        <v>-</v>
      </c>
      <c r="S83" s="61" t="str">
        <f>IF(月途中入退所情報!$D33=$B$2,月途中入退所情報!J33,"-")</f>
        <v>-</v>
      </c>
      <c r="T83" s="84">
        <f>IF($Q83="標準時間",HLOOKUP($P83,$F$31:$I$54,24,FALSE)-SUM($F$10,$F$21:$F$24,$F$26)-HLOOKUP($P83,$F$31:$I$54,17,FALSE)+HLOOKUP($P83,$F$31:$I$56,26,FALSE),IF($Q83="短時間",HLOOKUP($P83,$J$31:$M$54,24,FALSE)-SUM($F$10,$F$21:$F$24,$F$26)-HLOOKUP($P83,$J$31:$M$54,17,FALSE)+HLOOKUP($P83,$J$31:$M$56,26,FALSE),0))+IF(R83="○",加算と減算!$AH$3,0)</f>
        <v>0</v>
      </c>
      <c r="U83" s="85">
        <f t="shared" si="55"/>
        <v>0</v>
      </c>
      <c r="V83" s="262">
        <f t="shared" si="58"/>
        <v>0</v>
      </c>
      <c r="W83" s="262"/>
      <c r="X83" s="61" t="str">
        <f>IF(月途中入退所情報!$N33=$B$2,月途中入退所情報!$P33,"-")</f>
        <v>-</v>
      </c>
      <c r="Y83" s="61" t="str">
        <f>IF(月途中入退所情報!$N33=$B$2,月途中入退所情報!$Q33,"-")</f>
        <v>-</v>
      </c>
      <c r="Z83" s="61" t="str">
        <f>IF(月途中入退所情報!$N33=$B$2,月途中入退所情報!$R33,"-")</f>
        <v>-</v>
      </c>
      <c r="AA83" s="61" t="str">
        <f>IF(月途中入退所情報!$N33=$B$2,月途中入退所情報!$S33,"-")</f>
        <v>-</v>
      </c>
      <c r="AB83" s="61" t="str">
        <f>IF(月途中入退所情報!$N33=$B$2,月途中入退所情報!$T33,"-")</f>
        <v>-</v>
      </c>
      <c r="AC83" s="84">
        <f>IF($Z83="標準時間",HLOOKUP($Y83,$F$31:$I$54,24,FALSE)-SUM($F$10,$F$21:$F$24,$F$26)-HLOOKUP($Y83,$F$31:$I$54,17,FALSE)+HLOOKUP($Y83,$F$31:$I$56,26,FALSE),IF($Z83="短時間",HLOOKUP($Y83,$J$31:$M$54,24,FALSE)-SUM($F$10,$F$21:$F$24,$F$26)-HLOOKUP($Y83,$J$31:$M$54,17,FALSE)+HLOOKUP($Y83,$J$31:$M$56,26,FALSE),0))+IF(AA83="○",加算と減算!$AH$3,0)</f>
        <v>0</v>
      </c>
      <c r="AD83" s="85">
        <f t="shared" si="56"/>
        <v>0</v>
      </c>
      <c r="AE83" s="262">
        <f t="shared" si="57"/>
        <v>0</v>
      </c>
    </row>
    <row r="84" spans="15:31">
      <c r="O84" s="61" t="str">
        <f>IF(月途中入退所情報!$D34=$B$2,月途中入退所情報!F34,"-")</f>
        <v>-</v>
      </c>
      <c r="P84" s="61" t="str">
        <f>IF(月途中入退所情報!$D34=$B$2,月途中入退所情報!G34,"-")</f>
        <v>-</v>
      </c>
      <c r="Q84" s="61" t="str">
        <f>IF(月途中入退所情報!$D34=$B$2,月途中入退所情報!H34,"-")</f>
        <v>-</v>
      </c>
      <c r="R84" s="61" t="str">
        <f>IF(月途中入退所情報!$D34=$B$2,月途中入退所情報!I34,"-")</f>
        <v>-</v>
      </c>
      <c r="S84" s="61" t="str">
        <f>IF(月途中入退所情報!$D34=$B$2,月途中入退所情報!J34,"-")</f>
        <v>-</v>
      </c>
      <c r="T84" s="84">
        <f>IF($Q84="標準時間",HLOOKUP($P84,$F$31:$I$54,24,FALSE)-SUM($F$10,$F$21:$F$24,$F$26)-HLOOKUP($P84,$F$31:$I$54,17,FALSE)+HLOOKUP($P84,$F$31:$I$56,26,FALSE),IF($Q84="短時間",HLOOKUP($P84,$J$31:$M$54,24,FALSE)-SUM($F$10,$F$21:$F$24,$F$26)-HLOOKUP($P84,$J$31:$M$54,17,FALSE)+HLOOKUP($P84,$J$31:$M$56,26,FALSE),0))+IF(R84="○",加算と減算!$AH$3,0)</f>
        <v>0</v>
      </c>
      <c r="U84" s="85">
        <f t="shared" si="55"/>
        <v>0</v>
      </c>
      <c r="V84" s="262">
        <f t="shared" si="58"/>
        <v>0</v>
      </c>
      <c r="W84" s="262"/>
      <c r="X84" s="61" t="str">
        <f>IF(月途中入退所情報!$N34=$B$2,月途中入退所情報!$P34,"-")</f>
        <v>-</v>
      </c>
      <c r="Y84" s="61" t="str">
        <f>IF(月途中入退所情報!$N34=$B$2,月途中入退所情報!$Q34,"-")</f>
        <v>-</v>
      </c>
      <c r="Z84" s="61" t="str">
        <f>IF(月途中入退所情報!$N34=$B$2,月途中入退所情報!$R34,"-")</f>
        <v>-</v>
      </c>
      <c r="AA84" s="61" t="str">
        <f>IF(月途中入退所情報!$N34=$B$2,月途中入退所情報!$S34,"-")</f>
        <v>-</v>
      </c>
      <c r="AB84" s="61" t="str">
        <f>IF(月途中入退所情報!$N34=$B$2,月途中入退所情報!$T34,"-")</f>
        <v>-</v>
      </c>
      <c r="AC84" s="84">
        <f>IF($Z84="標準時間",HLOOKUP($Y84,$F$31:$I$54,24,FALSE)-SUM($F$10,$F$21:$F$24,$F$26)-HLOOKUP($Y84,$F$31:$I$54,17,FALSE)+HLOOKUP($Y84,$F$31:$I$56,26,FALSE),IF($Z84="短時間",HLOOKUP($Y84,$J$31:$M$54,24,FALSE)-SUM($F$10,$F$21:$F$24,$F$26)-HLOOKUP($Y84,$J$31:$M$54,17,FALSE)+HLOOKUP($Y84,$J$31:$M$56,26,FALSE),0))+IF(AA84="○",加算と減算!$AH$3,0)</f>
        <v>0</v>
      </c>
      <c r="AD84" s="85">
        <f t="shared" si="56"/>
        <v>0</v>
      </c>
      <c r="AE84" s="262">
        <f t="shared" si="57"/>
        <v>0</v>
      </c>
    </row>
    <row r="85" spans="15:31">
      <c r="O85" s="61" t="str">
        <f>IF(月途中入退所情報!$D35=$B$2,月途中入退所情報!F35,"-")</f>
        <v>-</v>
      </c>
      <c r="P85" s="61" t="str">
        <f>IF(月途中入退所情報!$D35=$B$2,月途中入退所情報!G35,"-")</f>
        <v>-</v>
      </c>
      <c r="Q85" s="61" t="str">
        <f>IF(月途中入退所情報!$D35=$B$2,月途中入退所情報!H35,"-")</f>
        <v>-</v>
      </c>
      <c r="R85" s="61" t="str">
        <f>IF(月途中入退所情報!$D35=$B$2,月途中入退所情報!I35,"-")</f>
        <v>-</v>
      </c>
      <c r="S85" s="61" t="str">
        <f>IF(月途中入退所情報!$D35=$B$2,月途中入退所情報!J35,"-")</f>
        <v>-</v>
      </c>
      <c r="T85" s="84">
        <f>IF($Q85="標準時間",HLOOKUP($P85,$F$31:$I$54,24,FALSE)-SUM($F$10,$F$21:$F$24,$F$26)-HLOOKUP($P85,$F$31:$I$54,17,FALSE)+HLOOKUP($P85,$F$31:$I$56,26,FALSE),IF($Q85="短時間",HLOOKUP($P85,$J$31:$M$54,24,FALSE)-SUM($F$10,$F$21:$F$24,$F$26)-HLOOKUP($P85,$J$31:$M$54,17,FALSE)+HLOOKUP($P85,$J$31:$M$56,26,FALSE),0))+IF(R85="○",加算と減算!$AH$3,0)</f>
        <v>0</v>
      </c>
      <c r="U85" s="85">
        <f t="shared" si="55"/>
        <v>0</v>
      </c>
      <c r="V85" s="262">
        <f t="shared" si="58"/>
        <v>0</v>
      </c>
      <c r="W85" s="262"/>
      <c r="X85" s="61" t="str">
        <f>IF(月途中入退所情報!$N35=$B$2,月途中入退所情報!$P35,"-")</f>
        <v>-</v>
      </c>
      <c r="Y85" s="61" t="str">
        <f>IF(月途中入退所情報!$N35=$B$2,月途中入退所情報!$Q35,"-")</f>
        <v>-</v>
      </c>
      <c r="Z85" s="61" t="str">
        <f>IF(月途中入退所情報!$N35=$B$2,月途中入退所情報!$R35,"-")</f>
        <v>-</v>
      </c>
      <c r="AA85" s="61" t="str">
        <f>IF(月途中入退所情報!$N35=$B$2,月途中入退所情報!$S35,"-")</f>
        <v>-</v>
      </c>
      <c r="AB85" s="61" t="str">
        <f>IF(月途中入退所情報!$N35=$B$2,月途中入退所情報!$T35,"-")</f>
        <v>-</v>
      </c>
      <c r="AC85" s="84">
        <f>IF($Z85="標準時間",HLOOKUP($Y85,$F$31:$I$54,24,FALSE)-SUM($F$10,$F$21:$F$24,$F$26)-HLOOKUP($Y85,$F$31:$I$54,17,FALSE)+HLOOKUP($Y85,$F$31:$I$56,26,FALSE),IF($Z85="短時間",HLOOKUP($Y85,$J$31:$M$54,24,FALSE)-SUM($F$10,$F$21:$F$24,$F$26)-HLOOKUP($Y85,$J$31:$M$54,17,FALSE)+HLOOKUP($Y85,$J$31:$M$56,26,FALSE),0))+IF(AA85="○",加算と減算!$AH$3,0)</f>
        <v>0</v>
      </c>
      <c r="AD85" s="85">
        <f t="shared" si="56"/>
        <v>0</v>
      </c>
      <c r="AE85" s="262">
        <f t="shared" si="57"/>
        <v>0</v>
      </c>
    </row>
    <row r="86" spans="15:31">
      <c r="O86" s="61" t="str">
        <f>IF(月途中入退所情報!$D36=$B$2,月途中入退所情報!F36,"-")</f>
        <v>-</v>
      </c>
      <c r="P86" s="61" t="str">
        <f>IF(月途中入退所情報!$D36=$B$2,月途中入退所情報!G36,"-")</f>
        <v>-</v>
      </c>
      <c r="Q86" s="61" t="str">
        <f>IF(月途中入退所情報!$D36=$B$2,月途中入退所情報!H36,"-")</f>
        <v>-</v>
      </c>
      <c r="R86" s="61" t="str">
        <f>IF(月途中入退所情報!$D36=$B$2,月途中入退所情報!I36,"-")</f>
        <v>-</v>
      </c>
      <c r="S86" s="61" t="str">
        <f>IF(月途中入退所情報!$D36=$B$2,月途中入退所情報!J36,"-")</f>
        <v>-</v>
      </c>
      <c r="T86" s="84">
        <f>IF($Q86="標準時間",HLOOKUP($P86,$F$31:$I$54,24,FALSE)-SUM($F$10,$F$21:$F$24,$F$26)-HLOOKUP($P86,$F$31:$I$54,17,FALSE)+HLOOKUP($P86,$F$31:$I$56,26,FALSE),IF($Q86="短時間",HLOOKUP($P86,$J$31:$M$54,24,FALSE)-SUM($F$10,$F$21:$F$24,$F$26)-HLOOKUP($P86,$J$31:$M$54,17,FALSE)+HLOOKUP($P86,$J$31:$M$56,26,FALSE),0))+IF(R86="○",加算と減算!$AH$3,0)</f>
        <v>0</v>
      </c>
      <c r="U86" s="85">
        <f t="shared" si="55"/>
        <v>0</v>
      </c>
      <c r="V86" s="262">
        <f t="shared" si="58"/>
        <v>0</v>
      </c>
      <c r="W86" s="262"/>
      <c r="X86" s="61" t="str">
        <f>IF(月途中入退所情報!$N36=$B$2,月途中入退所情報!$P36,"-")</f>
        <v>-</v>
      </c>
      <c r="Y86" s="61" t="str">
        <f>IF(月途中入退所情報!$N36=$B$2,月途中入退所情報!$Q36,"-")</f>
        <v>-</v>
      </c>
      <c r="Z86" s="61" t="str">
        <f>IF(月途中入退所情報!$N36=$B$2,月途中入退所情報!$R36,"-")</f>
        <v>-</v>
      </c>
      <c r="AA86" s="61" t="str">
        <f>IF(月途中入退所情報!$N36=$B$2,月途中入退所情報!$S36,"-")</f>
        <v>-</v>
      </c>
      <c r="AB86" s="61" t="str">
        <f>IF(月途中入退所情報!$N36=$B$2,月途中入退所情報!$T36,"-")</f>
        <v>-</v>
      </c>
      <c r="AC86" s="84">
        <f>IF($Z86="標準時間",HLOOKUP($Y86,$F$31:$I$54,24,FALSE)-SUM($F$10,$F$21:$F$24,$F$26)-HLOOKUP($Y86,$F$31:$I$54,17,FALSE)+HLOOKUP($Y86,$F$31:$I$56,26,FALSE),IF($Z86="短時間",HLOOKUP($Y86,$J$31:$M$54,24,FALSE)-SUM($F$10,$F$21:$F$24,$F$26)-HLOOKUP($Y86,$J$31:$M$54,17,FALSE)+HLOOKUP($Y86,$J$31:$M$56,26,FALSE),0))+IF(AA86="○",加算と減算!$AH$3,0)</f>
        <v>0</v>
      </c>
      <c r="AD86" s="85">
        <f t="shared" si="56"/>
        <v>0</v>
      </c>
      <c r="AE86" s="262">
        <f t="shared" si="57"/>
        <v>0</v>
      </c>
    </row>
    <row r="87" spans="15:31">
      <c r="O87" s="61" t="str">
        <f>IF(月途中入退所情報!$D37=$B$2,月途中入退所情報!F37,"-")</f>
        <v>-</v>
      </c>
      <c r="P87" s="61" t="str">
        <f>IF(月途中入退所情報!$D37=$B$2,月途中入退所情報!G37,"-")</f>
        <v>-</v>
      </c>
      <c r="Q87" s="61" t="str">
        <f>IF(月途中入退所情報!$D37=$B$2,月途中入退所情報!H37,"-")</f>
        <v>-</v>
      </c>
      <c r="R87" s="61" t="str">
        <f>IF(月途中入退所情報!$D37=$B$2,月途中入退所情報!I37,"-")</f>
        <v>-</v>
      </c>
      <c r="S87" s="61" t="str">
        <f>IF(月途中入退所情報!$D37=$B$2,月途中入退所情報!J37,"-")</f>
        <v>-</v>
      </c>
      <c r="T87" s="84">
        <f>IF($Q87="標準時間",HLOOKUP($P87,$F$31:$I$54,24,FALSE)-SUM($F$10,$F$21:$F$24,$F$26)-HLOOKUP($P87,$F$31:$I$54,17,FALSE)+HLOOKUP($P87,$F$31:$I$56,26,FALSE),IF($Q87="短時間",HLOOKUP($P87,$J$31:$M$54,24,FALSE)-SUM($F$10,$F$21:$F$24,$F$26)-HLOOKUP($P87,$J$31:$M$54,17,FALSE)+HLOOKUP($P87,$J$31:$M$56,26,FALSE),0))+IF(R87="○",加算と減算!$AH$3,0)</f>
        <v>0</v>
      </c>
      <c r="U87" s="85">
        <f t="shared" si="55"/>
        <v>0</v>
      </c>
      <c r="V87" s="262">
        <f t="shared" si="58"/>
        <v>0</v>
      </c>
      <c r="W87" s="262"/>
      <c r="X87" s="61" t="str">
        <f>IF(月途中入退所情報!$N37=$B$2,月途中入退所情報!$P37,"-")</f>
        <v>-</v>
      </c>
      <c r="Y87" s="61" t="str">
        <f>IF(月途中入退所情報!$N37=$B$2,月途中入退所情報!$Q37,"-")</f>
        <v>-</v>
      </c>
      <c r="Z87" s="61" t="str">
        <f>IF(月途中入退所情報!$N37=$B$2,月途中入退所情報!$R37,"-")</f>
        <v>-</v>
      </c>
      <c r="AA87" s="61" t="str">
        <f>IF(月途中入退所情報!$N37=$B$2,月途中入退所情報!$S37,"-")</f>
        <v>-</v>
      </c>
      <c r="AB87" s="61" t="str">
        <f>IF(月途中入退所情報!$N37=$B$2,月途中入退所情報!$T37,"-")</f>
        <v>-</v>
      </c>
      <c r="AC87" s="84">
        <f>IF($Z87="標準時間",HLOOKUP($Y87,$F$31:$I$54,24,FALSE)-SUM($F$10,$F$21:$F$24,$F$26)-HLOOKUP($Y87,$F$31:$I$54,17,FALSE)+HLOOKUP($Y87,$F$31:$I$56,26,FALSE),IF($Z87="短時間",HLOOKUP($Y87,$J$31:$M$54,24,FALSE)-SUM($F$10,$F$21:$F$24,$F$26)-HLOOKUP($Y87,$J$31:$M$54,17,FALSE)+HLOOKUP($Y87,$J$31:$M$56,26,FALSE),0))+IF(AA87="○",加算と減算!$AH$3,0)</f>
        <v>0</v>
      </c>
      <c r="AD87" s="85">
        <f t="shared" si="56"/>
        <v>0</v>
      </c>
      <c r="AE87" s="262">
        <f t="shared" si="57"/>
        <v>0</v>
      </c>
    </row>
    <row r="88" spans="15:31">
      <c r="O88" s="61" t="str">
        <f>IF(月途中入退所情報!$D38=$B$2,月途中入退所情報!F38,"-")</f>
        <v>-</v>
      </c>
      <c r="P88" s="61" t="str">
        <f>IF(月途中入退所情報!$D38=$B$2,月途中入退所情報!G38,"-")</f>
        <v>-</v>
      </c>
      <c r="Q88" s="61" t="str">
        <f>IF(月途中入退所情報!$D38=$B$2,月途中入退所情報!H38,"-")</f>
        <v>-</v>
      </c>
      <c r="R88" s="61" t="str">
        <f>IF(月途中入退所情報!$D38=$B$2,月途中入退所情報!I38,"-")</f>
        <v>-</v>
      </c>
      <c r="S88" s="61" t="str">
        <f>IF(月途中入退所情報!$D38=$B$2,月途中入退所情報!J38,"-")</f>
        <v>-</v>
      </c>
      <c r="T88" s="84">
        <f>IF($Q88="標準時間",HLOOKUP($P88,$F$31:$I$54,24,FALSE)-SUM($F$10,$F$21:$F$24,$F$26)-HLOOKUP($P88,$F$31:$I$54,17,FALSE)+HLOOKUP($P88,$F$31:$I$56,26,FALSE),IF($Q88="短時間",HLOOKUP($P88,$J$31:$M$54,24,FALSE)-SUM($F$10,$F$21:$F$24,$F$26)-HLOOKUP($P88,$J$31:$M$54,17,FALSE)+HLOOKUP($P88,$J$31:$M$56,26,FALSE),0))+IF(R88="○",加算と減算!$AH$3,0)</f>
        <v>0</v>
      </c>
      <c r="U88" s="85">
        <f t="shared" si="55"/>
        <v>0</v>
      </c>
      <c r="V88" s="262">
        <f t="shared" si="58"/>
        <v>0</v>
      </c>
      <c r="W88" s="262"/>
      <c r="X88" s="61" t="str">
        <f>IF(月途中入退所情報!$N38=$B$2,月途中入退所情報!$P38,"-")</f>
        <v>-</v>
      </c>
      <c r="Y88" s="61" t="str">
        <f>IF(月途中入退所情報!$N38=$B$2,月途中入退所情報!$Q38,"-")</f>
        <v>-</v>
      </c>
      <c r="Z88" s="61" t="str">
        <f>IF(月途中入退所情報!$N38=$B$2,月途中入退所情報!$R38,"-")</f>
        <v>-</v>
      </c>
      <c r="AA88" s="61" t="str">
        <f>IF(月途中入退所情報!$N38=$B$2,月途中入退所情報!$S38,"-")</f>
        <v>-</v>
      </c>
      <c r="AB88" s="61" t="str">
        <f>IF(月途中入退所情報!$N38=$B$2,月途中入退所情報!$T38,"-")</f>
        <v>-</v>
      </c>
      <c r="AC88" s="84">
        <f>IF($Z88="標準時間",HLOOKUP($Y88,$F$31:$I$54,24,FALSE)-SUM($F$10,$F$21:$F$24,$F$26)-HLOOKUP($Y88,$F$31:$I$54,17,FALSE)+HLOOKUP($Y88,$F$31:$I$56,26,FALSE),IF($Z88="短時間",HLOOKUP($Y88,$J$31:$M$54,24,FALSE)-SUM($F$10,$F$21:$F$24,$F$26)-HLOOKUP($Y88,$J$31:$M$54,17,FALSE)+HLOOKUP($Y88,$J$31:$M$56,26,FALSE),0))+IF(AA88="○",加算と減算!$AH$3,0)</f>
        <v>0</v>
      </c>
      <c r="AD88" s="85">
        <f t="shared" si="56"/>
        <v>0</v>
      </c>
      <c r="AE88" s="262">
        <f t="shared" si="57"/>
        <v>0</v>
      </c>
    </row>
    <row r="89" spans="15:31">
      <c r="O89" s="61" t="str">
        <f>IF(月途中入退所情報!$D39=$B$2,月途中入退所情報!F39,"-")</f>
        <v>-</v>
      </c>
      <c r="P89" s="61" t="str">
        <f>IF(月途中入退所情報!$D39=$B$2,月途中入退所情報!G39,"-")</f>
        <v>-</v>
      </c>
      <c r="Q89" s="61" t="str">
        <f>IF(月途中入退所情報!$D39=$B$2,月途中入退所情報!H39,"-")</f>
        <v>-</v>
      </c>
      <c r="R89" s="61" t="str">
        <f>IF(月途中入退所情報!$D39=$B$2,月途中入退所情報!I39,"-")</f>
        <v>-</v>
      </c>
      <c r="S89" s="61" t="str">
        <f>IF(月途中入退所情報!$D39=$B$2,月途中入退所情報!J39,"-")</f>
        <v>-</v>
      </c>
      <c r="T89" s="84">
        <f>IF($Q89="標準時間",HLOOKUP($P89,$F$31:$I$54,24,FALSE)-SUM($F$10,$F$21:$F$24,$F$26)-HLOOKUP($P89,$F$31:$I$54,17,FALSE)+HLOOKUP($P89,$F$31:$I$56,26,FALSE),IF($Q89="短時間",HLOOKUP($P89,$J$31:$M$54,24,FALSE)-SUM($F$10,$F$21:$F$24,$F$26)-HLOOKUP($P89,$J$31:$M$54,17,FALSE)+HLOOKUP($P89,$J$31:$M$56,26,FALSE),0))+IF(R89="○",加算と減算!$AH$3,0)</f>
        <v>0</v>
      </c>
      <c r="U89" s="85">
        <f t="shared" si="55"/>
        <v>0</v>
      </c>
      <c r="V89" s="262">
        <f t="shared" si="58"/>
        <v>0</v>
      </c>
      <c r="W89" s="262"/>
      <c r="X89" s="61" t="str">
        <f>IF(月途中入退所情報!$N39=$B$2,月途中入退所情報!$P39,"-")</f>
        <v>-</v>
      </c>
      <c r="Y89" s="61" t="str">
        <f>IF(月途中入退所情報!$N39=$B$2,月途中入退所情報!$Q39,"-")</f>
        <v>-</v>
      </c>
      <c r="Z89" s="61" t="str">
        <f>IF(月途中入退所情報!$N39=$B$2,月途中入退所情報!$R39,"-")</f>
        <v>-</v>
      </c>
      <c r="AA89" s="61" t="str">
        <f>IF(月途中入退所情報!$N39=$B$2,月途中入退所情報!$S39,"-")</f>
        <v>-</v>
      </c>
      <c r="AB89" s="61" t="str">
        <f>IF(月途中入退所情報!$N39=$B$2,月途中入退所情報!$T39,"-")</f>
        <v>-</v>
      </c>
      <c r="AC89" s="84">
        <f>IF($Z89="標準時間",HLOOKUP($Y89,$F$31:$I$54,24,FALSE)-SUM($F$10,$F$21:$F$24,$F$26)-HLOOKUP($Y89,$F$31:$I$54,17,FALSE)+HLOOKUP($Y89,$F$31:$I$56,26,FALSE),IF($Z89="短時間",HLOOKUP($Y89,$J$31:$M$54,24,FALSE)-SUM($F$10,$F$21:$F$24,$F$26)-HLOOKUP($Y89,$J$31:$M$54,17,FALSE)+HLOOKUP($Y89,$J$31:$M$56,26,FALSE),0))+IF(AA89="○",加算と減算!$AH$3,0)</f>
        <v>0</v>
      </c>
      <c r="AD89" s="85">
        <f t="shared" si="56"/>
        <v>0</v>
      </c>
      <c r="AE89" s="262">
        <f t="shared" si="57"/>
        <v>0</v>
      </c>
    </row>
    <row r="90" spans="15:31">
      <c r="O90" s="61" t="str">
        <f>IF(月途中入退所情報!$D40=$B$2,月途中入退所情報!F40,"-")</f>
        <v>-</v>
      </c>
      <c r="P90" s="61" t="str">
        <f>IF(月途中入退所情報!$D40=$B$2,月途中入退所情報!G40,"-")</f>
        <v>-</v>
      </c>
      <c r="Q90" s="61" t="str">
        <f>IF(月途中入退所情報!$D40=$B$2,月途中入退所情報!H40,"-")</f>
        <v>-</v>
      </c>
      <c r="R90" s="61" t="str">
        <f>IF(月途中入退所情報!$D40=$B$2,月途中入退所情報!I40,"-")</f>
        <v>-</v>
      </c>
      <c r="S90" s="61" t="str">
        <f>IF(月途中入退所情報!$D40=$B$2,月途中入退所情報!J40,"-")</f>
        <v>-</v>
      </c>
      <c r="T90" s="84">
        <f>IF($Q90="標準時間",HLOOKUP($P90,$F$31:$I$54,24,FALSE)-SUM($F$10,$F$21:$F$24,$F$26)-HLOOKUP($P90,$F$31:$I$54,17,FALSE)+HLOOKUP($P90,$F$31:$I$56,26,FALSE),IF($Q90="短時間",HLOOKUP($P90,$J$31:$M$54,24,FALSE)-SUM($F$10,$F$21:$F$24,$F$26)-HLOOKUP($P90,$J$31:$M$54,17,FALSE)+HLOOKUP($P90,$J$31:$M$56,26,FALSE),0))+IF(R90="○",加算と減算!$AH$3,0)</f>
        <v>0</v>
      </c>
      <c r="U90" s="85">
        <f t="shared" si="55"/>
        <v>0</v>
      </c>
      <c r="V90" s="262">
        <f t="shared" si="58"/>
        <v>0</v>
      </c>
      <c r="W90" s="262"/>
      <c r="X90" s="61" t="str">
        <f>IF(月途中入退所情報!$N40=$B$2,月途中入退所情報!$P40,"-")</f>
        <v>-</v>
      </c>
      <c r="Y90" s="61" t="str">
        <f>IF(月途中入退所情報!$N40=$B$2,月途中入退所情報!$Q40,"-")</f>
        <v>-</v>
      </c>
      <c r="Z90" s="61" t="str">
        <f>IF(月途中入退所情報!$N40=$B$2,月途中入退所情報!$R40,"-")</f>
        <v>-</v>
      </c>
      <c r="AA90" s="61" t="str">
        <f>IF(月途中入退所情報!$N40=$B$2,月途中入退所情報!$S40,"-")</f>
        <v>-</v>
      </c>
      <c r="AB90" s="61" t="str">
        <f>IF(月途中入退所情報!$N40=$B$2,月途中入退所情報!$T40,"-")</f>
        <v>-</v>
      </c>
      <c r="AC90" s="84">
        <f>IF($Z90="標準時間",HLOOKUP($Y90,$F$31:$I$54,24,FALSE)-SUM($F$10,$F$21:$F$24,$F$26)-HLOOKUP($Y90,$F$31:$I$54,17,FALSE)+HLOOKUP($Y90,$F$31:$I$56,26,FALSE),IF($Z90="短時間",HLOOKUP($Y90,$J$31:$M$54,24,FALSE)-SUM($F$10,$F$21:$F$24,$F$26)-HLOOKUP($Y90,$J$31:$M$54,17,FALSE)+HLOOKUP($Y90,$J$31:$M$56,26,FALSE),0))+IF(AA90="○",加算と減算!$AH$3,0)</f>
        <v>0</v>
      </c>
      <c r="AD90" s="85">
        <f t="shared" si="56"/>
        <v>0</v>
      </c>
      <c r="AE90" s="262">
        <f t="shared" si="57"/>
        <v>0</v>
      </c>
    </row>
    <row r="91" spans="15:31">
      <c r="O91" s="61" t="str">
        <f>IF(月途中入退所情報!$D41=$B$2,月途中入退所情報!F41,"-")</f>
        <v>-</v>
      </c>
      <c r="P91" s="61" t="str">
        <f>IF(月途中入退所情報!$D41=$B$2,月途中入退所情報!G41,"-")</f>
        <v>-</v>
      </c>
      <c r="Q91" s="61" t="str">
        <f>IF(月途中入退所情報!$D41=$B$2,月途中入退所情報!H41,"-")</f>
        <v>-</v>
      </c>
      <c r="R91" s="61" t="str">
        <f>IF(月途中入退所情報!$D41=$B$2,月途中入退所情報!I41,"-")</f>
        <v>-</v>
      </c>
      <c r="S91" s="61" t="str">
        <f>IF(月途中入退所情報!$D41=$B$2,月途中入退所情報!J41,"-")</f>
        <v>-</v>
      </c>
      <c r="T91" s="84">
        <f>IF($Q91="標準時間",HLOOKUP($P91,$F$31:$I$54,24,FALSE)-SUM($F$10,$F$21:$F$24,$F$26)-HLOOKUP($P91,$F$31:$I$54,17,FALSE)+HLOOKUP($P91,$F$31:$I$56,26,FALSE),IF($Q91="短時間",HLOOKUP($P91,$J$31:$M$54,24,FALSE)-SUM($F$10,$F$21:$F$24,$F$26)-HLOOKUP($P91,$J$31:$M$54,17,FALSE)+HLOOKUP($P91,$J$31:$M$56,26,FALSE),0))+IF(R91="○",加算と減算!$AH$3,0)</f>
        <v>0</v>
      </c>
      <c r="U91" s="85">
        <f t="shared" si="55"/>
        <v>0</v>
      </c>
      <c r="V91" s="262">
        <f t="shared" si="58"/>
        <v>0</v>
      </c>
      <c r="W91" s="262"/>
      <c r="X91" s="61" t="str">
        <f>IF(月途中入退所情報!$N41=$B$2,月途中入退所情報!$P41,"-")</f>
        <v>-</v>
      </c>
      <c r="Y91" s="61" t="str">
        <f>IF(月途中入退所情報!$N41=$B$2,月途中入退所情報!$Q41,"-")</f>
        <v>-</v>
      </c>
      <c r="Z91" s="61" t="str">
        <f>IF(月途中入退所情報!$N41=$B$2,月途中入退所情報!$R41,"-")</f>
        <v>-</v>
      </c>
      <c r="AA91" s="61" t="str">
        <f>IF(月途中入退所情報!$N41=$B$2,月途中入退所情報!$S41,"-")</f>
        <v>-</v>
      </c>
      <c r="AB91" s="61" t="str">
        <f>IF(月途中入退所情報!$N41=$B$2,月途中入退所情報!$T41,"-")</f>
        <v>-</v>
      </c>
      <c r="AC91" s="84">
        <f>IF($Z91="標準時間",HLOOKUP($Y91,$F$31:$I$54,24,FALSE)-SUM($F$10,$F$21:$F$24,$F$26)-HLOOKUP($Y91,$F$31:$I$54,17,FALSE)+HLOOKUP($Y91,$F$31:$I$56,26,FALSE),IF($Z91="短時間",HLOOKUP($Y91,$J$31:$M$54,24,FALSE)-SUM($F$10,$F$21:$F$24,$F$26)-HLOOKUP($Y91,$J$31:$M$54,17,FALSE)+HLOOKUP($Y91,$J$31:$M$56,26,FALSE),0))+IF(AA91="○",加算と減算!$AH$3,0)</f>
        <v>0</v>
      </c>
      <c r="AD91" s="85">
        <f t="shared" si="56"/>
        <v>0</v>
      </c>
      <c r="AE91" s="262">
        <f t="shared" si="57"/>
        <v>0</v>
      </c>
    </row>
    <row r="92" spans="15:31">
      <c r="O92" s="61" t="str">
        <f>IF(月途中入退所情報!$D42=$B$2,月途中入退所情報!F42,"-")</f>
        <v>-</v>
      </c>
      <c r="P92" s="61" t="str">
        <f>IF(月途中入退所情報!$D42=$B$2,月途中入退所情報!G42,"-")</f>
        <v>-</v>
      </c>
      <c r="Q92" s="61" t="str">
        <f>IF(月途中入退所情報!$D42=$B$2,月途中入退所情報!H42,"-")</f>
        <v>-</v>
      </c>
      <c r="R92" s="61" t="str">
        <f>IF(月途中入退所情報!$D42=$B$2,月途中入退所情報!I42,"-")</f>
        <v>-</v>
      </c>
      <c r="S92" s="61" t="str">
        <f>IF(月途中入退所情報!$D42=$B$2,月途中入退所情報!J42,"-")</f>
        <v>-</v>
      </c>
      <c r="T92" s="84">
        <f>IF($Q92="標準時間",HLOOKUP($P92,$F$31:$I$54,24,FALSE)-SUM($F$10,$F$21:$F$24,$F$26)-HLOOKUP($P92,$F$31:$I$54,17,FALSE)+HLOOKUP($P92,$F$31:$I$56,26,FALSE),IF($Q92="短時間",HLOOKUP($P92,$J$31:$M$54,24,FALSE)-SUM($F$10,$F$21:$F$24,$F$26)-HLOOKUP($P92,$J$31:$M$54,17,FALSE)+HLOOKUP($P92,$J$31:$M$56,26,FALSE),0))+IF(R92="○",加算と減算!$AH$3,0)</f>
        <v>0</v>
      </c>
      <c r="U92" s="85">
        <f t="shared" si="55"/>
        <v>0</v>
      </c>
      <c r="V92" s="262">
        <f t="shared" si="58"/>
        <v>0</v>
      </c>
      <c r="W92" s="262"/>
      <c r="X92" s="61" t="str">
        <f>IF(月途中入退所情報!$N42=$B$2,月途中入退所情報!$P42,"-")</f>
        <v>-</v>
      </c>
      <c r="Y92" s="61" t="str">
        <f>IF(月途中入退所情報!$N42=$B$2,月途中入退所情報!$Q42,"-")</f>
        <v>-</v>
      </c>
      <c r="Z92" s="61" t="str">
        <f>IF(月途中入退所情報!$N42=$B$2,月途中入退所情報!$R42,"-")</f>
        <v>-</v>
      </c>
      <c r="AA92" s="61" t="str">
        <f>IF(月途中入退所情報!$N42=$B$2,月途中入退所情報!$S42,"-")</f>
        <v>-</v>
      </c>
      <c r="AB92" s="61" t="str">
        <f>IF(月途中入退所情報!$N42=$B$2,月途中入退所情報!$T42,"-")</f>
        <v>-</v>
      </c>
      <c r="AC92" s="84">
        <f>IF($Z92="標準時間",HLOOKUP($Y92,$F$31:$I$54,24,FALSE)-SUM($F$10,$F$21:$F$24,$F$26)-HLOOKUP($Y92,$F$31:$I$54,17,FALSE)+HLOOKUP($Y92,$F$31:$I$56,26,FALSE),IF($Z92="短時間",HLOOKUP($Y92,$J$31:$M$54,24,FALSE)-SUM($F$10,$F$21:$F$24,$F$26)-HLOOKUP($Y92,$J$31:$M$54,17,FALSE)+HLOOKUP($Y92,$J$31:$M$56,26,FALSE),0))+IF(AA92="○",加算と減算!$AH$3,0)</f>
        <v>0</v>
      </c>
      <c r="AD92" s="85">
        <f t="shared" si="56"/>
        <v>0</v>
      </c>
      <c r="AE92" s="262">
        <f t="shared" si="57"/>
        <v>0</v>
      </c>
    </row>
    <row r="93" spans="15:31">
      <c r="O93" s="61" t="str">
        <f>IF(月途中入退所情報!$D43=$B$2,月途中入退所情報!F43,"-")</f>
        <v>-</v>
      </c>
      <c r="P93" s="61" t="str">
        <f>IF(月途中入退所情報!$D43=$B$2,月途中入退所情報!G43,"-")</f>
        <v>-</v>
      </c>
      <c r="Q93" s="61" t="str">
        <f>IF(月途中入退所情報!$D43=$B$2,月途中入退所情報!H43,"-")</f>
        <v>-</v>
      </c>
      <c r="R93" s="61" t="str">
        <f>IF(月途中入退所情報!$D43=$B$2,月途中入退所情報!I43,"-")</f>
        <v>-</v>
      </c>
      <c r="S93" s="61" t="str">
        <f>IF(月途中入退所情報!$D43=$B$2,月途中入退所情報!J43,"-")</f>
        <v>-</v>
      </c>
      <c r="T93" s="84">
        <f>IF($Q93="標準時間",HLOOKUP($P93,$F$31:$I$54,24,FALSE)-SUM($F$10,$F$21:$F$24,$F$26)-HLOOKUP($P93,$F$31:$I$54,17,FALSE)+HLOOKUP($P93,$F$31:$I$56,26,FALSE),IF($Q93="短時間",HLOOKUP($P93,$J$31:$M$54,24,FALSE)-SUM($F$10,$F$21:$F$24,$F$26)-HLOOKUP($P93,$J$31:$M$54,17,FALSE)+HLOOKUP($P93,$J$31:$M$56,26,FALSE),0))+IF(R93="○",加算と減算!$AH$3,0)</f>
        <v>0</v>
      </c>
      <c r="U93" s="85">
        <f t="shared" si="55"/>
        <v>0</v>
      </c>
      <c r="V93" s="262">
        <f t="shared" si="58"/>
        <v>0</v>
      </c>
      <c r="W93" s="262"/>
      <c r="X93" s="61" t="str">
        <f>IF(月途中入退所情報!$N43=$B$2,月途中入退所情報!$P43,"-")</f>
        <v>-</v>
      </c>
      <c r="Y93" s="61" t="str">
        <f>IF(月途中入退所情報!$N43=$B$2,月途中入退所情報!$Q43,"-")</f>
        <v>-</v>
      </c>
      <c r="Z93" s="61" t="str">
        <f>IF(月途中入退所情報!$N43=$B$2,月途中入退所情報!$R43,"-")</f>
        <v>-</v>
      </c>
      <c r="AA93" s="61" t="str">
        <f>IF(月途中入退所情報!$N43=$B$2,月途中入退所情報!$S43,"-")</f>
        <v>-</v>
      </c>
      <c r="AB93" s="61" t="str">
        <f>IF(月途中入退所情報!$N43=$B$2,月途中入退所情報!$T43,"-")</f>
        <v>-</v>
      </c>
      <c r="AC93" s="84">
        <f>IF($Z93="標準時間",HLOOKUP($Y93,$F$31:$I$54,24,FALSE)-SUM($F$10,$F$21:$F$24,$F$26)-HLOOKUP($Y93,$F$31:$I$54,17,FALSE)+HLOOKUP($Y93,$F$31:$I$56,26,FALSE),IF($Z93="短時間",HLOOKUP($Y93,$J$31:$M$54,24,FALSE)-SUM($F$10,$F$21:$F$24,$F$26)-HLOOKUP($Y93,$J$31:$M$54,17,FALSE)+HLOOKUP($Y93,$J$31:$M$56,26,FALSE),0))+IF(AA93="○",加算と減算!$AH$3,0)</f>
        <v>0</v>
      </c>
      <c r="AD93" s="85">
        <f t="shared" si="56"/>
        <v>0</v>
      </c>
      <c r="AE93" s="262">
        <f t="shared" si="57"/>
        <v>0</v>
      </c>
    </row>
    <row r="94" spans="15:31">
      <c r="O94" s="61" t="str">
        <f>IF(月途中入退所情報!$D44=$B$2,月途中入退所情報!F44,"-")</f>
        <v>-</v>
      </c>
      <c r="P94" s="61" t="str">
        <f>IF(月途中入退所情報!$D44=$B$2,月途中入退所情報!G44,"-")</f>
        <v>-</v>
      </c>
      <c r="Q94" s="61" t="str">
        <f>IF(月途中入退所情報!$D44=$B$2,月途中入退所情報!H44,"-")</f>
        <v>-</v>
      </c>
      <c r="R94" s="61" t="str">
        <f>IF(月途中入退所情報!$D44=$B$2,月途中入退所情報!I44,"-")</f>
        <v>-</v>
      </c>
      <c r="S94" s="61" t="str">
        <f>IF(月途中入退所情報!$D44=$B$2,月途中入退所情報!J44,"-")</f>
        <v>-</v>
      </c>
      <c r="T94" s="84">
        <f>IF($Q94="標準時間",HLOOKUP($P94,$F$31:$I$54,24,FALSE)-SUM($F$10,$F$21:$F$24,$F$26)-HLOOKUP($P94,$F$31:$I$54,17,FALSE)+HLOOKUP($P94,$F$31:$I$56,26,FALSE),IF($Q94="短時間",HLOOKUP($P94,$J$31:$M$54,24,FALSE)-SUM($F$10,$F$21:$F$24,$F$26)-HLOOKUP($P94,$J$31:$M$54,17,FALSE)+HLOOKUP($P94,$J$31:$M$56,26,FALSE),0))+IF(R94="○",加算と減算!$AH$3,0)</f>
        <v>0</v>
      </c>
      <c r="U94" s="85">
        <f t="shared" si="55"/>
        <v>0</v>
      </c>
      <c r="V94" s="262">
        <f t="shared" si="58"/>
        <v>0</v>
      </c>
      <c r="W94" s="262"/>
      <c r="X94" s="61" t="str">
        <f>IF(月途中入退所情報!$N44=$B$2,月途中入退所情報!$P44,"-")</f>
        <v>-</v>
      </c>
      <c r="Y94" s="61" t="str">
        <f>IF(月途中入退所情報!$N44=$B$2,月途中入退所情報!$Q44,"-")</f>
        <v>-</v>
      </c>
      <c r="Z94" s="61" t="str">
        <f>IF(月途中入退所情報!$N44=$B$2,月途中入退所情報!$R44,"-")</f>
        <v>-</v>
      </c>
      <c r="AA94" s="61" t="str">
        <f>IF(月途中入退所情報!$N44=$B$2,月途中入退所情報!$S44,"-")</f>
        <v>-</v>
      </c>
      <c r="AB94" s="61" t="str">
        <f>IF(月途中入退所情報!$N44=$B$2,月途中入退所情報!$T44,"-")</f>
        <v>-</v>
      </c>
      <c r="AC94" s="84">
        <f>IF($Z94="標準時間",HLOOKUP($Y94,$F$31:$I$54,24,FALSE)-SUM($F$10,$F$21:$F$24,$F$26)-HLOOKUP($Y94,$F$31:$I$54,17,FALSE)+HLOOKUP($Y94,$F$31:$I$56,26,FALSE),IF($Z94="短時間",HLOOKUP($Y94,$J$31:$M$54,24,FALSE)-SUM($F$10,$F$21:$F$24,$F$26)-HLOOKUP($Y94,$J$31:$M$54,17,FALSE)+HLOOKUP($Y94,$J$31:$M$56,26,FALSE),0))+IF(AA94="○",加算と減算!$AH$3,0)</f>
        <v>0</v>
      </c>
      <c r="AD94" s="85">
        <f t="shared" si="56"/>
        <v>0</v>
      </c>
      <c r="AE94" s="262">
        <f t="shared" si="57"/>
        <v>0</v>
      </c>
    </row>
    <row r="95" spans="15:31">
      <c r="O95" s="61" t="str">
        <f>IF(月途中入退所情報!$D45=$B$2,月途中入退所情報!F45,"-")</f>
        <v>-</v>
      </c>
      <c r="P95" s="61" t="str">
        <f>IF(月途中入退所情報!$D45=$B$2,月途中入退所情報!G45,"-")</f>
        <v>-</v>
      </c>
      <c r="Q95" s="61" t="str">
        <f>IF(月途中入退所情報!$D45=$B$2,月途中入退所情報!H45,"-")</f>
        <v>-</v>
      </c>
      <c r="R95" s="61" t="str">
        <f>IF(月途中入退所情報!$D45=$B$2,月途中入退所情報!I45,"-")</f>
        <v>-</v>
      </c>
      <c r="S95" s="61" t="str">
        <f>IF(月途中入退所情報!$D45=$B$2,月途中入退所情報!J45,"-")</f>
        <v>-</v>
      </c>
      <c r="T95" s="84">
        <f>IF($Q95="標準時間",HLOOKUP($P95,$F$31:$I$54,24,FALSE)-SUM($F$10,$F$21:$F$24,$F$26)-HLOOKUP($P95,$F$31:$I$54,17,FALSE)+HLOOKUP($P95,$F$31:$I$56,26,FALSE),IF($Q95="短時間",HLOOKUP($P95,$J$31:$M$54,24,FALSE)-SUM($F$10,$F$21:$F$24,$F$26)-HLOOKUP($P95,$J$31:$M$54,17,FALSE)+HLOOKUP($P95,$J$31:$M$56,26,FALSE),0))+IF(R95="○",加算と減算!$AH$3,0)</f>
        <v>0</v>
      </c>
      <c r="U95" s="85">
        <f t="shared" si="55"/>
        <v>0</v>
      </c>
      <c r="V95" s="262">
        <f t="shared" si="58"/>
        <v>0</v>
      </c>
      <c r="W95" s="262"/>
      <c r="X95" s="61" t="str">
        <f>IF(月途中入退所情報!$N45=$B$2,月途中入退所情報!$P45,"-")</f>
        <v>-</v>
      </c>
      <c r="Y95" s="61" t="str">
        <f>IF(月途中入退所情報!$N45=$B$2,月途中入退所情報!$Q45,"-")</f>
        <v>-</v>
      </c>
      <c r="Z95" s="61" t="str">
        <f>IF(月途中入退所情報!$N45=$B$2,月途中入退所情報!$R45,"-")</f>
        <v>-</v>
      </c>
      <c r="AA95" s="61" t="str">
        <f>IF(月途中入退所情報!$N45=$B$2,月途中入退所情報!$S45,"-")</f>
        <v>-</v>
      </c>
      <c r="AB95" s="61" t="str">
        <f>IF(月途中入退所情報!$N45=$B$2,月途中入退所情報!$T45,"-")</f>
        <v>-</v>
      </c>
      <c r="AC95" s="84">
        <f>IF($Z95="標準時間",HLOOKUP($Y95,$F$31:$I$54,24,FALSE)-SUM($F$10,$F$21:$F$24,$F$26)-HLOOKUP($Y95,$F$31:$I$54,17,FALSE)+HLOOKUP($Y95,$F$31:$I$56,26,FALSE),IF($Z95="短時間",HLOOKUP($Y95,$J$31:$M$54,24,FALSE)-SUM($F$10,$F$21:$F$24,$F$26)-HLOOKUP($Y95,$J$31:$M$54,17,FALSE)+HLOOKUP($Y95,$J$31:$M$56,26,FALSE),0))+IF(AA95="○",加算と減算!$AH$3,0)</f>
        <v>0</v>
      </c>
      <c r="AD95" s="85">
        <f t="shared" si="56"/>
        <v>0</v>
      </c>
      <c r="AE95" s="262">
        <f t="shared" si="57"/>
        <v>0</v>
      </c>
    </row>
    <row r="96" spans="15:31">
      <c r="O96" s="61" t="str">
        <f>IF(月途中入退所情報!$D46=$B$2,月途中入退所情報!F46,"-")</f>
        <v>-</v>
      </c>
      <c r="P96" s="61" t="str">
        <f>IF(月途中入退所情報!$D46=$B$2,月途中入退所情報!G46,"-")</f>
        <v>-</v>
      </c>
      <c r="Q96" s="61" t="str">
        <f>IF(月途中入退所情報!$D46=$B$2,月途中入退所情報!H46,"-")</f>
        <v>-</v>
      </c>
      <c r="R96" s="61" t="str">
        <f>IF(月途中入退所情報!$D46=$B$2,月途中入退所情報!I46,"-")</f>
        <v>-</v>
      </c>
      <c r="S96" s="61" t="str">
        <f>IF(月途中入退所情報!$D46=$B$2,月途中入退所情報!J46,"-")</f>
        <v>-</v>
      </c>
      <c r="T96" s="84">
        <f>IF($Q96="標準時間",HLOOKUP($P96,$F$31:$I$54,24,FALSE)-SUM($F$10,$F$21:$F$24,$F$26)-HLOOKUP($P96,$F$31:$I$54,17,FALSE)+HLOOKUP($P96,$F$31:$I$56,26,FALSE),IF($Q96="短時間",HLOOKUP($P96,$J$31:$M$54,24,FALSE)-SUM($F$10,$F$21:$F$24,$F$26)-HLOOKUP($P96,$J$31:$M$54,17,FALSE)+HLOOKUP($P96,$J$31:$M$56,26,FALSE),0))+IF(R96="○",加算と減算!$AH$3,0)</f>
        <v>0</v>
      </c>
      <c r="U96" s="85">
        <f t="shared" si="55"/>
        <v>0</v>
      </c>
      <c r="V96" s="262">
        <f t="shared" si="58"/>
        <v>0</v>
      </c>
      <c r="W96" s="262"/>
      <c r="X96" s="61" t="str">
        <f>IF(月途中入退所情報!$N46=$B$2,月途中入退所情報!$P46,"-")</f>
        <v>-</v>
      </c>
      <c r="Y96" s="61" t="str">
        <f>IF(月途中入退所情報!$N46=$B$2,月途中入退所情報!$Q46,"-")</f>
        <v>-</v>
      </c>
      <c r="Z96" s="61" t="str">
        <f>IF(月途中入退所情報!$N46=$B$2,月途中入退所情報!$R46,"-")</f>
        <v>-</v>
      </c>
      <c r="AA96" s="61" t="str">
        <f>IF(月途中入退所情報!$N46=$B$2,月途中入退所情報!$S46,"-")</f>
        <v>-</v>
      </c>
      <c r="AB96" s="61" t="str">
        <f>IF(月途中入退所情報!$N46=$B$2,月途中入退所情報!$T46,"-")</f>
        <v>-</v>
      </c>
      <c r="AC96" s="84">
        <f>IF($Z96="標準時間",HLOOKUP($Y96,$F$31:$I$54,24,FALSE)-SUM($F$10,$F$21:$F$24,$F$26)-HLOOKUP($Y96,$F$31:$I$54,17,FALSE)+HLOOKUP($Y96,$F$31:$I$56,26,FALSE),IF($Z96="短時間",HLOOKUP($Y96,$J$31:$M$54,24,FALSE)-SUM($F$10,$F$21:$F$24,$F$26)-HLOOKUP($Y96,$J$31:$M$54,17,FALSE)+HLOOKUP($Y96,$J$31:$M$56,26,FALSE),0))+IF(AA96="○",加算と減算!$AH$3,0)</f>
        <v>0</v>
      </c>
      <c r="AD96" s="85">
        <f t="shared" si="56"/>
        <v>0</v>
      </c>
      <c r="AE96" s="262">
        <f t="shared" si="57"/>
        <v>0</v>
      </c>
    </row>
    <row r="97" spans="15:31">
      <c r="O97" s="61" t="str">
        <f>IF(月途中入退所情報!$D47=$B$2,月途中入退所情報!F47,"-")</f>
        <v>-</v>
      </c>
      <c r="P97" s="61" t="str">
        <f>IF(月途中入退所情報!$D47=$B$2,月途中入退所情報!G47,"-")</f>
        <v>-</v>
      </c>
      <c r="Q97" s="61" t="str">
        <f>IF(月途中入退所情報!$D47=$B$2,月途中入退所情報!H47,"-")</f>
        <v>-</v>
      </c>
      <c r="R97" s="61" t="str">
        <f>IF(月途中入退所情報!$D47=$B$2,月途中入退所情報!I47,"-")</f>
        <v>-</v>
      </c>
      <c r="S97" s="61" t="str">
        <f>IF(月途中入退所情報!$D47=$B$2,月途中入退所情報!J47,"-")</f>
        <v>-</v>
      </c>
      <c r="T97" s="84">
        <f>IF($Q97="標準時間",HLOOKUP($P97,$F$31:$I$54,24,FALSE)-SUM($F$10,$F$21:$F$24,$F$26)-HLOOKUP($P97,$F$31:$I$54,17,FALSE)+HLOOKUP($P97,$F$31:$I$56,26,FALSE),IF($Q97="短時間",HLOOKUP($P97,$J$31:$M$54,24,FALSE)-SUM($F$10,$F$21:$F$24,$F$26)-HLOOKUP($P97,$J$31:$M$54,17,FALSE)+HLOOKUP($P97,$J$31:$M$56,26,FALSE),0))+IF(R97="○",加算と減算!$AH$3,0)</f>
        <v>0</v>
      </c>
      <c r="U97" s="85">
        <f t="shared" si="55"/>
        <v>0</v>
      </c>
      <c r="V97" s="262">
        <f t="shared" si="58"/>
        <v>0</v>
      </c>
      <c r="W97" s="262"/>
      <c r="X97" s="61" t="str">
        <f>IF(月途中入退所情報!$N47=$B$2,月途中入退所情報!$P47,"-")</f>
        <v>-</v>
      </c>
      <c r="Y97" s="61" t="str">
        <f>IF(月途中入退所情報!$N47=$B$2,月途中入退所情報!$Q47,"-")</f>
        <v>-</v>
      </c>
      <c r="Z97" s="61" t="str">
        <f>IF(月途中入退所情報!$N47=$B$2,月途中入退所情報!$R47,"-")</f>
        <v>-</v>
      </c>
      <c r="AA97" s="61" t="str">
        <f>IF(月途中入退所情報!$N47=$B$2,月途中入退所情報!$S47,"-")</f>
        <v>-</v>
      </c>
      <c r="AB97" s="61" t="str">
        <f>IF(月途中入退所情報!$N47=$B$2,月途中入退所情報!$T47,"-")</f>
        <v>-</v>
      </c>
      <c r="AC97" s="84">
        <f>IF($Z97="標準時間",HLOOKUP($Y97,$F$31:$I$54,24,FALSE)-SUM($F$10,$F$21:$F$24,$F$26)-HLOOKUP($Y97,$F$31:$I$54,17,FALSE)+HLOOKUP($Y97,$F$31:$I$56,26,FALSE),IF($Z97="短時間",HLOOKUP($Y97,$J$31:$M$54,24,FALSE)-SUM($F$10,$F$21:$F$24,$F$26)-HLOOKUP($Y97,$J$31:$M$54,17,FALSE)+HLOOKUP($Y97,$J$31:$M$56,26,FALSE),0))+IF(AA97="○",加算と減算!$AH$3,0)</f>
        <v>0</v>
      </c>
      <c r="AD97" s="85">
        <f t="shared" si="56"/>
        <v>0</v>
      </c>
      <c r="AE97" s="262">
        <f t="shared" si="57"/>
        <v>0</v>
      </c>
    </row>
    <row r="98" spans="15:31">
      <c r="O98" s="61" t="str">
        <f>IF(月途中入退所情報!$D48=$B$2,月途中入退所情報!F48,"-")</f>
        <v>-</v>
      </c>
      <c r="P98" s="61" t="str">
        <f>IF(月途中入退所情報!$D48=$B$2,月途中入退所情報!G48,"-")</f>
        <v>-</v>
      </c>
      <c r="Q98" s="61" t="str">
        <f>IF(月途中入退所情報!$D48=$B$2,月途中入退所情報!H48,"-")</f>
        <v>-</v>
      </c>
      <c r="R98" s="61" t="str">
        <f>IF(月途中入退所情報!$D48=$B$2,月途中入退所情報!I48,"-")</f>
        <v>-</v>
      </c>
      <c r="S98" s="61" t="str">
        <f>IF(月途中入退所情報!$D48=$B$2,月途中入退所情報!J48,"-")</f>
        <v>-</v>
      </c>
      <c r="T98" s="84">
        <f>IF($Q98="標準時間",HLOOKUP($P98,$F$31:$I$54,24,FALSE)-SUM($F$10,$F$21:$F$24,$F$26)-HLOOKUP($P98,$F$31:$I$54,17,FALSE)+HLOOKUP($P98,$F$31:$I$56,26,FALSE),IF($Q98="短時間",HLOOKUP($P98,$J$31:$M$54,24,FALSE)-SUM($F$10,$F$21:$F$24,$F$26)-HLOOKUP($P98,$J$31:$M$54,17,FALSE)+HLOOKUP($P98,$J$31:$M$56,26,FALSE),0))+IF(R98="○",加算と減算!$AH$3,0)</f>
        <v>0</v>
      </c>
      <c r="U98" s="85">
        <f t="shared" si="55"/>
        <v>0</v>
      </c>
      <c r="V98" s="262">
        <f t="shared" si="58"/>
        <v>0</v>
      </c>
      <c r="W98" s="262"/>
      <c r="X98" s="61" t="str">
        <f>IF(月途中入退所情報!$N48=$B$2,月途中入退所情報!$P48,"-")</f>
        <v>-</v>
      </c>
      <c r="Y98" s="61" t="str">
        <f>IF(月途中入退所情報!$N48=$B$2,月途中入退所情報!$Q48,"-")</f>
        <v>-</v>
      </c>
      <c r="Z98" s="61" t="str">
        <f>IF(月途中入退所情報!$N48=$B$2,月途中入退所情報!$R48,"-")</f>
        <v>-</v>
      </c>
      <c r="AA98" s="61" t="str">
        <f>IF(月途中入退所情報!$N48=$B$2,月途中入退所情報!$S48,"-")</f>
        <v>-</v>
      </c>
      <c r="AB98" s="61" t="str">
        <f>IF(月途中入退所情報!$N48=$B$2,月途中入退所情報!$T48,"-")</f>
        <v>-</v>
      </c>
      <c r="AC98" s="84">
        <f>IF($Z98="標準時間",HLOOKUP($Y98,$F$31:$I$54,24,FALSE)-SUM($F$10,$F$21:$F$24,$F$26)-HLOOKUP($Y98,$F$31:$I$54,17,FALSE)+HLOOKUP($Y98,$F$31:$I$56,26,FALSE),IF($Z98="短時間",HLOOKUP($Y98,$J$31:$M$54,24,FALSE)-SUM($F$10,$F$21:$F$24,$F$26)-HLOOKUP($Y98,$J$31:$M$54,17,FALSE)+HLOOKUP($Y98,$J$31:$M$56,26,FALSE),0))+IF(AA98="○",加算と減算!$AH$3,0)</f>
        <v>0</v>
      </c>
      <c r="AD98" s="85">
        <f t="shared" si="56"/>
        <v>0</v>
      </c>
      <c r="AE98" s="262">
        <f t="shared" si="57"/>
        <v>0</v>
      </c>
    </row>
    <row r="99" spans="15:31">
      <c r="O99" s="61" t="str">
        <f>IF(月途中入退所情報!$D49=$B$2,月途中入退所情報!F49,"-")</f>
        <v>-</v>
      </c>
      <c r="P99" s="61" t="str">
        <f>IF(月途中入退所情報!$D49=$B$2,月途中入退所情報!G49,"-")</f>
        <v>-</v>
      </c>
      <c r="Q99" s="61" t="str">
        <f>IF(月途中入退所情報!$D49=$B$2,月途中入退所情報!H49,"-")</f>
        <v>-</v>
      </c>
      <c r="R99" s="61" t="str">
        <f>IF(月途中入退所情報!$D49=$B$2,月途中入退所情報!I49,"-")</f>
        <v>-</v>
      </c>
      <c r="S99" s="61" t="str">
        <f>IF(月途中入退所情報!$D49=$B$2,月途中入退所情報!J49,"-")</f>
        <v>-</v>
      </c>
      <c r="T99" s="84">
        <f>IF($Q99="標準時間",HLOOKUP($P99,$F$31:$I$54,24,FALSE)-SUM($F$10,$F$21:$F$24,$F$26)-HLOOKUP($P99,$F$31:$I$54,17,FALSE)+HLOOKUP($P99,$F$31:$I$56,26,FALSE),IF($Q99="短時間",HLOOKUP($P99,$J$31:$M$54,24,FALSE)-SUM($F$10,$F$21:$F$24,$F$26)-HLOOKUP($P99,$J$31:$M$54,17,FALSE)+HLOOKUP($P99,$J$31:$M$56,26,FALSE),0))+IF(R99="○",加算と減算!$AH$3,0)</f>
        <v>0</v>
      </c>
      <c r="U99" s="85">
        <f t="shared" si="55"/>
        <v>0</v>
      </c>
      <c r="V99" s="262">
        <f t="shared" si="58"/>
        <v>0</v>
      </c>
      <c r="W99" s="262"/>
      <c r="X99" s="61" t="str">
        <f>IF(月途中入退所情報!$N49=$B$2,月途中入退所情報!$P49,"-")</f>
        <v>-</v>
      </c>
      <c r="Y99" s="61" t="str">
        <f>IF(月途中入退所情報!$N49=$B$2,月途中入退所情報!$Q49,"-")</f>
        <v>-</v>
      </c>
      <c r="Z99" s="61" t="str">
        <f>IF(月途中入退所情報!$N49=$B$2,月途中入退所情報!$R49,"-")</f>
        <v>-</v>
      </c>
      <c r="AA99" s="61" t="str">
        <f>IF(月途中入退所情報!$N49=$B$2,月途中入退所情報!$S49,"-")</f>
        <v>-</v>
      </c>
      <c r="AB99" s="61" t="str">
        <f>IF(月途中入退所情報!$N49=$B$2,月途中入退所情報!$T49,"-")</f>
        <v>-</v>
      </c>
      <c r="AC99" s="84">
        <f>IF($Z99="標準時間",HLOOKUP($Y99,$F$31:$I$54,24,FALSE)-SUM($F$10,$F$21:$F$24,$F$26)-HLOOKUP($Y99,$F$31:$I$54,17,FALSE)+HLOOKUP($Y99,$F$31:$I$56,26,FALSE),IF($Z99="短時間",HLOOKUP($Y99,$J$31:$M$54,24,FALSE)-SUM($F$10,$F$21:$F$24,$F$26)-HLOOKUP($Y99,$J$31:$M$54,17,FALSE)+HLOOKUP($Y99,$J$31:$M$56,26,FALSE),0))+IF(AA99="○",加算と減算!$AH$3,0)</f>
        <v>0</v>
      </c>
      <c r="AD99" s="85">
        <f t="shared" si="56"/>
        <v>0</v>
      </c>
      <c r="AE99" s="262">
        <f t="shared" si="57"/>
        <v>0</v>
      </c>
    </row>
    <row r="100" spans="15:31">
      <c r="O100" s="61" t="str">
        <f>IF(月途中入退所情報!$D50=$B$2,月途中入退所情報!F50,"-")</f>
        <v>-</v>
      </c>
      <c r="P100" s="61" t="str">
        <f>IF(月途中入退所情報!$D50=$B$2,月途中入退所情報!G50,"-")</f>
        <v>-</v>
      </c>
      <c r="Q100" s="61" t="str">
        <f>IF(月途中入退所情報!$D50=$B$2,月途中入退所情報!H50,"-")</f>
        <v>-</v>
      </c>
      <c r="R100" s="61" t="str">
        <f>IF(月途中入退所情報!$D50=$B$2,月途中入退所情報!I50,"-")</f>
        <v>-</v>
      </c>
      <c r="S100" s="61" t="str">
        <f>IF(月途中入退所情報!$D50=$B$2,月途中入退所情報!J50,"-")</f>
        <v>-</v>
      </c>
      <c r="T100" s="84">
        <f>IF($Q100="標準時間",HLOOKUP($P100,$F$31:$I$54,24,FALSE)-SUM($F$10,$F$21:$F$24,$F$26)-HLOOKUP($P100,$F$31:$I$54,17,FALSE)+HLOOKUP($P100,$F$31:$I$56,26,FALSE),IF($Q100="短時間",HLOOKUP($P100,$J$31:$M$54,24,FALSE)-SUM($F$10,$F$21:$F$24,$F$26)-HLOOKUP($P100,$J$31:$M$54,17,FALSE)+HLOOKUP($P100,$J$31:$M$56,26,FALSE),0))+IF(R100="○",加算と減算!$AH$3,0)</f>
        <v>0</v>
      </c>
      <c r="U100" s="85">
        <f t="shared" si="55"/>
        <v>0</v>
      </c>
      <c r="V100" s="262">
        <f t="shared" si="58"/>
        <v>0</v>
      </c>
      <c r="W100" s="262"/>
      <c r="X100" s="61" t="str">
        <f>IF(月途中入退所情報!$N50=$B$2,月途中入退所情報!$P50,"-")</f>
        <v>-</v>
      </c>
      <c r="Y100" s="61" t="str">
        <f>IF(月途中入退所情報!$N50=$B$2,月途中入退所情報!$Q50,"-")</f>
        <v>-</v>
      </c>
      <c r="Z100" s="61" t="str">
        <f>IF(月途中入退所情報!$N50=$B$2,月途中入退所情報!$R50,"-")</f>
        <v>-</v>
      </c>
      <c r="AA100" s="61" t="str">
        <f>IF(月途中入退所情報!$N50=$B$2,月途中入退所情報!$S50,"-")</f>
        <v>-</v>
      </c>
      <c r="AB100" s="61" t="str">
        <f>IF(月途中入退所情報!$N50=$B$2,月途中入退所情報!$T50,"-")</f>
        <v>-</v>
      </c>
      <c r="AC100" s="84">
        <f>IF($Z100="標準時間",HLOOKUP($Y100,$F$31:$I$54,24,FALSE)-SUM($F$10,$F$21:$F$24,$F$26)-HLOOKUP($Y100,$F$31:$I$54,17,FALSE)+HLOOKUP($Y100,$F$31:$I$56,26,FALSE),IF($Z100="短時間",HLOOKUP($Y100,$J$31:$M$54,24,FALSE)-SUM($F$10,$F$21:$F$24,$F$26)-HLOOKUP($Y100,$J$31:$M$54,17,FALSE)+HLOOKUP($Y100,$J$31:$M$56,26,FALSE),0))+IF(AA100="○",加算と減算!$AH$3,0)</f>
        <v>0</v>
      </c>
      <c r="AD100" s="85">
        <f t="shared" si="56"/>
        <v>0</v>
      </c>
      <c r="AE100" s="262">
        <f t="shared" si="57"/>
        <v>0</v>
      </c>
    </row>
    <row r="101" spans="15:31">
      <c r="T101" s="86" t="s">
        <v>36</v>
      </c>
      <c r="U101" s="85">
        <f>SUM(U81:U100)</f>
        <v>0</v>
      </c>
      <c r="V101" s="262">
        <f>SUM(V81:V100)</f>
        <v>0</v>
      </c>
      <c r="W101" s="262"/>
      <c r="AC101" s="86" t="s">
        <v>36</v>
      </c>
      <c r="AD101" s="85">
        <f>SUM(AD81:AD100)</f>
        <v>0</v>
      </c>
      <c r="AE101" s="264">
        <f>SUM(AE81:AE100)</f>
        <v>0</v>
      </c>
    </row>
  </sheetData>
  <sheetProtection algorithmName="SHA-512" hashValue="MUoXyeAzTbGB/bTXRRsoYQaHA9YTOU6M9TMqGyda+TWOPSuUcBgDjTAuqU7zSBzAzoPicfajRESkglk0fFZZ3g==" saltValue="YVNjrpGh74+iqyRZT3IXHg==" spinCount="100000" sheet="1" objects="1" scenarios="1"/>
  <mergeCells count="89">
    <mergeCell ref="B2:D2"/>
    <mergeCell ref="B4:B27"/>
    <mergeCell ref="C4:D5"/>
    <mergeCell ref="E4:E5"/>
    <mergeCell ref="F4:I4"/>
    <mergeCell ref="C17:C20"/>
    <mergeCell ref="C21:C26"/>
    <mergeCell ref="D15:D16"/>
    <mergeCell ref="D17:D18"/>
    <mergeCell ref="C8:C16"/>
    <mergeCell ref="U4:X4"/>
    <mergeCell ref="Y4:Y5"/>
    <mergeCell ref="C6:D7"/>
    <mergeCell ref="D8:D9"/>
    <mergeCell ref="D11:D12"/>
    <mergeCell ref="J4:M4"/>
    <mergeCell ref="O4:O11"/>
    <mergeCell ref="P4:P5"/>
    <mergeCell ref="Q4:T4"/>
    <mergeCell ref="O13:O20"/>
    <mergeCell ref="P13:P14"/>
    <mergeCell ref="Q13:T13"/>
    <mergeCell ref="U13:X13"/>
    <mergeCell ref="Y13:Y14"/>
    <mergeCell ref="O22:O28"/>
    <mergeCell ref="T22:T28"/>
    <mergeCell ref="C27:D27"/>
    <mergeCell ref="B30:B54"/>
    <mergeCell ref="C30:D31"/>
    <mergeCell ref="E30:E31"/>
    <mergeCell ref="F30:I30"/>
    <mergeCell ref="J30:M30"/>
    <mergeCell ref="O30:O37"/>
    <mergeCell ref="P30:P31"/>
    <mergeCell ref="Q30:T30"/>
    <mergeCell ref="C48:C53"/>
    <mergeCell ref="O48:O54"/>
    <mergeCell ref="T48:T54"/>
    <mergeCell ref="U30:X30"/>
    <mergeCell ref="Y30:Y31"/>
    <mergeCell ref="C32:D33"/>
    <mergeCell ref="C34:C42"/>
    <mergeCell ref="D34:D35"/>
    <mergeCell ref="D37:D38"/>
    <mergeCell ref="O39:O46"/>
    <mergeCell ref="P39:P40"/>
    <mergeCell ref="Q39:T39"/>
    <mergeCell ref="Y39:Y40"/>
    <mergeCell ref="D41:D42"/>
    <mergeCell ref="C43:C47"/>
    <mergeCell ref="D44:D45"/>
    <mergeCell ref="U39:X39"/>
    <mergeCell ref="O79:P79"/>
    <mergeCell ref="X48:Y48"/>
    <mergeCell ref="C54:D54"/>
    <mergeCell ref="O56:P56"/>
    <mergeCell ref="X56:Y56"/>
    <mergeCell ref="F59:I59"/>
    <mergeCell ref="J59:M59"/>
    <mergeCell ref="D61:D62"/>
    <mergeCell ref="D65:D66"/>
    <mergeCell ref="D68:E69"/>
    <mergeCell ref="F69:M69"/>
    <mergeCell ref="AM4:AM27"/>
    <mergeCell ref="AN4:AO5"/>
    <mergeCell ref="AP4:AP5"/>
    <mergeCell ref="AN6:AO7"/>
    <mergeCell ref="AN8:AN16"/>
    <mergeCell ref="AO8:AO9"/>
    <mergeCell ref="AO11:AO12"/>
    <mergeCell ref="AO15:AO16"/>
    <mergeCell ref="AN17:AN20"/>
    <mergeCell ref="AO17:AO18"/>
    <mergeCell ref="AN21:AN26"/>
    <mergeCell ref="AN27:AO27"/>
    <mergeCell ref="AN55:AO55"/>
    <mergeCell ref="AN28:AO28"/>
    <mergeCell ref="AM30:AM54"/>
    <mergeCell ref="AN30:AO31"/>
    <mergeCell ref="AP30:AP31"/>
    <mergeCell ref="AN32:AO33"/>
    <mergeCell ref="AN34:AN42"/>
    <mergeCell ref="AO34:AO35"/>
    <mergeCell ref="AO37:AO38"/>
    <mergeCell ref="AO41:AO42"/>
    <mergeCell ref="AN43:AN47"/>
    <mergeCell ref="AO44:AO45"/>
    <mergeCell ref="AN48:AN53"/>
    <mergeCell ref="AN54:AO54"/>
  </mergeCells>
  <phoneticPr fontId="2"/>
  <pageMargins left="0.7" right="0.7" top="0.75" bottom="0.75" header="0.3" footer="0.3"/>
  <pageSetup paperSize="9"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3707-954F-4BEB-9F01-148C59999A89}">
  <sheetPr>
    <tabColor theme="1"/>
  </sheetPr>
  <dimension ref="B1:AQ101"/>
  <sheetViews>
    <sheetView view="pageBreakPreview" zoomScale="85" zoomScaleNormal="55" zoomScaleSheetLayoutView="85" workbookViewId="0">
      <pane ySplit="5" topLeftCell="A6" activePane="bottomLeft" state="frozen"/>
      <selection activeCell="V65" sqref="V65"/>
      <selection pane="bottomLeft" activeCell="A6" sqref="A6"/>
    </sheetView>
  </sheetViews>
  <sheetFormatPr defaultColWidth="8.75" defaultRowHeight="15"/>
  <cols>
    <col min="1" max="1" width="1" style="2" customWidth="1"/>
    <col min="2" max="3" width="2.75" style="2" customWidth="1"/>
    <col min="4" max="4" width="16.5" style="1" customWidth="1"/>
    <col min="5" max="5" width="8.25" style="57" customWidth="1"/>
    <col min="6" max="13" width="7.25" style="2" customWidth="1"/>
    <col min="14" max="14" width="1" style="2" customWidth="1"/>
    <col min="15" max="16" width="8.625" style="2" customWidth="1"/>
    <col min="17" max="25" width="9.75" style="2" customWidth="1"/>
    <col min="26" max="27" width="8.75" style="2" customWidth="1"/>
    <col min="28" max="31" width="8.875" style="2" customWidth="1"/>
    <col min="32" max="38" width="8.75" style="2"/>
    <col min="39" max="40" width="3.875" style="2" bestFit="1" customWidth="1"/>
    <col min="41" max="41" width="16.5" style="2" bestFit="1" customWidth="1"/>
    <col min="42" max="42" width="8.75" style="2"/>
    <col min="43" max="43" width="9.375" style="264" bestFit="1" customWidth="1"/>
    <col min="44" max="16384" width="8.75" style="2"/>
  </cols>
  <sheetData>
    <row r="1" spans="2:43" ht="4.9000000000000004" customHeight="1" thickBot="1">
      <c r="F1" s="57"/>
      <c r="G1" s="57"/>
      <c r="H1" s="57"/>
      <c r="I1" s="57"/>
      <c r="J1" s="57"/>
      <c r="K1" s="57"/>
      <c r="L1" s="57"/>
      <c r="M1" s="57"/>
    </row>
    <row r="2" spans="2:43" ht="15.75" thickBot="1">
      <c r="B2" s="1450">
        <v>11</v>
      </c>
      <c r="C2" s="1451"/>
      <c r="D2" s="1452"/>
      <c r="E2" s="2"/>
      <c r="F2" s="55" t="s">
        <v>183</v>
      </c>
      <c r="G2" s="72">
        <f>児童数!O15</f>
        <v>0</v>
      </c>
      <c r="H2" s="73" t="s">
        <v>184</v>
      </c>
      <c r="I2" s="72">
        <f>児童数!AB15</f>
        <v>0</v>
      </c>
      <c r="J2" s="73" t="s">
        <v>182</v>
      </c>
      <c r="K2" s="72">
        <f>G2+I2</f>
        <v>0</v>
      </c>
      <c r="L2" s="62"/>
      <c r="N2" s="1"/>
      <c r="O2" s="55" t="s">
        <v>192</v>
      </c>
      <c r="P2" s="78">
        <f>IF(基本情報!E5="",0,基本情報!G10)</f>
        <v>0</v>
      </c>
      <c r="Q2" s="77" t="s">
        <v>11</v>
      </c>
      <c r="R2" s="55" t="s">
        <v>202</v>
      </c>
      <c r="S2" s="257">
        <f>IF(基本情報!E12="１日",単価表!BB11,IF(基本情報!E12="２日",単価表!BC11,IF(基本情報!E12="３日",単価表!BD11,IF(基本情報!E12="全て",単価表!BE11,0))))*100</f>
        <v>0</v>
      </c>
      <c r="T2" s="258">
        <f>IF(基本情報!E12="１日",単価表!BB27,IF(基本情報!E12="２日",単価表!BC27,IF(基本情報!E12="３日",単価表!BD27,IF(基本情報!E12="全て",単価表!BE27,0))))*100</f>
        <v>0</v>
      </c>
      <c r="U2" s="55" t="s">
        <v>198</v>
      </c>
      <c r="V2" s="257">
        <f>IF(基本情報!E14="該当",定員超過減算率!C2,0)</f>
        <v>0</v>
      </c>
      <c r="W2" s="258">
        <f>IF(基本情報!E14="該当",定員超過減算率!C3,0)</f>
        <v>0</v>
      </c>
      <c r="X2" s="55"/>
      <c r="Y2" s="55"/>
      <c r="AC2" s="1" t="s">
        <v>206</v>
      </c>
      <c r="AD2" s="1" t="s">
        <v>207</v>
      </c>
    </row>
    <row r="3" spans="2:43" ht="6" customHeight="1">
      <c r="K3" s="1"/>
    </row>
    <row r="4" spans="2:43" ht="15" customHeight="1">
      <c r="B4" s="1426" t="s">
        <v>181</v>
      </c>
      <c r="C4" s="1429"/>
      <c r="D4" s="1429"/>
      <c r="E4" s="1416" t="s">
        <v>172</v>
      </c>
      <c r="F4" s="1418" t="s">
        <v>15</v>
      </c>
      <c r="G4" s="1418"/>
      <c r="H4" s="1418"/>
      <c r="I4" s="1418"/>
      <c r="J4" s="1418" t="s">
        <v>16</v>
      </c>
      <c r="K4" s="1418"/>
      <c r="L4" s="1418"/>
      <c r="M4" s="1418"/>
      <c r="O4" s="1449" t="s">
        <v>40</v>
      </c>
      <c r="P4" s="1446" t="s">
        <v>171</v>
      </c>
      <c r="Q4" s="1440" t="s">
        <v>15</v>
      </c>
      <c r="R4" s="1440"/>
      <c r="S4" s="1440"/>
      <c r="T4" s="1440"/>
      <c r="U4" s="1440" t="s">
        <v>16</v>
      </c>
      <c r="V4" s="1440"/>
      <c r="W4" s="1440"/>
      <c r="X4" s="1440"/>
      <c r="Y4" s="1441" t="s">
        <v>177</v>
      </c>
      <c r="Z4" s="11"/>
      <c r="AA4" s="1"/>
      <c r="AM4" s="1426" t="s">
        <v>181</v>
      </c>
      <c r="AN4" s="1429"/>
      <c r="AO4" s="1429"/>
      <c r="AP4" s="1416" t="s">
        <v>172</v>
      </c>
      <c r="AQ4" s="85"/>
    </row>
    <row r="5" spans="2:43" s="1" customFormat="1">
      <c r="B5" s="1427"/>
      <c r="C5" s="1429"/>
      <c r="D5" s="1429"/>
      <c r="E5" s="1417"/>
      <c r="F5" s="370" t="s">
        <v>6</v>
      </c>
      <c r="G5" s="370" t="s">
        <v>7</v>
      </c>
      <c r="H5" s="370" t="s">
        <v>8</v>
      </c>
      <c r="I5" s="370" t="s">
        <v>9</v>
      </c>
      <c r="J5" s="370" t="s">
        <v>6</v>
      </c>
      <c r="K5" s="370" t="s">
        <v>7</v>
      </c>
      <c r="L5" s="370" t="s">
        <v>8</v>
      </c>
      <c r="M5" s="370" t="s">
        <v>9</v>
      </c>
      <c r="O5" s="1444"/>
      <c r="P5" s="1446"/>
      <c r="Q5" s="368" t="s">
        <v>6</v>
      </c>
      <c r="R5" s="368" t="s">
        <v>7</v>
      </c>
      <c r="S5" s="368" t="s">
        <v>8</v>
      </c>
      <c r="T5" s="368" t="s">
        <v>9</v>
      </c>
      <c r="U5" s="368" t="s">
        <v>6</v>
      </c>
      <c r="V5" s="368" t="s">
        <v>7</v>
      </c>
      <c r="W5" s="368" t="s">
        <v>8</v>
      </c>
      <c r="X5" s="368" t="s">
        <v>9</v>
      </c>
      <c r="Y5" s="1442"/>
      <c r="Z5" s="11"/>
      <c r="AC5" s="1" t="s">
        <v>6</v>
      </c>
      <c r="AD5" s="1" t="s">
        <v>212</v>
      </c>
      <c r="AM5" s="1427"/>
      <c r="AN5" s="1429"/>
      <c r="AO5" s="1429"/>
      <c r="AP5" s="1417"/>
      <c r="AQ5" s="85"/>
    </row>
    <row r="6" spans="2:43" s="1" customFormat="1">
      <c r="B6" s="1427"/>
      <c r="C6" s="1418" t="s">
        <v>17</v>
      </c>
      <c r="D6" s="1418"/>
      <c r="E6" s="53" t="s">
        <v>169</v>
      </c>
      <c r="F6" s="3" t="e">
        <f>単価表!AV7</f>
        <v>#VALUE!</v>
      </c>
      <c r="G6" s="3" t="e">
        <f>単価表!AV9</f>
        <v>#VALUE!</v>
      </c>
      <c r="H6" s="3" t="e">
        <f>単価表!AV11</f>
        <v>#VALUE!</v>
      </c>
      <c r="I6" s="3" t="e">
        <f>単価表!AV13</f>
        <v>#VALUE!</v>
      </c>
      <c r="J6" s="3" t="e">
        <f>単価表!AW7</f>
        <v>#VALUE!</v>
      </c>
      <c r="K6" s="3" t="e">
        <f>単価表!AW9</f>
        <v>#VALUE!</v>
      </c>
      <c r="L6" s="3" t="e">
        <f>単価表!AW11</f>
        <v>#VALUE!</v>
      </c>
      <c r="M6" s="3" t="e">
        <f>単価表!AW13</f>
        <v>#VALUE!</v>
      </c>
      <c r="O6" s="1444"/>
      <c r="P6" s="630">
        <f>基本情報!E17</f>
        <v>0</v>
      </c>
      <c r="Q6" s="3">
        <f>児童数!E29</f>
        <v>0</v>
      </c>
      <c r="R6" s="3">
        <f>児童数!F29</f>
        <v>0</v>
      </c>
      <c r="S6" s="3">
        <f>児童数!G29</f>
        <v>0</v>
      </c>
      <c r="T6" s="3">
        <f>児童数!H29</f>
        <v>0</v>
      </c>
      <c r="U6" s="3">
        <f>児童数!J29</f>
        <v>0</v>
      </c>
      <c r="V6" s="3">
        <f>児童数!K29</f>
        <v>0</v>
      </c>
      <c r="W6" s="3">
        <f>児童数!L29</f>
        <v>0</v>
      </c>
      <c r="X6" s="3">
        <f>児童数!M29</f>
        <v>0</v>
      </c>
      <c r="Y6" s="64">
        <f>SUM(Q6:X6)</f>
        <v>0</v>
      </c>
      <c r="Z6" s="2"/>
      <c r="AC6" s="1" t="s">
        <v>7</v>
      </c>
      <c r="AD6" s="1" t="s">
        <v>16</v>
      </c>
      <c r="AM6" s="1427"/>
      <c r="AN6" s="1418" t="s">
        <v>17</v>
      </c>
      <c r="AO6" s="1418"/>
      <c r="AP6" s="53" t="s">
        <v>169</v>
      </c>
      <c r="AQ6" s="85" t="e">
        <f>SUMPRODUCT(F6:M6,$Q$11:$X$11)</f>
        <v>#VALUE!</v>
      </c>
    </row>
    <row r="7" spans="2:43" s="1" customFormat="1">
      <c r="B7" s="1427"/>
      <c r="C7" s="1418"/>
      <c r="D7" s="1418"/>
      <c r="E7" s="53" t="s">
        <v>167</v>
      </c>
      <c r="F7" s="3" t="e">
        <f>単価表!AX7*基本情報!G7</f>
        <v>#VALUE!</v>
      </c>
      <c r="G7" s="3" t="e">
        <f>単価表!AX9*基本情報!G7</f>
        <v>#VALUE!</v>
      </c>
      <c r="H7" s="3" t="e">
        <f>単価表!AX11*基本情報!G7</f>
        <v>#VALUE!</v>
      </c>
      <c r="I7" s="3" t="e">
        <f>単価表!AX13*基本情報!G7</f>
        <v>#VALUE!</v>
      </c>
      <c r="J7" s="3" t="e">
        <f>単価表!AY7*基本情報!G7</f>
        <v>#VALUE!</v>
      </c>
      <c r="K7" s="3" t="e">
        <f>単価表!AY9*基本情報!G7</f>
        <v>#VALUE!</v>
      </c>
      <c r="L7" s="3" t="e">
        <f>単価表!AY11*基本情報!G7</f>
        <v>#VALUE!</v>
      </c>
      <c r="M7" s="3" t="e">
        <f>単価表!AY13*基本情報!G7</f>
        <v>#VALUE!</v>
      </c>
      <c r="O7" s="1444"/>
      <c r="P7" s="631">
        <f>基本情報!E18</f>
        <v>0</v>
      </c>
      <c r="Q7" s="3">
        <f>児童数!E43</f>
        <v>0</v>
      </c>
      <c r="R7" s="3">
        <f>児童数!F43</f>
        <v>0</v>
      </c>
      <c r="S7" s="3">
        <f>児童数!G43</f>
        <v>0</v>
      </c>
      <c r="T7" s="3">
        <f>児童数!H43</f>
        <v>0</v>
      </c>
      <c r="U7" s="3">
        <f>児童数!J43</f>
        <v>0</v>
      </c>
      <c r="V7" s="3">
        <f>児童数!K43</f>
        <v>0</v>
      </c>
      <c r="W7" s="3">
        <f>児童数!L43</f>
        <v>0</v>
      </c>
      <c r="X7" s="3">
        <f>児童数!M43</f>
        <v>0</v>
      </c>
      <c r="Y7" s="64">
        <f t="shared" ref="Y7:Y10" si="0">SUM(Q7:X7)</f>
        <v>0</v>
      </c>
      <c r="Z7" s="2"/>
      <c r="AA7" s="2"/>
      <c r="AC7" s="1" t="s">
        <v>8</v>
      </c>
      <c r="AM7" s="1427"/>
      <c r="AN7" s="1418"/>
      <c r="AO7" s="1418"/>
      <c r="AP7" s="53" t="s">
        <v>167</v>
      </c>
      <c r="AQ7" s="85" t="e">
        <f t="shared" ref="AQ7:AQ26" si="1">SUMPRODUCT(F7:M7,$Q$11:$X$11)</f>
        <v>#VALUE!</v>
      </c>
    </row>
    <row r="8" spans="2:43" ht="15" customHeight="1">
      <c r="B8" s="1427"/>
      <c r="C8" s="1419" t="s">
        <v>203</v>
      </c>
      <c r="D8" s="1422" t="s">
        <v>37</v>
      </c>
      <c r="E8" s="53" t="s">
        <v>169</v>
      </c>
      <c r="F8" s="6"/>
      <c r="G8" s="3">
        <f>IF(加算と減算!L5="○",単価表!AV41,0)</f>
        <v>0</v>
      </c>
      <c r="H8" s="6"/>
      <c r="I8" s="6"/>
      <c r="J8" s="6"/>
      <c r="K8" s="3">
        <f>G8</f>
        <v>0</v>
      </c>
      <c r="L8" s="6"/>
      <c r="M8" s="6"/>
      <c r="O8" s="1444"/>
      <c r="P8" s="632">
        <f>基本情報!E19</f>
        <v>0</v>
      </c>
      <c r="Q8" s="3">
        <f>児童数!E57</f>
        <v>0</v>
      </c>
      <c r="R8" s="3">
        <f>児童数!F57</f>
        <v>0</v>
      </c>
      <c r="S8" s="3">
        <f>児童数!G57</f>
        <v>0</v>
      </c>
      <c r="T8" s="3">
        <f>児童数!H57</f>
        <v>0</v>
      </c>
      <c r="U8" s="3">
        <f>児童数!J57</f>
        <v>0</v>
      </c>
      <c r="V8" s="3">
        <f>児童数!K57</f>
        <v>0</v>
      </c>
      <c r="W8" s="3">
        <f>児童数!L57</f>
        <v>0</v>
      </c>
      <c r="X8" s="3">
        <f>児童数!M57</f>
        <v>0</v>
      </c>
      <c r="Y8" s="64">
        <f t="shared" si="0"/>
        <v>0</v>
      </c>
      <c r="AC8" s="1" t="s">
        <v>9</v>
      </c>
      <c r="AM8" s="1427"/>
      <c r="AN8" s="1419" t="s">
        <v>203</v>
      </c>
      <c r="AO8" s="1422" t="s">
        <v>37</v>
      </c>
      <c r="AP8" s="732" t="s">
        <v>559</v>
      </c>
      <c r="AQ8" s="85">
        <f t="shared" si="1"/>
        <v>0</v>
      </c>
    </row>
    <row r="9" spans="2:43">
      <c r="B9" s="1427"/>
      <c r="C9" s="1420"/>
      <c r="D9" s="1422"/>
      <c r="E9" s="53" t="s">
        <v>167</v>
      </c>
      <c r="F9" s="6"/>
      <c r="G9" s="3">
        <f>IF(加算と減算!L5="○",単価表!AW41*基本情報!G7,0)</f>
        <v>0</v>
      </c>
      <c r="H9" s="6"/>
      <c r="I9" s="6"/>
      <c r="J9" s="6"/>
      <c r="K9" s="3">
        <f>G9</f>
        <v>0</v>
      </c>
      <c r="L9" s="6"/>
      <c r="M9" s="6"/>
      <c r="O9" s="1444"/>
      <c r="P9" s="633">
        <f>基本情報!E20</f>
        <v>0</v>
      </c>
      <c r="Q9" s="3">
        <f>児童数!E71</f>
        <v>0</v>
      </c>
      <c r="R9" s="3">
        <f>児童数!F71</f>
        <v>0</v>
      </c>
      <c r="S9" s="3">
        <f>児童数!G71</f>
        <v>0</v>
      </c>
      <c r="T9" s="3">
        <f>児童数!H71</f>
        <v>0</v>
      </c>
      <c r="U9" s="3">
        <f>児童数!J71</f>
        <v>0</v>
      </c>
      <c r="V9" s="3">
        <f>児童数!K71</f>
        <v>0</v>
      </c>
      <c r="W9" s="3">
        <f>児童数!L71</f>
        <v>0</v>
      </c>
      <c r="X9" s="3">
        <f>児童数!M71</f>
        <v>0</v>
      </c>
      <c r="Y9" s="64">
        <f t="shared" si="0"/>
        <v>0</v>
      </c>
      <c r="AM9" s="1427"/>
      <c r="AN9" s="1420"/>
      <c r="AO9" s="1422"/>
      <c r="AP9" s="53" t="s">
        <v>167</v>
      </c>
      <c r="AQ9" s="85">
        <f t="shared" si="1"/>
        <v>0</v>
      </c>
    </row>
    <row r="10" spans="2:43">
      <c r="B10" s="1427"/>
      <c r="C10" s="1420"/>
      <c r="D10" s="383" t="s">
        <v>69</v>
      </c>
      <c r="E10" s="60"/>
      <c r="F10" s="3">
        <f>IF(K2=0,0,IF(加算と減算!L6="○",ROUNDDOWN((加算と減算!R6+(加算と減算!S6*基本情報!G7))/'11月'!K2,-1),0))</f>
        <v>0</v>
      </c>
      <c r="G10" s="3">
        <f t="shared" ref="G10:G18" si="2">F10</f>
        <v>0</v>
      </c>
      <c r="H10" s="3">
        <f>F10</f>
        <v>0</v>
      </c>
      <c r="I10" s="3">
        <f>F10</f>
        <v>0</v>
      </c>
      <c r="J10" s="3">
        <f t="shared" ref="J10:J18" si="3">F10</f>
        <v>0</v>
      </c>
      <c r="K10" s="3">
        <f t="shared" ref="K10:K18" si="4">F10</f>
        <v>0</v>
      </c>
      <c r="L10" s="3">
        <f>F10</f>
        <v>0</v>
      </c>
      <c r="M10" s="3">
        <f>F10</f>
        <v>0</v>
      </c>
      <c r="O10" s="1444"/>
      <c r="P10" s="634">
        <f>基本情報!E21</f>
        <v>0</v>
      </c>
      <c r="Q10" s="3">
        <f>児童数!E85</f>
        <v>0</v>
      </c>
      <c r="R10" s="3">
        <f>児童数!F85</f>
        <v>0</v>
      </c>
      <c r="S10" s="3">
        <f>児童数!G85</f>
        <v>0</v>
      </c>
      <c r="T10" s="3">
        <f>児童数!H85</f>
        <v>0</v>
      </c>
      <c r="U10" s="3">
        <f>児童数!J85</f>
        <v>0</v>
      </c>
      <c r="V10" s="3">
        <f>児童数!K85</f>
        <v>0</v>
      </c>
      <c r="W10" s="3">
        <f>児童数!L85</f>
        <v>0</v>
      </c>
      <c r="X10" s="3">
        <f>児童数!M85</f>
        <v>0</v>
      </c>
      <c r="Y10" s="64">
        <f t="shared" si="0"/>
        <v>0</v>
      </c>
      <c r="AM10" s="1427"/>
      <c r="AN10" s="1420"/>
      <c r="AO10" s="383" t="s">
        <v>69</v>
      </c>
      <c r="AP10" s="629"/>
      <c r="AQ10" s="85">
        <f t="shared" si="1"/>
        <v>0</v>
      </c>
    </row>
    <row r="11" spans="2:43">
      <c r="B11" s="1427"/>
      <c r="C11" s="1420"/>
      <c r="D11" s="1422" t="s">
        <v>161</v>
      </c>
      <c r="E11" s="53" t="s">
        <v>169</v>
      </c>
      <c r="F11" s="3">
        <f>IF(加算と減算!L7="○",単価表!AZ39,0)</f>
        <v>0</v>
      </c>
      <c r="G11" s="3">
        <f t="shared" si="2"/>
        <v>0</v>
      </c>
      <c r="H11" s="3">
        <f>IF(加算と減算!L7="○",単価表!AZ43,0)</f>
        <v>0</v>
      </c>
      <c r="I11" s="3">
        <f>H11</f>
        <v>0</v>
      </c>
      <c r="J11" s="3">
        <f t="shared" si="3"/>
        <v>0</v>
      </c>
      <c r="K11" s="3">
        <f t="shared" si="4"/>
        <v>0</v>
      </c>
      <c r="L11" s="3">
        <f>H11</f>
        <v>0</v>
      </c>
      <c r="M11" s="3">
        <f>H11</f>
        <v>0</v>
      </c>
      <c r="O11" s="1445"/>
      <c r="P11" s="635" t="s">
        <v>36</v>
      </c>
      <c r="Q11" s="3">
        <f>SUM(Q6:Q10)</f>
        <v>0</v>
      </c>
      <c r="R11" s="3">
        <f t="shared" ref="R11:Y11" si="5">SUM(R6:R10)</f>
        <v>0</v>
      </c>
      <c r="S11" s="3">
        <f t="shared" si="5"/>
        <v>0</v>
      </c>
      <c r="T11" s="3">
        <f t="shared" si="5"/>
        <v>0</v>
      </c>
      <c r="U11" s="3">
        <f t="shared" si="5"/>
        <v>0</v>
      </c>
      <c r="V11" s="3">
        <f t="shared" si="5"/>
        <v>0</v>
      </c>
      <c r="W11" s="3">
        <f t="shared" si="5"/>
        <v>0</v>
      </c>
      <c r="X11" s="3">
        <f t="shared" si="5"/>
        <v>0</v>
      </c>
      <c r="Y11" s="3">
        <f t="shared" si="5"/>
        <v>0</v>
      </c>
      <c r="Z11" s="55" t="s">
        <v>176</v>
      </c>
      <c r="AA11" s="71" t="str">
        <f>IF(SUM(Q11:X11)=G2,"OK",SUM(Q11:X11)-K2)</f>
        <v>OK</v>
      </c>
      <c r="AB11" s="62"/>
      <c r="AM11" s="1427"/>
      <c r="AN11" s="1420"/>
      <c r="AO11" s="1422" t="s">
        <v>161</v>
      </c>
      <c r="AP11" s="53" t="s">
        <v>169</v>
      </c>
      <c r="AQ11" s="85">
        <f t="shared" si="1"/>
        <v>0</v>
      </c>
    </row>
    <row r="12" spans="2:43" ht="15" customHeight="1">
      <c r="B12" s="1427"/>
      <c r="C12" s="1420"/>
      <c r="D12" s="1422"/>
      <c r="E12" s="53" t="s">
        <v>167</v>
      </c>
      <c r="F12" s="3">
        <f>IF(加算と減算!L7="○",単価表!BA39*基本情報!G7,0)</f>
        <v>0</v>
      </c>
      <c r="G12" s="3">
        <f t="shared" si="2"/>
        <v>0</v>
      </c>
      <c r="H12" s="3">
        <f>IF(加算と減算!L7="○",単価表!BA43*基本情報!G7,0)</f>
        <v>0</v>
      </c>
      <c r="I12" s="3">
        <f>H12</f>
        <v>0</v>
      </c>
      <c r="J12" s="3">
        <f t="shared" si="3"/>
        <v>0</v>
      </c>
      <c r="K12" s="3">
        <f t="shared" si="4"/>
        <v>0</v>
      </c>
      <c r="L12" s="3">
        <f>H12</f>
        <v>0</v>
      </c>
      <c r="M12" s="3">
        <f>H12</f>
        <v>0</v>
      </c>
      <c r="O12" s="75"/>
      <c r="P12" s="636"/>
      <c r="Q12" s="54"/>
      <c r="R12" s="54"/>
      <c r="S12" s="54"/>
      <c r="T12" s="54"/>
      <c r="U12" s="54"/>
      <c r="V12" s="54"/>
      <c r="W12" s="54"/>
      <c r="X12" s="54"/>
      <c r="Y12" s="54"/>
      <c r="AA12" s="62"/>
      <c r="AB12" s="62"/>
      <c r="AM12" s="1427"/>
      <c r="AN12" s="1420"/>
      <c r="AO12" s="1422"/>
      <c r="AP12" s="53" t="s">
        <v>167</v>
      </c>
      <c r="AQ12" s="85">
        <f t="shared" si="1"/>
        <v>0</v>
      </c>
    </row>
    <row r="13" spans="2:43" ht="16.5">
      <c r="B13" s="1427"/>
      <c r="C13" s="1420"/>
      <c r="D13" s="366" t="s">
        <v>162</v>
      </c>
      <c r="E13" s="59"/>
      <c r="F13" s="3">
        <f>IF(加算と減算!L8="○",加算と減算!R8,0)</f>
        <v>0</v>
      </c>
      <c r="G13" s="3">
        <f t="shared" si="2"/>
        <v>0</v>
      </c>
      <c r="H13" s="3">
        <f t="shared" ref="H13:H18" si="6">F13</f>
        <v>0</v>
      </c>
      <c r="I13" s="3">
        <f t="shared" ref="I13:I18" si="7">F13</f>
        <v>0</v>
      </c>
      <c r="J13" s="3">
        <f t="shared" si="3"/>
        <v>0</v>
      </c>
      <c r="K13" s="3">
        <f t="shared" si="4"/>
        <v>0</v>
      </c>
      <c r="L13" s="3">
        <f t="shared" ref="L13:L18" si="8">F13</f>
        <v>0</v>
      </c>
      <c r="M13" s="3">
        <f t="shared" ref="M13:M18" si="9">F13</f>
        <v>0</v>
      </c>
      <c r="O13" s="1443" t="s">
        <v>187</v>
      </c>
      <c r="P13" s="1449" t="s">
        <v>171</v>
      </c>
      <c r="Q13" s="1440" t="s">
        <v>15</v>
      </c>
      <c r="R13" s="1440"/>
      <c r="S13" s="1440"/>
      <c r="T13" s="1440"/>
      <c r="U13" s="1440" t="s">
        <v>16</v>
      </c>
      <c r="V13" s="1440"/>
      <c r="W13" s="1440"/>
      <c r="X13" s="1440"/>
      <c r="Y13" s="1449" t="s">
        <v>177</v>
      </c>
      <c r="AA13" s="62"/>
      <c r="AB13" s="62"/>
      <c r="AM13" s="1427"/>
      <c r="AN13" s="1420"/>
      <c r="AO13" s="720" t="s">
        <v>162</v>
      </c>
      <c r="AP13" s="731" t="s">
        <v>353</v>
      </c>
      <c r="AQ13" s="85">
        <f t="shared" si="1"/>
        <v>0</v>
      </c>
    </row>
    <row r="14" spans="2:43" ht="16.5">
      <c r="B14" s="1427"/>
      <c r="C14" s="1420"/>
      <c r="D14" s="366" t="s">
        <v>54</v>
      </c>
      <c r="E14" s="59"/>
      <c r="F14" s="3">
        <f>IF(加算と減算!L9="○",加算と減算!R9,0)</f>
        <v>0</v>
      </c>
      <c r="G14" s="3">
        <f t="shared" si="2"/>
        <v>0</v>
      </c>
      <c r="H14" s="3">
        <f t="shared" si="6"/>
        <v>0</v>
      </c>
      <c r="I14" s="3">
        <f t="shared" si="7"/>
        <v>0</v>
      </c>
      <c r="J14" s="3">
        <f t="shared" si="3"/>
        <v>0</v>
      </c>
      <c r="K14" s="3">
        <f t="shared" si="4"/>
        <v>0</v>
      </c>
      <c r="L14" s="3">
        <f t="shared" si="8"/>
        <v>0</v>
      </c>
      <c r="M14" s="3">
        <f t="shared" si="9"/>
        <v>0</v>
      </c>
      <c r="O14" s="1447"/>
      <c r="P14" s="1445"/>
      <c r="Q14" s="368" t="s">
        <v>6</v>
      </c>
      <c r="R14" s="368" t="s">
        <v>7</v>
      </c>
      <c r="S14" s="368" t="s">
        <v>8</v>
      </c>
      <c r="T14" s="368" t="s">
        <v>9</v>
      </c>
      <c r="U14" s="368" t="s">
        <v>6</v>
      </c>
      <c r="V14" s="368" t="s">
        <v>7</v>
      </c>
      <c r="W14" s="368" t="s">
        <v>8</v>
      </c>
      <c r="X14" s="368" t="s">
        <v>9</v>
      </c>
      <c r="Y14" s="1445"/>
      <c r="AA14" s="62"/>
      <c r="AB14" s="62"/>
      <c r="AM14" s="1427"/>
      <c r="AN14" s="1420"/>
      <c r="AO14" s="720" t="s">
        <v>54</v>
      </c>
      <c r="AP14" s="731" t="s">
        <v>353</v>
      </c>
      <c r="AQ14" s="85">
        <f t="shared" si="1"/>
        <v>0</v>
      </c>
    </row>
    <row r="15" spans="2:43" ht="16.5">
      <c r="B15" s="1427"/>
      <c r="C15" s="1420"/>
      <c r="D15" s="1422" t="s">
        <v>38</v>
      </c>
      <c r="E15" s="53" t="s">
        <v>169</v>
      </c>
      <c r="F15" s="3">
        <f>IF(加算と減算!L10="○",加算と減算!R10,0)</f>
        <v>0</v>
      </c>
      <c r="G15" s="3">
        <f t="shared" si="2"/>
        <v>0</v>
      </c>
      <c r="H15" s="3">
        <f t="shared" si="6"/>
        <v>0</v>
      </c>
      <c r="I15" s="3">
        <f t="shared" si="7"/>
        <v>0</v>
      </c>
      <c r="J15" s="3">
        <f t="shared" si="3"/>
        <v>0</v>
      </c>
      <c r="K15" s="3">
        <f t="shared" si="4"/>
        <v>0</v>
      </c>
      <c r="L15" s="3">
        <f t="shared" si="8"/>
        <v>0</v>
      </c>
      <c r="M15" s="3">
        <f t="shared" si="9"/>
        <v>0</v>
      </c>
      <c r="O15" s="1447"/>
      <c r="P15" s="630">
        <f>P6</f>
        <v>0</v>
      </c>
      <c r="Q15" s="3" t="e">
        <f>F27*Q6</f>
        <v>#VALUE!</v>
      </c>
      <c r="R15" s="3" t="e">
        <f t="shared" ref="R15:X15" si="10">G27*R6</f>
        <v>#VALUE!</v>
      </c>
      <c r="S15" s="3" t="e">
        <f t="shared" si="10"/>
        <v>#VALUE!</v>
      </c>
      <c r="T15" s="3" t="e">
        <f t="shared" si="10"/>
        <v>#VALUE!</v>
      </c>
      <c r="U15" s="3" t="e">
        <f t="shared" si="10"/>
        <v>#VALUE!</v>
      </c>
      <c r="V15" s="3" t="e">
        <f t="shared" si="10"/>
        <v>#VALUE!</v>
      </c>
      <c r="W15" s="3" t="e">
        <f t="shared" si="10"/>
        <v>#VALUE!</v>
      </c>
      <c r="X15" s="3" t="e">
        <f t="shared" si="10"/>
        <v>#VALUE!</v>
      </c>
      <c r="Y15" s="3" t="e">
        <f>SUM(Q15:X15)</f>
        <v>#VALUE!</v>
      </c>
      <c r="AA15" s="62"/>
      <c r="AB15" s="62"/>
      <c r="AM15" s="1427"/>
      <c r="AN15" s="1420"/>
      <c r="AO15" s="1422" t="s">
        <v>38</v>
      </c>
      <c r="AP15" s="732" t="s">
        <v>559</v>
      </c>
      <c r="AQ15" s="85">
        <f t="shared" si="1"/>
        <v>0</v>
      </c>
    </row>
    <row r="16" spans="2:43">
      <c r="B16" s="1427"/>
      <c r="C16" s="1421"/>
      <c r="D16" s="1422"/>
      <c r="E16" s="53" t="s">
        <v>167</v>
      </c>
      <c r="F16" s="3">
        <f>IF(加算と減算!L10="○",加算と減算!S10*基本情報!G7,0)</f>
        <v>0</v>
      </c>
      <c r="G16" s="3">
        <f t="shared" si="2"/>
        <v>0</v>
      </c>
      <c r="H16" s="3">
        <f t="shared" si="6"/>
        <v>0</v>
      </c>
      <c r="I16" s="3">
        <f t="shared" si="7"/>
        <v>0</v>
      </c>
      <c r="J16" s="3">
        <f t="shared" si="3"/>
        <v>0</v>
      </c>
      <c r="K16" s="3">
        <f t="shared" si="4"/>
        <v>0</v>
      </c>
      <c r="L16" s="3">
        <f t="shared" si="8"/>
        <v>0</v>
      </c>
      <c r="M16" s="3">
        <f t="shared" si="9"/>
        <v>0</v>
      </c>
      <c r="O16" s="1447"/>
      <c r="P16" s="631">
        <f>P7</f>
        <v>0</v>
      </c>
      <c r="Q16" s="3" t="e">
        <f>F27*Q7</f>
        <v>#VALUE!</v>
      </c>
      <c r="R16" s="3" t="e">
        <f t="shared" ref="R16:X16" si="11">G27*R7</f>
        <v>#VALUE!</v>
      </c>
      <c r="S16" s="3" t="e">
        <f t="shared" si="11"/>
        <v>#VALUE!</v>
      </c>
      <c r="T16" s="3" t="e">
        <f t="shared" si="11"/>
        <v>#VALUE!</v>
      </c>
      <c r="U16" s="3" t="e">
        <f t="shared" si="11"/>
        <v>#VALUE!</v>
      </c>
      <c r="V16" s="3" t="e">
        <f t="shared" si="11"/>
        <v>#VALUE!</v>
      </c>
      <c r="W16" s="3" t="e">
        <f t="shared" si="11"/>
        <v>#VALUE!</v>
      </c>
      <c r="X16" s="3" t="e">
        <f t="shared" si="11"/>
        <v>#VALUE!</v>
      </c>
      <c r="Y16" s="3" t="e">
        <f t="shared" ref="Y16:Y19" si="12">SUM(Q16:X16)</f>
        <v>#VALUE!</v>
      </c>
      <c r="AA16" s="62"/>
      <c r="AB16" s="62"/>
      <c r="AM16" s="1427"/>
      <c r="AN16" s="1421"/>
      <c r="AO16" s="1422"/>
      <c r="AP16" s="53" t="s">
        <v>167</v>
      </c>
      <c r="AQ16" s="85">
        <f t="shared" si="1"/>
        <v>0</v>
      </c>
    </row>
    <row r="17" spans="2:43">
      <c r="B17" s="1427"/>
      <c r="C17" s="1423" t="s">
        <v>205</v>
      </c>
      <c r="D17" s="1424" t="s">
        <v>43</v>
      </c>
      <c r="E17" s="53" t="s">
        <v>169</v>
      </c>
      <c r="F17" s="74">
        <f>-IF(加算と減算!L32="○",単価表!AZ7,0)</f>
        <v>0</v>
      </c>
      <c r="G17" s="74">
        <f t="shared" si="2"/>
        <v>0</v>
      </c>
      <c r="H17" s="74">
        <f t="shared" si="6"/>
        <v>0</v>
      </c>
      <c r="I17" s="74">
        <f t="shared" si="7"/>
        <v>0</v>
      </c>
      <c r="J17" s="74">
        <f t="shared" si="3"/>
        <v>0</v>
      </c>
      <c r="K17" s="74">
        <f t="shared" si="4"/>
        <v>0</v>
      </c>
      <c r="L17" s="74">
        <f t="shared" si="8"/>
        <v>0</v>
      </c>
      <c r="M17" s="74">
        <f t="shared" si="9"/>
        <v>0</v>
      </c>
      <c r="O17" s="1447"/>
      <c r="P17" s="632">
        <f>P8</f>
        <v>0</v>
      </c>
      <c r="Q17" s="3" t="e">
        <f>F27*Q8</f>
        <v>#VALUE!</v>
      </c>
      <c r="R17" s="3" t="e">
        <f t="shared" ref="R17:X17" si="13">G27*R8</f>
        <v>#VALUE!</v>
      </c>
      <c r="S17" s="3" t="e">
        <f t="shared" si="13"/>
        <v>#VALUE!</v>
      </c>
      <c r="T17" s="3" t="e">
        <f t="shared" si="13"/>
        <v>#VALUE!</v>
      </c>
      <c r="U17" s="3" t="e">
        <f t="shared" si="13"/>
        <v>#VALUE!</v>
      </c>
      <c r="V17" s="3" t="e">
        <f t="shared" si="13"/>
        <v>#VALUE!</v>
      </c>
      <c r="W17" s="3" t="e">
        <f t="shared" si="13"/>
        <v>#VALUE!</v>
      </c>
      <c r="X17" s="3" t="e">
        <f t="shared" si="13"/>
        <v>#VALUE!</v>
      </c>
      <c r="Y17" s="3" t="e">
        <f t="shared" si="12"/>
        <v>#VALUE!</v>
      </c>
      <c r="AA17" s="62"/>
      <c r="AB17" s="62"/>
      <c r="AM17" s="1427"/>
      <c r="AN17" s="1423" t="s">
        <v>205</v>
      </c>
      <c r="AO17" s="1424" t="s">
        <v>43</v>
      </c>
      <c r="AP17" s="53" t="s">
        <v>169</v>
      </c>
      <c r="AQ17" s="85">
        <f t="shared" si="1"/>
        <v>0</v>
      </c>
    </row>
    <row r="18" spans="2:43">
      <c r="B18" s="1427"/>
      <c r="C18" s="1423"/>
      <c r="D18" s="1424"/>
      <c r="E18" s="53" t="s">
        <v>167</v>
      </c>
      <c r="F18" s="74">
        <f>-IF(加算と減算!L32="○",単価表!BA7*基本情報!G7,0)</f>
        <v>0</v>
      </c>
      <c r="G18" s="74">
        <f t="shared" si="2"/>
        <v>0</v>
      </c>
      <c r="H18" s="74">
        <f t="shared" si="6"/>
        <v>0</v>
      </c>
      <c r="I18" s="74">
        <f t="shared" si="7"/>
        <v>0</v>
      </c>
      <c r="J18" s="74">
        <f t="shared" si="3"/>
        <v>0</v>
      </c>
      <c r="K18" s="74">
        <f t="shared" si="4"/>
        <v>0</v>
      </c>
      <c r="L18" s="74">
        <f t="shared" si="8"/>
        <v>0</v>
      </c>
      <c r="M18" s="74">
        <f t="shared" si="9"/>
        <v>0</v>
      </c>
      <c r="O18" s="1447"/>
      <c r="P18" s="633">
        <f>P9</f>
        <v>0</v>
      </c>
      <c r="Q18" s="3" t="e">
        <f>F27*Q9</f>
        <v>#VALUE!</v>
      </c>
      <c r="R18" s="3" t="e">
        <f t="shared" ref="R18:X18" si="14">G27*R9</f>
        <v>#VALUE!</v>
      </c>
      <c r="S18" s="3" t="e">
        <f t="shared" si="14"/>
        <v>#VALUE!</v>
      </c>
      <c r="T18" s="3" t="e">
        <f t="shared" si="14"/>
        <v>#VALUE!</v>
      </c>
      <c r="U18" s="3" t="e">
        <f t="shared" si="14"/>
        <v>#VALUE!</v>
      </c>
      <c r="V18" s="3" t="e">
        <f t="shared" si="14"/>
        <v>#VALUE!</v>
      </c>
      <c r="W18" s="3" t="e">
        <f t="shared" si="14"/>
        <v>#VALUE!</v>
      </c>
      <c r="X18" s="3" t="e">
        <f t="shared" si="14"/>
        <v>#VALUE!</v>
      </c>
      <c r="Y18" s="3" t="e">
        <f t="shared" si="12"/>
        <v>#VALUE!</v>
      </c>
      <c r="AA18" s="62"/>
      <c r="AB18" s="62"/>
      <c r="AM18" s="1427"/>
      <c r="AN18" s="1423"/>
      <c r="AO18" s="1424"/>
      <c r="AP18" s="53" t="s">
        <v>167</v>
      </c>
      <c r="AQ18" s="85">
        <f t="shared" si="1"/>
        <v>0</v>
      </c>
    </row>
    <row r="19" spans="2:43">
      <c r="B19" s="1427"/>
      <c r="C19" s="1423"/>
      <c r="D19" s="371" t="s">
        <v>165</v>
      </c>
      <c r="E19" s="60"/>
      <c r="F19" s="74" t="e">
        <f t="shared" ref="F19:M19" si="15">-ROUNDDOWN((F6+F7+F11+F12+F8+F9)*$S$2/100,-1)</f>
        <v>#VALUE!</v>
      </c>
      <c r="G19" s="74" t="e">
        <f t="shared" si="15"/>
        <v>#VALUE!</v>
      </c>
      <c r="H19" s="74" t="e">
        <f t="shared" si="15"/>
        <v>#VALUE!</v>
      </c>
      <c r="I19" s="74" t="e">
        <f t="shared" si="15"/>
        <v>#VALUE!</v>
      </c>
      <c r="J19" s="74" t="e">
        <f t="shared" si="15"/>
        <v>#VALUE!</v>
      </c>
      <c r="K19" s="74" t="e">
        <f t="shared" si="15"/>
        <v>#VALUE!</v>
      </c>
      <c r="L19" s="74" t="e">
        <f t="shared" si="15"/>
        <v>#VALUE!</v>
      </c>
      <c r="M19" s="74" t="e">
        <f t="shared" si="15"/>
        <v>#VALUE!</v>
      </c>
      <c r="O19" s="1447"/>
      <c r="P19" s="634">
        <f>P10</f>
        <v>0</v>
      </c>
      <c r="Q19" s="3" t="e">
        <f>F27*Q10</f>
        <v>#VALUE!</v>
      </c>
      <c r="R19" s="3" t="e">
        <f t="shared" ref="R19:X19" si="16">G27*R10</f>
        <v>#VALUE!</v>
      </c>
      <c r="S19" s="3" t="e">
        <f t="shared" si="16"/>
        <v>#VALUE!</v>
      </c>
      <c r="T19" s="3" t="e">
        <f t="shared" si="16"/>
        <v>#VALUE!</v>
      </c>
      <c r="U19" s="3" t="e">
        <f t="shared" si="16"/>
        <v>#VALUE!</v>
      </c>
      <c r="V19" s="3" t="e">
        <f t="shared" si="16"/>
        <v>#VALUE!</v>
      </c>
      <c r="W19" s="3" t="e">
        <f t="shared" si="16"/>
        <v>#VALUE!</v>
      </c>
      <c r="X19" s="3" t="e">
        <f t="shared" si="16"/>
        <v>#VALUE!</v>
      </c>
      <c r="Y19" s="3" t="e">
        <f t="shared" si="12"/>
        <v>#VALUE!</v>
      </c>
      <c r="AA19" s="62"/>
      <c r="AB19" s="62"/>
      <c r="AM19" s="1427"/>
      <c r="AN19" s="1423"/>
      <c r="AO19" s="717" t="s">
        <v>165</v>
      </c>
      <c r="AP19" s="60"/>
      <c r="AQ19" s="85" t="e">
        <f t="shared" si="1"/>
        <v>#VALUE!</v>
      </c>
    </row>
    <row r="20" spans="2:43">
      <c r="B20" s="1427"/>
      <c r="C20" s="1423"/>
      <c r="D20" s="371" t="s">
        <v>166</v>
      </c>
      <c r="E20" s="60"/>
      <c r="F20" s="74" t="e">
        <f t="shared" ref="F20:M20" si="17">-ROUNDUP(SUM(F6:F19)*$V$2/100,-1)</f>
        <v>#VALUE!</v>
      </c>
      <c r="G20" s="74" t="e">
        <f t="shared" si="17"/>
        <v>#VALUE!</v>
      </c>
      <c r="H20" s="74" t="e">
        <f t="shared" si="17"/>
        <v>#VALUE!</v>
      </c>
      <c r="I20" s="74" t="e">
        <f t="shared" si="17"/>
        <v>#VALUE!</v>
      </c>
      <c r="J20" s="74" t="e">
        <f t="shared" si="17"/>
        <v>#VALUE!</v>
      </c>
      <c r="K20" s="74" t="e">
        <f t="shared" si="17"/>
        <v>#VALUE!</v>
      </c>
      <c r="L20" s="74" t="e">
        <f t="shared" si="17"/>
        <v>#VALUE!</v>
      </c>
      <c r="M20" s="74" t="e">
        <f t="shared" si="17"/>
        <v>#VALUE!</v>
      </c>
      <c r="O20" s="1448"/>
      <c r="P20" s="635" t="s">
        <v>36</v>
      </c>
      <c r="Q20" s="3" t="e">
        <f>SUM(Q15:Q19)</f>
        <v>#VALUE!</v>
      </c>
      <c r="R20" s="3" t="e">
        <f t="shared" ref="R20:Y20" si="18">SUM(R15:R19)</f>
        <v>#VALUE!</v>
      </c>
      <c r="S20" s="3" t="e">
        <f t="shared" si="18"/>
        <v>#VALUE!</v>
      </c>
      <c r="T20" s="3" t="e">
        <f t="shared" si="18"/>
        <v>#VALUE!</v>
      </c>
      <c r="U20" s="3" t="e">
        <f t="shared" si="18"/>
        <v>#VALUE!</v>
      </c>
      <c r="V20" s="3" t="e">
        <f t="shared" si="18"/>
        <v>#VALUE!</v>
      </c>
      <c r="W20" s="3" t="e">
        <f t="shared" si="18"/>
        <v>#VALUE!</v>
      </c>
      <c r="X20" s="3" t="e">
        <f t="shared" si="18"/>
        <v>#VALUE!</v>
      </c>
      <c r="Y20" s="3" t="e">
        <f t="shared" si="18"/>
        <v>#VALUE!</v>
      </c>
      <c r="AA20" s="62"/>
      <c r="AB20" s="62"/>
      <c r="AM20" s="1427"/>
      <c r="AN20" s="1423"/>
      <c r="AO20" s="717" t="s">
        <v>166</v>
      </c>
      <c r="AP20" s="60"/>
      <c r="AQ20" s="85" t="e">
        <f t="shared" si="1"/>
        <v>#VALUE!</v>
      </c>
    </row>
    <row r="21" spans="2:43" ht="15" customHeight="1">
      <c r="B21" s="1427"/>
      <c r="C21" s="1419" t="s">
        <v>204</v>
      </c>
      <c r="D21" s="366" t="s">
        <v>18</v>
      </c>
      <c r="E21" s="59"/>
      <c r="F21" s="3">
        <f>IF(K2=0,0,IF(加算と減算!L13="",0,ROUNDDOWN(加算と減算!U13/'11月'!$K$2,-1)))</f>
        <v>0</v>
      </c>
      <c r="G21" s="3">
        <f>F21</f>
        <v>0</v>
      </c>
      <c r="H21" s="3">
        <f t="shared" ref="H21:M21" si="19">G21</f>
        <v>0</v>
      </c>
      <c r="I21" s="3">
        <f t="shared" si="19"/>
        <v>0</v>
      </c>
      <c r="J21" s="3">
        <f t="shared" si="19"/>
        <v>0</v>
      </c>
      <c r="K21" s="3">
        <f t="shared" si="19"/>
        <v>0</v>
      </c>
      <c r="L21" s="3">
        <f t="shared" si="19"/>
        <v>0</v>
      </c>
      <c r="M21" s="3">
        <f t="shared" si="19"/>
        <v>0</v>
      </c>
      <c r="O21" s="76"/>
      <c r="P21" s="636"/>
      <c r="Q21" s="54"/>
      <c r="R21" s="54"/>
      <c r="S21" s="9"/>
      <c r="T21" s="9"/>
      <c r="U21" s="54"/>
      <c r="V21" s="54"/>
      <c r="W21" s="10"/>
      <c r="X21" s="10"/>
      <c r="Y21" s="10"/>
      <c r="AA21" s="62"/>
      <c r="AB21" s="62"/>
      <c r="AM21" s="1427"/>
      <c r="AN21" s="1419" t="s">
        <v>204</v>
      </c>
      <c r="AO21" s="720" t="s">
        <v>18</v>
      </c>
      <c r="AP21" s="732" t="s">
        <v>559</v>
      </c>
      <c r="AQ21" s="85">
        <f t="shared" si="1"/>
        <v>0</v>
      </c>
    </row>
    <row r="22" spans="2:43" ht="15" customHeight="1">
      <c r="B22" s="1427"/>
      <c r="C22" s="1420"/>
      <c r="D22" s="366" t="s">
        <v>62</v>
      </c>
      <c r="E22" s="59"/>
      <c r="F22" s="3">
        <f>IF(K2=0,0,ROUNDDOWN(IF(加算と減算!L14="○",加算と減算!U14,IF(加算と減算!L15="○",加算と減算!U15,0))/K2,-1))</f>
        <v>0</v>
      </c>
      <c r="G22" s="3">
        <f t="shared" ref="G22:M26" si="20">F22</f>
        <v>0</v>
      </c>
      <c r="H22" s="3">
        <f t="shared" si="20"/>
        <v>0</v>
      </c>
      <c r="I22" s="3">
        <f t="shared" si="20"/>
        <v>0</v>
      </c>
      <c r="J22" s="3">
        <f t="shared" si="20"/>
        <v>0</v>
      </c>
      <c r="K22" s="3">
        <f t="shared" si="20"/>
        <v>0</v>
      </c>
      <c r="L22" s="3">
        <f t="shared" si="20"/>
        <v>0</v>
      </c>
      <c r="M22" s="3">
        <f>L22</f>
        <v>0</v>
      </c>
      <c r="O22" s="1443" t="s">
        <v>180</v>
      </c>
      <c r="P22" s="367" t="s">
        <v>171</v>
      </c>
      <c r="Q22" s="368" t="s">
        <v>178</v>
      </c>
      <c r="R22" s="367" t="s">
        <v>179</v>
      </c>
      <c r="S22" s="4"/>
      <c r="T22" s="1443" t="s">
        <v>188</v>
      </c>
      <c r="U22" s="367" t="s">
        <v>171</v>
      </c>
      <c r="V22" s="40" t="s">
        <v>179</v>
      </c>
      <c r="AA22" s="62"/>
      <c r="AB22" s="62"/>
      <c r="AM22" s="1427"/>
      <c r="AN22" s="1420"/>
      <c r="AO22" s="720" t="s">
        <v>62</v>
      </c>
      <c r="AP22" s="732" t="s">
        <v>559</v>
      </c>
      <c r="AQ22" s="85">
        <f t="shared" si="1"/>
        <v>0</v>
      </c>
    </row>
    <row r="23" spans="2:43" ht="16.5">
      <c r="B23" s="1427"/>
      <c r="C23" s="1420"/>
      <c r="D23" s="366" t="s">
        <v>19</v>
      </c>
      <c r="E23" s="59"/>
      <c r="F23" s="3">
        <f>IF(K2=0,0,IF(加算と減算!L16="",0,ROUNDDOWN(加算と減算!U16/'11月'!$K$2,-1)))</f>
        <v>0</v>
      </c>
      <c r="G23" s="3">
        <f t="shared" si="20"/>
        <v>0</v>
      </c>
      <c r="H23" s="3">
        <f t="shared" si="20"/>
        <v>0</v>
      </c>
      <c r="I23" s="3">
        <f t="shared" si="20"/>
        <v>0</v>
      </c>
      <c r="J23" s="3">
        <f t="shared" si="20"/>
        <v>0</v>
      </c>
      <c r="K23" s="3">
        <f t="shared" si="20"/>
        <v>0</v>
      </c>
      <c r="L23" s="3">
        <f t="shared" si="20"/>
        <v>0</v>
      </c>
      <c r="M23" s="3">
        <f t="shared" si="20"/>
        <v>0</v>
      </c>
      <c r="O23" s="1447"/>
      <c r="P23" s="630">
        <f>P6</f>
        <v>0</v>
      </c>
      <c r="Q23" s="3">
        <f>児童数!AE29</f>
        <v>0</v>
      </c>
      <c r="R23" s="64">
        <f>4500*Q23</f>
        <v>0</v>
      </c>
      <c r="S23" s="4"/>
      <c r="T23" s="1447"/>
      <c r="U23" s="630">
        <f>P6</f>
        <v>0</v>
      </c>
      <c r="V23" s="65" t="e">
        <f>Y15+R23</f>
        <v>#VALUE!</v>
      </c>
      <c r="AA23" s="62"/>
      <c r="AB23" s="62"/>
      <c r="AM23" s="1427"/>
      <c r="AN23" s="1420"/>
      <c r="AO23" s="720" t="s">
        <v>19</v>
      </c>
      <c r="AP23" s="732" t="s">
        <v>559</v>
      </c>
      <c r="AQ23" s="85">
        <f t="shared" si="1"/>
        <v>0</v>
      </c>
    </row>
    <row r="24" spans="2:43" ht="16.5">
      <c r="B24" s="1427"/>
      <c r="C24" s="1420"/>
      <c r="D24" s="366" t="s">
        <v>41</v>
      </c>
      <c r="E24" s="59"/>
      <c r="F24" s="3">
        <f>IF(K2=0,0,IF(加算と減算!D17="",0,ROUNDDOWN(加算と減算!U17/'11月'!$K$2,-1)))</f>
        <v>0</v>
      </c>
      <c r="G24" s="3">
        <f t="shared" si="20"/>
        <v>0</v>
      </c>
      <c r="H24" s="3">
        <f t="shared" si="20"/>
        <v>0</v>
      </c>
      <c r="I24" s="3">
        <f t="shared" si="20"/>
        <v>0</v>
      </c>
      <c r="J24" s="3">
        <f t="shared" si="20"/>
        <v>0</v>
      </c>
      <c r="K24" s="3">
        <f t="shared" si="20"/>
        <v>0</v>
      </c>
      <c r="L24" s="3">
        <f t="shared" si="20"/>
        <v>0</v>
      </c>
      <c r="M24" s="3">
        <f t="shared" si="20"/>
        <v>0</v>
      </c>
      <c r="O24" s="1447"/>
      <c r="P24" s="631">
        <f>P7</f>
        <v>0</v>
      </c>
      <c r="Q24" s="3">
        <f>児童数!AE43</f>
        <v>0</v>
      </c>
      <c r="R24" s="64">
        <f t="shared" ref="R24:R27" si="21">4500*Q24</f>
        <v>0</v>
      </c>
      <c r="S24" s="4"/>
      <c r="T24" s="1447"/>
      <c r="U24" s="631">
        <f>P7</f>
        <v>0</v>
      </c>
      <c r="V24" s="66" t="e">
        <f>Y16+R24</f>
        <v>#VALUE!</v>
      </c>
      <c r="AA24" s="62"/>
      <c r="AB24" s="62"/>
      <c r="AM24" s="1427"/>
      <c r="AN24" s="1420"/>
      <c r="AO24" s="720" t="s">
        <v>41</v>
      </c>
      <c r="AP24" s="732" t="s">
        <v>559</v>
      </c>
      <c r="AQ24" s="85">
        <f t="shared" si="1"/>
        <v>0</v>
      </c>
    </row>
    <row r="25" spans="2:43" ht="16.5">
      <c r="B25" s="1427"/>
      <c r="C25" s="1420"/>
      <c r="D25" s="366" t="s">
        <v>42</v>
      </c>
      <c r="E25" s="59"/>
      <c r="F25" s="3" t="str">
        <f>加算と減算!U18</f>
        <v/>
      </c>
      <c r="G25" s="3" t="str">
        <f t="shared" si="20"/>
        <v/>
      </c>
      <c r="H25" s="3" t="str">
        <f t="shared" si="20"/>
        <v/>
      </c>
      <c r="I25" s="3" t="str">
        <f t="shared" si="20"/>
        <v/>
      </c>
      <c r="J25" s="3" t="str">
        <f t="shared" si="20"/>
        <v/>
      </c>
      <c r="K25" s="3" t="str">
        <f t="shared" si="20"/>
        <v/>
      </c>
      <c r="L25" s="3" t="str">
        <f t="shared" si="20"/>
        <v/>
      </c>
      <c r="M25" s="3" t="str">
        <f t="shared" si="20"/>
        <v/>
      </c>
      <c r="O25" s="1447"/>
      <c r="P25" s="632">
        <f>P8</f>
        <v>0</v>
      </c>
      <c r="Q25" s="3">
        <f>児童数!AE57</f>
        <v>0</v>
      </c>
      <c r="R25" s="64">
        <f t="shared" si="21"/>
        <v>0</v>
      </c>
      <c r="S25" s="4"/>
      <c r="T25" s="1447"/>
      <c r="U25" s="632">
        <f>P8</f>
        <v>0</v>
      </c>
      <c r="V25" s="67" t="e">
        <f>Y17+R25</f>
        <v>#VALUE!</v>
      </c>
      <c r="AA25" s="62"/>
      <c r="AB25" s="62"/>
      <c r="AM25" s="1427"/>
      <c r="AN25" s="1420"/>
      <c r="AO25" s="718" t="s">
        <v>42</v>
      </c>
      <c r="AP25" s="731" t="s">
        <v>353</v>
      </c>
      <c r="AQ25" s="85">
        <f t="shared" si="1"/>
        <v>0</v>
      </c>
    </row>
    <row r="26" spans="2:43" ht="16.5">
      <c r="B26" s="1427"/>
      <c r="C26" s="1421"/>
      <c r="D26" s="366" t="s">
        <v>80</v>
      </c>
      <c r="E26" s="59"/>
      <c r="F26" s="3">
        <f>IF(K2=0,0,ROUNDDOWN(IF(加算と減算!L26="○",加算と減算!U26,IF(加算と減算!L27="○",加算と減算!U27,IF(加算と減算!L28="○",加算と減算!U28,0)))/K2,-1))</f>
        <v>0</v>
      </c>
      <c r="G26" s="3">
        <f t="shared" si="20"/>
        <v>0</v>
      </c>
      <c r="H26" s="3">
        <f t="shared" si="20"/>
        <v>0</v>
      </c>
      <c r="I26" s="3">
        <f t="shared" si="20"/>
        <v>0</v>
      </c>
      <c r="J26" s="3">
        <f t="shared" si="20"/>
        <v>0</v>
      </c>
      <c r="K26" s="3">
        <f t="shared" si="20"/>
        <v>0</v>
      </c>
      <c r="L26" s="3">
        <f t="shared" si="20"/>
        <v>0</v>
      </c>
      <c r="M26" s="3">
        <f t="shared" si="20"/>
        <v>0</v>
      </c>
      <c r="O26" s="1447"/>
      <c r="P26" s="633">
        <f>P9</f>
        <v>0</v>
      </c>
      <c r="Q26" s="3">
        <f>児童数!AE71</f>
        <v>0</v>
      </c>
      <c r="R26" s="64">
        <f t="shared" si="21"/>
        <v>0</v>
      </c>
      <c r="S26" s="4"/>
      <c r="T26" s="1447"/>
      <c r="U26" s="633">
        <f>P9</f>
        <v>0</v>
      </c>
      <c r="V26" s="68" t="e">
        <f>Y18+R26</f>
        <v>#VALUE!</v>
      </c>
      <c r="AA26" s="62"/>
      <c r="AB26" s="62"/>
      <c r="AM26" s="1427"/>
      <c r="AN26" s="1421"/>
      <c r="AO26" s="720" t="s">
        <v>80</v>
      </c>
      <c r="AP26" s="731" t="s">
        <v>353</v>
      </c>
      <c r="AQ26" s="85">
        <f t="shared" si="1"/>
        <v>0</v>
      </c>
    </row>
    <row r="27" spans="2:43" ht="18.75" customHeight="1" thickBot="1">
      <c r="B27" s="1428"/>
      <c r="C27" s="1410" t="s">
        <v>44</v>
      </c>
      <c r="D27" s="1411"/>
      <c r="E27" s="53"/>
      <c r="F27" s="5" t="e">
        <f t="shared" ref="F27:M27" si="22">SUM(F6:F26)</f>
        <v>#VALUE!</v>
      </c>
      <c r="G27" s="5" t="e">
        <f t="shared" si="22"/>
        <v>#VALUE!</v>
      </c>
      <c r="H27" s="5" t="e">
        <f t="shared" si="22"/>
        <v>#VALUE!</v>
      </c>
      <c r="I27" s="5" t="e">
        <f t="shared" si="22"/>
        <v>#VALUE!</v>
      </c>
      <c r="J27" s="5" t="e">
        <f t="shared" si="22"/>
        <v>#VALUE!</v>
      </c>
      <c r="K27" s="5" t="e">
        <f t="shared" si="22"/>
        <v>#VALUE!</v>
      </c>
      <c r="L27" s="5" t="e">
        <f t="shared" si="22"/>
        <v>#VALUE!</v>
      </c>
      <c r="M27" s="5" t="e">
        <f t="shared" si="22"/>
        <v>#VALUE!</v>
      </c>
      <c r="O27" s="1447"/>
      <c r="P27" s="634">
        <f>P10</f>
        <v>0</v>
      </c>
      <c r="Q27" s="3">
        <f>児童数!AE85</f>
        <v>0</v>
      </c>
      <c r="R27" s="64">
        <f t="shared" si="21"/>
        <v>0</v>
      </c>
      <c r="S27" s="4"/>
      <c r="T27" s="1447"/>
      <c r="U27" s="634">
        <f>P10</f>
        <v>0</v>
      </c>
      <c r="V27" s="69" t="e">
        <f>Y19+R27</f>
        <v>#VALUE!</v>
      </c>
      <c r="AA27" s="62"/>
      <c r="AB27" s="62"/>
      <c r="AM27" s="1428"/>
      <c r="AN27" s="1425" t="s">
        <v>562</v>
      </c>
      <c r="AO27" s="1425"/>
      <c r="AP27" s="733" t="s">
        <v>376</v>
      </c>
      <c r="AQ27" s="85">
        <f>R28</f>
        <v>0</v>
      </c>
    </row>
    <row r="28" spans="2:43" ht="15.75" thickBot="1">
      <c r="B28" s="263"/>
      <c r="C28" s="58"/>
      <c r="D28" s="58"/>
      <c r="E28" s="58" t="s">
        <v>167</v>
      </c>
      <c r="F28" s="7" t="e">
        <f>F7+F9+F12+F16+F18</f>
        <v>#VALUE!</v>
      </c>
      <c r="G28" s="7" t="e">
        <f t="shared" ref="G28:M28" si="23">G7+G9+G12+G16+G18</f>
        <v>#VALUE!</v>
      </c>
      <c r="H28" s="7" t="e">
        <f t="shared" si="23"/>
        <v>#VALUE!</v>
      </c>
      <c r="I28" s="7" t="e">
        <f t="shared" si="23"/>
        <v>#VALUE!</v>
      </c>
      <c r="J28" s="7" t="e">
        <f t="shared" si="23"/>
        <v>#VALUE!</v>
      </c>
      <c r="K28" s="7" t="e">
        <f>K7+K9+K12+K16+K18</f>
        <v>#VALUE!</v>
      </c>
      <c r="L28" s="7" t="e">
        <f>L7+L9+L12+L16+L18</f>
        <v>#VALUE!</v>
      </c>
      <c r="M28" s="7" t="e">
        <f t="shared" si="23"/>
        <v>#VALUE!</v>
      </c>
      <c r="O28" s="1448"/>
      <c r="P28" s="635" t="s">
        <v>36</v>
      </c>
      <c r="Q28" s="3">
        <f>SUM(Q23:Q27)</f>
        <v>0</v>
      </c>
      <c r="R28" s="3">
        <f>SUM(R23:R27)</f>
        <v>0</v>
      </c>
      <c r="S28" s="4"/>
      <c r="T28" s="1448"/>
      <c r="U28" s="635" t="s">
        <v>36</v>
      </c>
      <c r="V28" s="70" t="e">
        <f>SUM(V23:V27)</f>
        <v>#VALUE!</v>
      </c>
      <c r="AA28" s="62"/>
      <c r="AB28" s="62"/>
      <c r="AG28" s="288" t="e">
        <f>SUMPRODUCT(F28:M28,Q11:X11)</f>
        <v>#VALUE!</v>
      </c>
      <c r="AM28" s="263"/>
      <c r="AN28" s="1410" t="s">
        <v>44</v>
      </c>
      <c r="AO28" s="1411"/>
      <c r="AP28" s="53"/>
      <c r="AQ28" s="85" t="e">
        <f>SUM(AQ6:AQ27)</f>
        <v>#VALUE!</v>
      </c>
    </row>
    <row r="29" spans="2:43" ht="15" customHeight="1">
      <c r="E29" s="1020" t="s">
        <v>703</v>
      </c>
      <c r="F29" s="264" t="e">
        <f>-ROUNDUP(SUM(F6:F9,F11:F19)*$V$2/100,-1)</f>
        <v>#VALUE!</v>
      </c>
      <c r="G29" s="264" t="e">
        <f t="shared" ref="G29:M29" si="24">-ROUNDUP(SUM(G6:G9,G11:G19)*$V$2/100,-1)</f>
        <v>#VALUE!</v>
      </c>
      <c r="H29" s="264" t="e">
        <f t="shared" si="24"/>
        <v>#VALUE!</v>
      </c>
      <c r="I29" s="264" t="e">
        <f t="shared" si="24"/>
        <v>#VALUE!</v>
      </c>
      <c r="J29" s="264" t="e">
        <f t="shared" si="24"/>
        <v>#VALUE!</v>
      </c>
      <c r="K29" s="264" t="e">
        <f t="shared" si="24"/>
        <v>#VALUE!</v>
      </c>
      <c r="L29" s="264" t="e">
        <f t="shared" si="24"/>
        <v>#VALUE!</v>
      </c>
      <c r="M29" s="264" t="e">
        <f t="shared" si="24"/>
        <v>#VALUE!</v>
      </c>
      <c r="O29" s="637"/>
      <c r="P29" s="637"/>
      <c r="Q29" s="637"/>
      <c r="R29" s="637"/>
      <c r="S29" s="637"/>
      <c r="T29" s="637"/>
      <c r="U29" s="637"/>
      <c r="V29" s="63"/>
      <c r="AA29" s="62"/>
      <c r="AB29" s="62"/>
      <c r="AO29" s="1"/>
      <c r="AP29" s="57"/>
    </row>
    <row r="30" spans="2:43" ht="15" customHeight="1">
      <c r="B30" s="1412" t="s">
        <v>3</v>
      </c>
      <c r="C30" s="1415"/>
      <c r="D30" s="1415"/>
      <c r="E30" s="1416" t="s">
        <v>172</v>
      </c>
      <c r="F30" s="1418" t="s">
        <v>15</v>
      </c>
      <c r="G30" s="1418"/>
      <c r="H30" s="1418"/>
      <c r="I30" s="1418"/>
      <c r="J30" s="1418" t="s">
        <v>16</v>
      </c>
      <c r="K30" s="1418"/>
      <c r="L30" s="1418"/>
      <c r="M30" s="1418"/>
      <c r="O30" s="1449" t="s">
        <v>40</v>
      </c>
      <c r="P30" s="1446" t="s">
        <v>171</v>
      </c>
      <c r="Q30" s="1440" t="s">
        <v>15</v>
      </c>
      <c r="R30" s="1440"/>
      <c r="S30" s="1440"/>
      <c r="T30" s="1440"/>
      <c r="U30" s="1440" t="s">
        <v>16</v>
      </c>
      <c r="V30" s="1440"/>
      <c r="W30" s="1440"/>
      <c r="X30" s="1440"/>
      <c r="Y30" s="1441" t="s">
        <v>177</v>
      </c>
      <c r="Z30" s="11"/>
      <c r="AA30" s="57"/>
      <c r="AB30" s="62"/>
      <c r="AM30" s="1412" t="s">
        <v>3</v>
      </c>
      <c r="AN30" s="1415"/>
      <c r="AO30" s="1415"/>
      <c r="AP30" s="1416" t="s">
        <v>172</v>
      </c>
      <c r="AQ30" s="85"/>
    </row>
    <row r="31" spans="2:43" s="1" customFormat="1">
      <c r="B31" s="1413"/>
      <c r="C31" s="1415"/>
      <c r="D31" s="1415"/>
      <c r="E31" s="1417"/>
      <c r="F31" s="370" t="s">
        <v>6</v>
      </c>
      <c r="G31" s="370" t="s">
        <v>7</v>
      </c>
      <c r="H31" s="370" t="s">
        <v>8</v>
      </c>
      <c r="I31" s="370" t="s">
        <v>9</v>
      </c>
      <c r="J31" s="370" t="s">
        <v>6</v>
      </c>
      <c r="K31" s="370" t="s">
        <v>7</v>
      </c>
      <c r="L31" s="370" t="s">
        <v>8</v>
      </c>
      <c r="M31" s="370" t="s">
        <v>9</v>
      </c>
      <c r="N31" s="2"/>
      <c r="O31" s="1444"/>
      <c r="P31" s="1446"/>
      <c r="Q31" s="368" t="s">
        <v>6</v>
      </c>
      <c r="R31" s="368" t="s">
        <v>7</v>
      </c>
      <c r="S31" s="368" t="s">
        <v>8</v>
      </c>
      <c r="T31" s="368" t="s">
        <v>9</v>
      </c>
      <c r="U31" s="368" t="s">
        <v>6</v>
      </c>
      <c r="V31" s="368" t="s">
        <v>7</v>
      </c>
      <c r="W31" s="368" t="s">
        <v>8</v>
      </c>
      <c r="X31" s="368" t="s">
        <v>9</v>
      </c>
      <c r="Y31" s="1442"/>
      <c r="Z31" s="11"/>
      <c r="AA31" s="57"/>
      <c r="AB31" s="57"/>
      <c r="AE31" s="2"/>
      <c r="AM31" s="1413"/>
      <c r="AN31" s="1415"/>
      <c r="AO31" s="1415"/>
      <c r="AP31" s="1417"/>
      <c r="AQ31" s="85"/>
    </row>
    <row r="32" spans="2:43" s="1" customFormat="1">
      <c r="B32" s="1413"/>
      <c r="C32" s="1418" t="s">
        <v>17</v>
      </c>
      <c r="D32" s="1418"/>
      <c r="E32" s="53" t="s">
        <v>169</v>
      </c>
      <c r="F32" s="3">
        <f>単価表!AV23</f>
        <v>0</v>
      </c>
      <c r="G32" s="3">
        <f>単価表!AV25</f>
        <v>0</v>
      </c>
      <c r="H32" s="3">
        <f>単価表!AV27</f>
        <v>0</v>
      </c>
      <c r="I32" s="3">
        <f>単価表!AV29</f>
        <v>0</v>
      </c>
      <c r="J32" s="3">
        <f>単価表!AW23</f>
        <v>0</v>
      </c>
      <c r="K32" s="3">
        <f>単価表!AW25</f>
        <v>0</v>
      </c>
      <c r="L32" s="3">
        <f>単価表!AW27</f>
        <v>0</v>
      </c>
      <c r="M32" s="3">
        <f>単価表!AW29</f>
        <v>0</v>
      </c>
      <c r="O32" s="1444"/>
      <c r="P32" s="630">
        <f>P6</f>
        <v>0</v>
      </c>
      <c r="Q32" s="3">
        <f>児童数!R29</f>
        <v>0</v>
      </c>
      <c r="R32" s="3">
        <f>児童数!S29</f>
        <v>0</v>
      </c>
      <c r="S32" s="3">
        <f>児童数!T29</f>
        <v>0</v>
      </c>
      <c r="T32" s="3">
        <f>児童数!U29</f>
        <v>0</v>
      </c>
      <c r="U32" s="3">
        <f>児童数!W29</f>
        <v>0</v>
      </c>
      <c r="V32" s="3">
        <f>児童数!X29</f>
        <v>0</v>
      </c>
      <c r="W32" s="3">
        <f>児童数!Y29</f>
        <v>0</v>
      </c>
      <c r="X32" s="3">
        <f>児童数!Z29</f>
        <v>0</v>
      </c>
      <c r="Y32" s="64">
        <f>SUM(Q32:X32)</f>
        <v>0</v>
      </c>
      <c r="Z32" s="2"/>
      <c r="AA32" s="57"/>
      <c r="AB32" s="57"/>
      <c r="AM32" s="1413"/>
      <c r="AN32" s="1418" t="s">
        <v>17</v>
      </c>
      <c r="AO32" s="1418"/>
      <c r="AP32" s="53" t="s">
        <v>169</v>
      </c>
      <c r="AQ32" s="85">
        <f>SUMPRODUCT(F32:M32,$Q$37:$X$37)</f>
        <v>0</v>
      </c>
    </row>
    <row r="33" spans="2:43" s="1" customFormat="1" ht="15" customHeight="1">
      <c r="B33" s="1413"/>
      <c r="C33" s="1418"/>
      <c r="D33" s="1418"/>
      <c r="E33" s="53" t="s">
        <v>167</v>
      </c>
      <c r="F33" s="3">
        <f>単価表!AX23*基本情報!G7</f>
        <v>0</v>
      </c>
      <c r="G33" s="3">
        <f>単価表!AX25*基本情報!G7</f>
        <v>0</v>
      </c>
      <c r="H33" s="3">
        <f>単価表!AX27*基本情報!G7</f>
        <v>0</v>
      </c>
      <c r="I33" s="3">
        <f>単価表!AX29*基本情報!G7</f>
        <v>0</v>
      </c>
      <c r="J33" s="3">
        <f>単価表!AY23*基本情報!G7</f>
        <v>0</v>
      </c>
      <c r="K33" s="3">
        <f>単価表!AY25*基本情報!G7</f>
        <v>0</v>
      </c>
      <c r="L33" s="3">
        <f>単価表!AY27*基本情報!G7</f>
        <v>0</v>
      </c>
      <c r="M33" s="3">
        <f>単価表!AY29*基本情報!G7</f>
        <v>0</v>
      </c>
      <c r="O33" s="1444"/>
      <c r="P33" s="631">
        <f>P7</f>
        <v>0</v>
      </c>
      <c r="Q33" s="3">
        <f>児童数!R43</f>
        <v>0</v>
      </c>
      <c r="R33" s="3">
        <f>児童数!S43</f>
        <v>0</v>
      </c>
      <c r="S33" s="3">
        <f>児童数!T43</f>
        <v>0</v>
      </c>
      <c r="T33" s="3">
        <f>児童数!U43</f>
        <v>0</v>
      </c>
      <c r="U33" s="3">
        <f>児童数!W43</f>
        <v>0</v>
      </c>
      <c r="V33" s="3">
        <f>児童数!X43</f>
        <v>0</v>
      </c>
      <c r="W33" s="3">
        <f>児童数!Y43</f>
        <v>0</v>
      </c>
      <c r="X33" s="3">
        <f>児童数!Z43</f>
        <v>0</v>
      </c>
      <c r="Y33" s="64">
        <f t="shared" ref="Y33:Y36" si="25">SUM(Q33:X33)</f>
        <v>0</v>
      </c>
      <c r="Z33" s="2"/>
      <c r="AA33" s="62"/>
      <c r="AB33" s="57"/>
      <c r="AM33" s="1413"/>
      <c r="AN33" s="1418"/>
      <c r="AO33" s="1418"/>
      <c r="AP33" s="53" t="s">
        <v>167</v>
      </c>
      <c r="AQ33" s="85">
        <f t="shared" ref="AQ33:AQ53" si="26">SUMPRODUCT(F33:M33,$Q$37:$X$37)</f>
        <v>0</v>
      </c>
    </row>
    <row r="34" spans="2:43" ht="16.5">
      <c r="B34" s="1413"/>
      <c r="C34" s="1419" t="s">
        <v>203</v>
      </c>
      <c r="D34" s="1422" t="s">
        <v>37</v>
      </c>
      <c r="E34" s="53" t="s">
        <v>169</v>
      </c>
      <c r="F34" s="6"/>
      <c r="G34" s="3">
        <f>IF(基本情報!E5="",0,G8)</f>
        <v>0</v>
      </c>
      <c r="H34" s="6"/>
      <c r="I34" s="6"/>
      <c r="J34" s="6"/>
      <c r="K34" s="3">
        <f>IF(基本情報!E5="",0,K8)</f>
        <v>0</v>
      </c>
      <c r="L34" s="6"/>
      <c r="M34" s="6"/>
      <c r="N34" s="1"/>
      <c r="O34" s="1444"/>
      <c r="P34" s="632">
        <f>P8</f>
        <v>0</v>
      </c>
      <c r="Q34" s="3">
        <f>児童数!R57</f>
        <v>0</v>
      </c>
      <c r="R34" s="3">
        <f>児童数!S57</f>
        <v>0</v>
      </c>
      <c r="S34" s="3">
        <f>児童数!T57</f>
        <v>0</v>
      </c>
      <c r="T34" s="3">
        <f>児童数!U57</f>
        <v>0</v>
      </c>
      <c r="U34" s="3">
        <f>児童数!W57</f>
        <v>0</v>
      </c>
      <c r="V34" s="3">
        <f>児童数!X57</f>
        <v>0</v>
      </c>
      <c r="W34" s="3">
        <f>児童数!Y57</f>
        <v>0</v>
      </c>
      <c r="X34" s="3">
        <f>児童数!Z57</f>
        <v>0</v>
      </c>
      <c r="Y34" s="64">
        <f t="shared" si="25"/>
        <v>0</v>
      </c>
      <c r="AA34" s="62"/>
      <c r="AB34" s="62"/>
      <c r="AE34" s="1"/>
      <c r="AM34" s="1413"/>
      <c r="AN34" s="1419" t="s">
        <v>203</v>
      </c>
      <c r="AO34" s="1422" t="s">
        <v>37</v>
      </c>
      <c r="AP34" s="732" t="s">
        <v>559</v>
      </c>
      <c r="AQ34" s="85">
        <f t="shared" si="26"/>
        <v>0</v>
      </c>
    </row>
    <row r="35" spans="2:43">
      <c r="B35" s="1413"/>
      <c r="C35" s="1420"/>
      <c r="D35" s="1422"/>
      <c r="E35" s="53" t="s">
        <v>167</v>
      </c>
      <c r="F35" s="6"/>
      <c r="G35" s="3">
        <f>IF(基本情報!E5="",0,G9)</f>
        <v>0</v>
      </c>
      <c r="H35" s="6"/>
      <c r="I35" s="6"/>
      <c r="J35" s="6"/>
      <c r="K35" s="3">
        <f>IF(基本情報!E5="",0,K9)</f>
        <v>0</v>
      </c>
      <c r="L35" s="6"/>
      <c r="M35" s="6"/>
      <c r="O35" s="1444"/>
      <c r="P35" s="633">
        <f>P9</f>
        <v>0</v>
      </c>
      <c r="Q35" s="3">
        <f>児童数!R71</f>
        <v>0</v>
      </c>
      <c r="R35" s="3">
        <f>児童数!S71</f>
        <v>0</v>
      </c>
      <c r="S35" s="3">
        <f>児童数!T71</f>
        <v>0</v>
      </c>
      <c r="T35" s="3">
        <f>児童数!U71</f>
        <v>0</v>
      </c>
      <c r="U35" s="3">
        <f>児童数!W71</f>
        <v>0</v>
      </c>
      <c r="V35" s="3">
        <f>児童数!X71</f>
        <v>0</v>
      </c>
      <c r="W35" s="3">
        <f>児童数!Y71</f>
        <v>0</v>
      </c>
      <c r="X35" s="3">
        <f>児童数!Z71</f>
        <v>0</v>
      </c>
      <c r="Y35" s="64">
        <f t="shared" si="25"/>
        <v>0</v>
      </c>
      <c r="AA35" s="62"/>
      <c r="AB35" s="62"/>
      <c r="AM35" s="1413"/>
      <c r="AN35" s="1420"/>
      <c r="AO35" s="1422"/>
      <c r="AP35" s="53" t="s">
        <v>167</v>
      </c>
      <c r="AQ35" s="85">
        <f t="shared" si="26"/>
        <v>0</v>
      </c>
    </row>
    <row r="36" spans="2:43">
      <c r="B36" s="1413"/>
      <c r="C36" s="1420"/>
      <c r="D36" s="383" t="s">
        <v>69</v>
      </c>
      <c r="E36" s="60"/>
      <c r="F36" s="3">
        <f>IF(基本情報!E5="",0,F10)</f>
        <v>0</v>
      </c>
      <c r="G36" s="3">
        <f>$F36</f>
        <v>0</v>
      </c>
      <c r="H36" s="3">
        <f t="shared" ref="H36:L36" si="27">$F36</f>
        <v>0</v>
      </c>
      <c r="I36" s="3">
        <f t="shared" si="27"/>
        <v>0</v>
      </c>
      <c r="J36" s="3">
        <f t="shared" si="27"/>
        <v>0</v>
      </c>
      <c r="K36" s="3">
        <f t="shared" si="27"/>
        <v>0</v>
      </c>
      <c r="L36" s="3">
        <f t="shared" si="27"/>
        <v>0</v>
      </c>
      <c r="M36" s="3">
        <f>$F36</f>
        <v>0</v>
      </c>
      <c r="O36" s="1444"/>
      <c r="P36" s="634">
        <f>P10</f>
        <v>0</v>
      </c>
      <c r="Q36" s="3">
        <f>児童数!R85</f>
        <v>0</v>
      </c>
      <c r="R36" s="3">
        <f>児童数!S85</f>
        <v>0</v>
      </c>
      <c r="S36" s="3">
        <f>児童数!T85</f>
        <v>0</v>
      </c>
      <c r="T36" s="3">
        <f>児童数!U85</f>
        <v>0</v>
      </c>
      <c r="U36" s="3">
        <f>児童数!W85</f>
        <v>0</v>
      </c>
      <c r="V36" s="3">
        <f>児童数!X85</f>
        <v>0</v>
      </c>
      <c r="W36" s="3">
        <f>児童数!Y85</f>
        <v>0</v>
      </c>
      <c r="X36" s="3">
        <f>児童数!Z85</f>
        <v>0</v>
      </c>
      <c r="Y36" s="64">
        <f t="shared" si="25"/>
        <v>0</v>
      </c>
      <c r="AA36" s="62"/>
      <c r="AB36" s="62"/>
      <c r="AM36" s="1413"/>
      <c r="AN36" s="1420"/>
      <c r="AO36" s="383" t="s">
        <v>69</v>
      </c>
      <c r="AP36" s="629"/>
      <c r="AQ36" s="85">
        <f t="shared" si="26"/>
        <v>0</v>
      </c>
    </row>
    <row r="37" spans="2:43">
      <c r="B37" s="1413"/>
      <c r="C37" s="1420"/>
      <c r="D37" s="1422" t="s">
        <v>161</v>
      </c>
      <c r="E37" s="53" t="s">
        <v>169</v>
      </c>
      <c r="F37" s="3">
        <f>IF(基本情報!E5="",0,F11)</f>
        <v>0</v>
      </c>
      <c r="G37" s="3">
        <f>F37</f>
        <v>0</v>
      </c>
      <c r="H37" s="3">
        <f>IF(基本情報!E5="",0,H11)</f>
        <v>0</v>
      </c>
      <c r="I37" s="3">
        <f>H37</f>
        <v>0</v>
      </c>
      <c r="J37" s="3">
        <f>F37</f>
        <v>0</v>
      </c>
      <c r="K37" s="3">
        <f>F37</f>
        <v>0</v>
      </c>
      <c r="L37" s="3">
        <f>H37</f>
        <v>0</v>
      </c>
      <c r="M37" s="3">
        <f>H37</f>
        <v>0</v>
      </c>
      <c r="O37" s="1445"/>
      <c r="P37" s="635" t="s">
        <v>36</v>
      </c>
      <c r="Q37" s="3">
        <f>SUM(Q32:Q36)</f>
        <v>0</v>
      </c>
      <c r="R37" s="3">
        <f t="shared" ref="R37:Y37" si="28">SUM(R32:R36)</f>
        <v>0</v>
      </c>
      <c r="S37" s="3">
        <f t="shared" si="28"/>
        <v>0</v>
      </c>
      <c r="T37" s="3">
        <f t="shared" si="28"/>
        <v>0</v>
      </c>
      <c r="U37" s="3">
        <f t="shared" si="28"/>
        <v>0</v>
      </c>
      <c r="V37" s="3">
        <f t="shared" si="28"/>
        <v>0</v>
      </c>
      <c r="W37" s="3">
        <f t="shared" si="28"/>
        <v>0</v>
      </c>
      <c r="X37" s="3">
        <f t="shared" si="28"/>
        <v>0</v>
      </c>
      <c r="Y37" s="3">
        <f t="shared" si="28"/>
        <v>0</v>
      </c>
      <c r="Z37" s="55" t="s">
        <v>176</v>
      </c>
      <c r="AA37" s="71" t="str">
        <f>IF(SUM(Q37:X37)=I2,"OK",SUM(Q37:X37)-G27)</f>
        <v>OK</v>
      </c>
      <c r="AM37" s="1413"/>
      <c r="AN37" s="1420"/>
      <c r="AO37" s="1422" t="s">
        <v>161</v>
      </c>
      <c r="AP37" s="53" t="s">
        <v>169</v>
      </c>
      <c r="AQ37" s="85">
        <f t="shared" si="26"/>
        <v>0</v>
      </c>
    </row>
    <row r="38" spans="2:43">
      <c r="B38" s="1413"/>
      <c r="C38" s="1420"/>
      <c r="D38" s="1422"/>
      <c r="E38" s="53" t="s">
        <v>167</v>
      </c>
      <c r="F38" s="3">
        <f>IF(基本情報!E5="",0,F12)</f>
        <v>0</v>
      </c>
      <c r="G38" s="3">
        <f>$F38</f>
        <v>0</v>
      </c>
      <c r="H38" s="3">
        <f t="shared" ref="H38:M38" si="29">$F38</f>
        <v>0</v>
      </c>
      <c r="I38" s="3">
        <f t="shared" si="29"/>
        <v>0</v>
      </c>
      <c r="J38" s="3">
        <f t="shared" si="29"/>
        <v>0</v>
      </c>
      <c r="K38" s="3">
        <f t="shared" si="29"/>
        <v>0</v>
      </c>
      <c r="L38" s="3">
        <f t="shared" si="29"/>
        <v>0</v>
      </c>
      <c r="M38" s="3">
        <f t="shared" si="29"/>
        <v>0</v>
      </c>
      <c r="O38" s="58"/>
      <c r="P38" s="58"/>
      <c r="Q38" s="10"/>
      <c r="R38" s="10"/>
      <c r="S38" s="10"/>
      <c r="T38" s="10"/>
      <c r="U38" s="10"/>
      <c r="V38" s="10"/>
      <c r="W38" s="10"/>
      <c r="X38" s="10"/>
      <c r="Y38" s="11"/>
      <c r="Z38" s="11"/>
      <c r="AM38" s="1413"/>
      <c r="AN38" s="1420"/>
      <c r="AO38" s="1422"/>
      <c r="AP38" s="53" t="s">
        <v>167</v>
      </c>
      <c r="AQ38" s="85">
        <f t="shared" si="26"/>
        <v>0</v>
      </c>
    </row>
    <row r="39" spans="2:43" ht="16.5">
      <c r="B39" s="1413"/>
      <c r="C39" s="1420"/>
      <c r="D39" s="366" t="s">
        <v>162</v>
      </c>
      <c r="E39" s="59"/>
      <c r="F39" s="3">
        <f>IF(基本情報!E5="",0,F13)</f>
        <v>0</v>
      </c>
      <c r="G39" s="3">
        <f t="shared" ref="G39:M42" si="30">$F39</f>
        <v>0</v>
      </c>
      <c r="H39" s="3">
        <f t="shared" si="30"/>
        <v>0</v>
      </c>
      <c r="I39" s="3">
        <f t="shared" si="30"/>
        <v>0</v>
      </c>
      <c r="J39" s="3">
        <f t="shared" si="30"/>
        <v>0</v>
      </c>
      <c r="K39" s="3">
        <f t="shared" si="30"/>
        <v>0</v>
      </c>
      <c r="L39" s="3">
        <f t="shared" si="30"/>
        <v>0</v>
      </c>
      <c r="M39" s="3">
        <f t="shared" si="30"/>
        <v>0</v>
      </c>
      <c r="O39" s="1443" t="s">
        <v>189</v>
      </c>
      <c r="P39" s="1446" t="s">
        <v>171</v>
      </c>
      <c r="Q39" s="1440" t="s">
        <v>15</v>
      </c>
      <c r="R39" s="1440"/>
      <c r="S39" s="1440"/>
      <c r="T39" s="1440"/>
      <c r="U39" s="1440" t="s">
        <v>16</v>
      </c>
      <c r="V39" s="1440"/>
      <c r="W39" s="1440"/>
      <c r="X39" s="1440"/>
      <c r="Y39" s="1441" t="s">
        <v>177</v>
      </c>
      <c r="AM39" s="1413"/>
      <c r="AN39" s="1420"/>
      <c r="AO39" s="720" t="s">
        <v>162</v>
      </c>
      <c r="AP39" s="731" t="s">
        <v>353</v>
      </c>
      <c r="AQ39" s="85">
        <f t="shared" si="26"/>
        <v>0</v>
      </c>
    </row>
    <row r="40" spans="2:43" ht="16.5">
      <c r="B40" s="1413"/>
      <c r="C40" s="1420"/>
      <c r="D40" s="366" t="s">
        <v>54</v>
      </c>
      <c r="E40" s="59"/>
      <c r="F40" s="3">
        <f>IF(基本情報!E5="",0,F14)</f>
        <v>0</v>
      </c>
      <c r="G40" s="3">
        <f t="shared" si="30"/>
        <v>0</v>
      </c>
      <c r="H40" s="3">
        <f t="shared" si="30"/>
        <v>0</v>
      </c>
      <c r="I40" s="3">
        <f t="shared" si="30"/>
        <v>0</v>
      </c>
      <c r="J40" s="3">
        <f t="shared" si="30"/>
        <v>0</v>
      </c>
      <c r="K40" s="3">
        <f t="shared" si="30"/>
        <v>0</v>
      </c>
      <c r="L40" s="3">
        <f t="shared" si="30"/>
        <v>0</v>
      </c>
      <c r="M40" s="3">
        <f t="shared" si="30"/>
        <v>0</v>
      </c>
      <c r="O40" s="1444"/>
      <c r="P40" s="1446"/>
      <c r="Q40" s="368" t="s">
        <v>6</v>
      </c>
      <c r="R40" s="368" t="s">
        <v>7</v>
      </c>
      <c r="S40" s="368" t="s">
        <v>8</v>
      </c>
      <c r="T40" s="368" t="s">
        <v>9</v>
      </c>
      <c r="U40" s="368" t="s">
        <v>6</v>
      </c>
      <c r="V40" s="368" t="s">
        <v>7</v>
      </c>
      <c r="W40" s="368" t="s">
        <v>8</v>
      </c>
      <c r="X40" s="368" t="s">
        <v>9</v>
      </c>
      <c r="Y40" s="1442"/>
      <c r="AM40" s="1413"/>
      <c r="AN40" s="1420"/>
      <c r="AO40" s="720" t="s">
        <v>54</v>
      </c>
      <c r="AP40" s="731" t="s">
        <v>353</v>
      </c>
      <c r="AQ40" s="85">
        <f t="shared" si="26"/>
        <v>0</v>
      </c>
    </row>
    <row r="41" spans="2:43" ht="16.5">
      <c r="B41" s="1413"/>
      <c r="C41" s="1420"/>
      <c r="D41" s="1422" t="s">
        <v>38</v>
      </c>
      <c r="E41" s="53" t="s">
        <v>169</v>
      </c>
      <c r="F41" s="3">
        <f>IF(基本情報!E5="",0,F15)</f>
        <v>0</v>
      </c>
      <c r="G41" s="3">
        <f t="shared" si="30"/>
        <v>0</v>
      </c>
      <c r="H41" s="3">
        <f t="shared" si="30"/>
        <v>0</v>
      </c>
      <c r="I41" s="3">
        <f t="shared" si="30"/>
        <v>0</v>
      </c>
      <c r="J41" s="3">
        <f t="shared" si="30"/>
        <v>0</v>
      </c>
      <c r="K41" s="3">
        <f t="shared" si="30"/>
        <v>0</v>
      </c>
      <c r="L41" s="3">
        <f t="shared" si="30"/>
        <v>0</v>
      </c>
      <c r="M41" s="3">
        <f t="shared" si="30"/>
        <v>0</v>
      </c>
      <c r="O41" s="1444"/>
      <c r="P41" s="630">
        <f>P32</f>
        <v>0</v>
      </c>
      <c r="Q41" s="3">
        <f t="shared" ref="Q41:X41" si="31">F54*Q32</f>
        <v>0</v>
      </c>
      <c r="R41" s="3">
        <f t="shared" si="31"/>
        <v>0</v>
      </c>
      <c r="S41" s="3">
        <f t="shared" si="31"/>
        <v>0</v>
      </c>
      <c r="T41" s="3">
        <f t="shared" si="31"/>
        <v>0</v>
      </c>
      <c r="U41" s="3">
        <f t="shared" si="31"/>
        <v>0</v>
      </c>
      <c r="V41" s="3">
        <f t="shared" si="31"/>
        <v>0</v>
      </c>
      <c r="W41" s="3">
        <f t="shared" si="31"/>
        <v>0</v>
      </c>
      <c r="X41" s="3">
        <f t="shared" si="31"/>
        <v>0</v>
      </c>
      <c r="Y41" s="3">
        <f>SUM(Q41:X41)</f>
        <v>0</v>
      </c>
      <c r="AM41" s="1413"/>
      <c r="AN41" s="1420"/>
      <c r="AO41" s="1422" t="s">
        <v>38</v>
      </c>
      <c r="AP41" s="732" t="s">
        <v>559</v>
      </c>
      <c r="AQ41" s="85">
        <f t="shared" si="26"/>
        <v>0</v>
      </c>
    </row>
    <row r="42" spans="2:43">
      <c r="B42" s="1413"/>
      <c r="C42" s="1421"/>
      <c r="D42" s="1422"/>
      <c r="E42" s="53" t="s">
        <v>167</v>
      </c>
      <c r="F42" s="3">
        <f>IF(基本情報!E5="",0,F16)</f>
        <v>0</v>
      </c>
      <c r="G42" s="3">
        <f>$F42</f>
        <v>0</v>
      </c>
      <c r="H42" s="3">
        <f t="shared" si="30"/>
        <v>0</v>
      </c>
      <c r="I42" s="3">
        <f t="shared" si="30"/>
        <v>0</v>
      </c>
      <c r="J42" s="3">
        <f t="shared" si="30"/>
        <v>0</v>
      </c>
      <c r="K42" s="3">
        <f t="shared" si="30"/>
        <v>0</v>
      </c>
      <c r="L42" s="3">
        <f t="shared" si="30"/>
        <v>0</v>
      </c>
      <c r="M42" s="3">
        <f t="shared" si="30"/>
        <v>0</v>
      </c>
      <c r="O42" s="1444"/>
      <c r="P42" s="631">
        <f>P33</f>
        <v>0</v>
      </c>
      <c r="Q42" s="3">
        <f t="shared" ref="Q42:X42" si="32">F54*Q33</f>
        <v>0</v>
      </c>
      <c r="R42" s="3">
        <f t="shared" si="32"/>
        <v>0</v>
      </c>
      <c r="S42" s="3">
        <f t="shared" si="32"/>
        <v>0</v>
      </c>
      <c r="T42" s="3">
        <f t="shared" si="32"/>
        <v>0</v>
      </c>
      <c r="U42" s="3">
        <f t="shared" si="32"/>
        <v>0</v>
      </c>
      <c r="V42" s="3">
        <f t="shared" si="32"/>
        <v>0</v>
      </c>
      <c r="W42" s="3">
        <f t="shared" si="32"/>
        <v>0</v>
      </c>
      <c r="X42" s="3">
        <f t="shared" si="32"/>
        <v>0</v>
      </c>
      <c r="Y42" s="3">
        <f t="shared" ref="Y42:Y45" si="33">SUM(Q42:X42)</f>
        <v>0</v>
      </c>
      <c r="AM42" s="1413"/>
      <c r="AN42" s="1421"/>
      <c r="AO42" s="1422"/>
      <c r="AP42" s="53" t="s">
        <v>167</v>
      </c>
      <c r="AQ42" s="85">
        <f t="shared" si="26"/>
        <v>0</v>
      </c>
    </row>
    <row r="43" spans="2:43">
      <c r="B43" s="1413"/>
      <c r="C43" s="1423" t="s">
        <v>205</v>
      </c>
      <c r="D43" s="371" t="s">
        <v>164</v>
      </c>
      <c r="E43" s="60"/>
      <c r="F43" s="3">
        <f t="shared" ref="F43:M43" si="34">-ROUNDDOWN((F32+F33)*$P$2%,-1)</f>
        <v>0</v>
      </c>
      <c r="G43" s="3">
        <f t="shared" si="34"/>
        <v>0</v>
      </c>
      <c r="H43" s="3">
        <f t="shared" si="34"/>
        <v>0</v>
      </c>
      <c r="I43" s="3">
        <f t="shared" si="34"/>
        <v>0</v>
      </c>
      <c r="J43" s="3">
        <f t="shared" si="34"/>
        <v>0</v>
      </c>
      <c r="K43" s="3">
        <f t="shared" si="34"/>
        <v>0</v>
      </c>
      <c r="L43" s="3">
        <f t="shared" si="34"/>
        <v>0</v>
      </c>
      <c r="M43" s="3">
        <f t="shared" si="34"/>
        <v>0</v>
      </c>
      <c r="O43" s="1444"/>
      <c r="P43" s="632">
        <f>P34</f>
        <v>0</v>
      </c>
      <c r="Q43" s="3">
        <f t="shared" ref="Q43:X43" si="35">F54*Q34</f>
        <v>0</v>
      </c>
      <c r="R43" s="3">
        <f t="shared" si="35"/>
        <v>0</v>
      </c>
      <c r="S43" s="3">
        <f t="shared" si="35"/>
        <v>0</v>
      </c>
      <c r="T43" s="3">
        <f t="shared" si="35"/>
        <v>0</v>
      </c>
      <c r="U43" s="3">
        <f t="shared" si="35"/>
        <v>0</v>
      </c>
      <c r="V43" s="3">
        <f t="shared" si="35"/>
        <v>0</v>
      </c>
      <c r="W43" s="3">
        <f t="shared" si="35"/>
        <v>0</v>
      </c>
      <c r="X43" s="3">
        <f t="shared" si="35"/>
        <v>0</v>
      </c>
      <c r="Y43" s="3">
        <f t="shared" si="33"/>
        <v>0</v>
      </c>
      <c r="AM43" s="1413"/>
      <c r="AN43" s="1423" t="s">
        <v>205</v>
      </c>
      <c r="AO43" s="717" t="s">
        <v>164</v>
      </c>
      <c r="AP43" s="60"/>
      <c r="AQ43" s="85">
        <f t="shared" si="26"/>
        <v>0</v>
      </c>
    </row>
    <row r="44" spans="2:43">
      <c r="B44" s="1413"/>
      <c r="C44" s="1423"/>
      <c r="D44" s="1424" t="s">
        <v>43</v>
      </c>
      <c r="E44" s="53" t="s">
        <v>169</v>
      </c>
      <c r="F44" s="74">
        <f>IF(基本情報!E5="",0,-IF(加算と減算!L32="○",単価表!AZ23,0))</f>
        <v>0</v>
      </c>
      <c r="G44" s="74">
        <f>F44</f>
        <v>0</v>
      </c>
      <c r="H44" s="74">
        <f>F44</f>
        <v>0</v>
      </c>
      <c r="I44" s="74">
        <f>F44</f>
        <v>0</v>
      </c>
      <c r="J44" s="74">
        <f>F44</f>
        <v>0</v>
      </c>
      <c r="K44" s="74">
        <f>F44</f>
        <v>0</v>
      </c>
      <c r="L44" s="74">
        <f>F44</f>
        <v>0</v>
      </c>
      <c r="M44" s="74">
        <f>F44</f>
        <v>0</v>
      </c>
      <c r="O44" s="1444"/>
      <c r="P44" s="633">
        <f>P35</f>
        <v>0</v>
      </c>
      <c r="Q44" s="3">
        <f t="shared" ref="Q44:X44" si="36">F54*Q35</f>
        <v>0</v>
      </c>
      <c r="R44" s="3">
        <f t="shared" si="36"/>
        <v>0</v>
      </c>
      <c r="S44" s="3">
        <f t="shared" si="36"/>
        <v>0</v>
      </c>
      <c r="T44" s="3">
        <f t="shared" si="36"/>
        <v>0</v>
      </c>
      <c r="U44" s="3">
        <f t="shared" si="36"/>
        <v>0</v>
      </c>
      <c r="V44" s="3">
        <f t="shared" si="36"/>
        <v>0</v>
      </c>
      <c r="W44" s="3">
        <f t="shared" si="36"/>
        <v>0</v>
      </c>
      <c r="X44" s="3">
        <f t="shared" si="36"/>
        <v>0</v>
      </c>
      <c r="Y44" s="3">
        <f t="shared" si="33"/>
        <v>0</v>
      </c>
      <c r="AM44" s="1413"/>
      <c r="AN44" s="1423"/>
      <c r="AO44" s="1424" t="s">
        <v>43</v>
      </c>
      <c r="AP44" s="53" t="s">
        <v>169</v>
      </c>
      <c r="AQ44" s="85">
        <f t="shared" si="26"/>
        <v>0</v>
      </c>
    </row>
    <row r="45" spans="2:43">
      <c r="B45" s="1413"/>
      <c r="C45" s="1423"/>
      <c r="D45" s="1424"/>
      <c r="E45" s="53" t="s">
        <v>167</v>
      </c>
      <c r="F45" s="74">
        <f>IF(基本情報!E5="",0,-IF(加算と減算!L32="○",単価表!BA23*基本情報!G7,0))</f>
        <v>0</v>
      </c>
      <c r="G45" s="74">
        <f>F45</f>
        <v>0</v>
      </c>
      <c r="H45" s="74">
        <f>F45</f>
        <v>0</v>
      </c>
      <c r="I45" s="74">
        <f>F45</f>
        <v>0</v>
      </c>
      <c r="J45" s="74">
        <f>F45</f>
        <v>0</v>
      </c>
      <c r="K45" s="74">
        <f>F45</f>
        <v>0</v>
      </c>
      <c r="L45" s="74">
        <f>F45</f>
        <v>0</v>
      </c>
      <c r="M45" s="74">
        <f>F45</f>
        <v>0</v>
      </c>
      <c r="O45" s="1444"/>
      <c r="P45" s="634">
        <f>P36</f>
        <v>0</v>
      </c>
      <c r="Q45" s="3">
        <f t="shared" ref="Q45:X45" si="37">F54*Q36</f>
        <v>0</v>
      </c>
      <c r="R45" s="3">
        <f t="shared" si="37"/>
        <v>0</v>
      </c>
      <c r="S45" s="3">
        <f t="shared" si="37"/>
        <v>0</v>
      </c>
      <c r="T45" s="3">
        <f t="shared" si="37"/>
        <v>0</v>
      </c>
      <c r="U45" s="3">
        <f t="shared" si="37"/>
        <v>0</v>
      </c>
      <c r="V45" s="3">
        <f t="shared" si="37"/>
        <v>0</v>
      </c>
      <c r="W45" s="3">
        <f t="shared" si="37"/>
        <v>0</v>
      </c>
      <c r="X45" s="3">
        <f t="shared" si="37"/>
        <v>0</v>
      </c>
      <c r="Y45" s="3">
        <f t="shared" si="33"/>
        <v>0</v>
      </c>
      <c r="AM45" s="1413"/>
      <c r="AN45" s="1423"/>
      <c r="AO45" s="1424"/>
      <c r="AP45" s="53" t="s">
        <v>167</v>
      </c>
      <c r="AQ45" s="85">
        <f t="shared" si="26"/>
        <v>0</v>
      </c>
    </row>
    <row r="46" spans="2:43">
      <c r="B46" s="1413"/>
      <c r="C46" s="1423"/>
      <c r="D46" s="371" t="s">
        <v>165</v>
      </c>
      <c r="E46" s="60"/>
      <c r="F46" s="74">
        <f t="shared" ref="F46:M46" si="38">-ROUNDDOWN((F32+F33+F37+F38+F34+F35)*$T$2/100,-1)</f>
        <v>0</v>
      </c>
      <c r="G46" s="74">
        <f t="shared" si="38"/>
        <v>0</v>
      </c>
      <c r="H46" s="74">
        <f t="shared" si="38"/>
        <v>0</v>
      </c>
      <c r="I46" s="74">
        <f t="shared" si="38"/>
        <v>0</v>
      </c>
      <c r="J46" s="74">
        <f t="shared" si="38"/>
        <v>0</v>
      </c>
      <c r="K46" s="74">
        <f t="shared" si="38"/>
        <v>0</v>
      </c>
      <c r="L46" s="74">
        <f t="shared" si="38"/>
        <v>0</v>
      </c>
      <c r="M46" s="74">
        <f t="shared" si="38"/>
        <v>0</v>
      </c>
      <c r="O46" s="1445"/>
      <c r="P46" s="635" t="s">
        <v>36</v>
      </c>
      <c r="Q46" s="3">
        <f>SUM(Q41:Q45)</f>
        <v>0</v>
      </c>
      <c r="R46" s="3">
        <f t="shared" ref="R46:Y46" si="39">SUM(R41:R45)</f>
        <v>0</v>
      </c>
      <c r="S46" s="3">
        <f t="shared" si="39"/>
        <v>0</v>
      </c>
      <c r="T46" s="3">
        <f t="shared" si="39"/>
        <v>0</v>
      </c>
      <c r="U46" s="3">
        <f t="shared" si="39"/>
        <v>0</v>
      </c>
      <c r="V46" s="3">
        <f t="shared" si="39"/>
        <v>0</v>
      </c>
      <c r="W46" s="3">
        <f t="shared" si="39"/>
        <v>0</v>
      </c>
      <c r="X46" s="3">
        <f t="shared" si="39"/>
        <v>0</v>
      </c>
      <c r="Y46" s="3">
        <f t="shared" si="39"/>
        <v>0</v>
      </c>
      <c r="AM46" s="1413"/>
      <c r="AN46" s="1423"/>
      <c r="AO46" s="717" t="s">
        <v>165</v>
      </c>
      <c r="AP46" s="60"/>
      <c r="AQ46" s="85">
        <f t="shared" si="26"/>
        <v>0</v>
      </c>
    </row>
    <row r="47" spans="2:43" ht="15" customHeight="1">
      <c r="B47" s="1413"/>
      <c r="C47" s="1423"/>
      <c r="D47" s="371" t="s">
        <v>166</v>
      </c>
      <c r="E47" s="60"/>
      <c r="F47" s="74">
        <f>IF(基本情報!E5="",0,-ROUNDUP(SUM(F32:F46)*$W$2/100,-1))</f>
        <v>0</v>
      </c>
      <c r="G47" s="74">
        <f t="shared" ref="G47:M47" si="40">-ROUNDUP(SUM(G32:G46)*$W$2/100,-1)</f>
        <v>0</v>
      </c>
      <c r="H47" s="74">
        <f t="shared" si="40"/>
        <v>0</v>
      </c>
      <c r="I47" s="74">
        <f t="shared" si="40"/>
        <v>0</v>
      </c>
      <c r="J47" s="74">
        <f t="shared" si="40"/>
        <v>0</v>
      </c>
      <c r="K47" s="74">
        <f t="shared" si="40"/>
        <v>0</v>
      </c>
      <c r="L47" s="74">
        <f t="shared" si="40"/>
        <v>0</v>
      </c>
      <c r="M47" s="74">
        <f t="shared" si="40"/>
        <v>0</v>
      </c>
      <c r="O47" s="8"/>
      <c r="P47" s="58"/>
      <c r="Q47" s="7"/>
      <c r="R47" s="7"/>
      <c r="S47" s="7"/>
      <c r="T47" s="7"/>
      <c r="U47" s="7"/>
      <c r="V47" s="7"/>
      <c r="W47" s="7"/>
      <c r="X47" s="7"/>
      <c r="Y47" s="4"/>
      <c r="Z47" s="4"/>
      <c r="AM47" s="1413"/>
      <c r="AN47" s="1423"/>
      <c r="AO47" s="717" t="s">
        <v>166</v>
      </c>
      <c r="AP47" s="60"/>
      <c r="AQ47" s="85">
        <f t="shared" si="26"/>
        <v>0</v>
      </c>
    </row>
    <row r="48" spans="2:43" ht="15" customHeight="1">
      <c r="B48" s="1413"/>
      <c r="C48" s="1419" t="s">
        <v>204</v>
      </c>
      <c r="D48" s="366" t="s">
        <v>18</v>
      </c>
      <c r="E48" s="59"/>
      <c r="F48" s="3">
        <f>IF(基本情報!E5="",0,F21)</f>
        <v>0</v>
      </c>
      <c r="G48" s="3">
        <f>$F48</f>
        <v>0</v>
      </c>
      <c r="H48" s="3">
        <f t="shared" ref="H48:M48" si="41">$F48</f>
        <v>0</v>
      </c>
      <c r="I48" s="3">
        <f t="shared" si="41"/>
        <v>0</v>
      </c>
      <c r="J48" s="3">
        <f t="shared" si="41"/>
        <v>0</v>
      </c>
      <c r="K48" s="3">
        <f t="shared" si="41"/>
        <v>0</v>
      </c>
      <c r="L48" s="3">
        <f t="shared" si="41"/>
        <v>0</v>
      </c>
      <c r="M48" s="3">
        <f t="shared" si="41"/>
        <v>0</v>
      </c>
      <c r="O48" s="1443" t="s">
        <v>180</v>
      </c>
      <c r="P48" s="367" t="s">
        <v>171</v>
      </c>
      <c r="Q48" s="61" t="s">
        <v>178</v>
      </c>
      <c r="R48" s="40" t="s">
        <v>179</v>
      </c>
      <c r="S48" s="4"/>
      <c r="T48" s="1443" t="s">
        <v>190</v>
      </c>
      <c r="U48" s="367" t="s">
        <v>171</v>
      </c>
      <c r="V48" s="40" t="s">
        <v>179</v>
      </c>
      <c r="X48" s="1431" t="s">
        <v>186</v>
      </c>
      <c r="Y48" s="1431"/>
      <c r="AM48" s="1413"/>
      <c r="AN48" s="1419" t="s">
        <v>204</v>
      </c>
      <c r="AO48" s="720" t="s">
        <v>18</v>
      </c>
      <c r="AP48" s="732" t="s">
        <v>559</v>
      </c>
      <c r="AQ48" s="85">
        <f t="shared" si="26"/>
        <v>0</v>
      </c>
    </row>
    <row r="49" spans="2:43" ht="16.5">
      <c r="B49" s="1413"/>
      <c r="C49" s="1420"/>
      <c r="D49" s="366" t="s">
        <v>62</v>
      </c>
      <c r="E49" s="59"/>
      <c r="F49" s="3">
        <f>IF(基本情報!E5="",0,F22)</f>
        <v>0</v>
      </c>
      <c r="G49" s="3">
        <f t="shared" ref="G49:M53" si="42">$F49</f>
        <v>0</v>
      </c>
      <c r="H49" s="3">
        <f t="shared" si="42"/>
        <v>0</v>
      </c>
      <c r="I49" s="3">
        <f t="shared" si="42"/>
        <v>0</v>
      </c>
      <c r="J49" s="3">
        <f t="shared" si="42"/>
        <v>0</v>
      </c>
      <c r="K49" s="3">
        <f t="shared" si="42"/>
        <v>0</v>
      </c>
      <c r="L49" s="3">
        <f t="shared" si="42"/>
        <v>0</v>
      </c>
      <c r="M49" s="3">
        <f t="shared" si="42"/>
        <v>0</v>
      </c>
      <c r="O49" s="1444"/>
      <c r="P49" s="630">
        <f>P32</f>
        <v>0</v>
      </c>
      <c r="Q49" s="3">
        <f>児童数!AF29</f>
        <v>0</v>
      </c>
      <c r="R49" s="64">
        <f>4500*Q49</f>
        <v>0</v>
      </c>
      <c r="S49" s="4"/>
      <c r="T49" s="1444"/>
      <c r="U49" s="630">
        <f>P32</f>
        <v>0</v>
      </c>
      <c r="V49" s="65">
        <f>Y41+R49</f>
        <v>0</v>
      </c>
      <c r="X49" s="630">
        <f>P32</f>
        <v>0</v>
      </c>
      <c r="Y49" s="65" t="e">
        <f>V23+V49</f>
        <v>#VALUE!</v>
      </c>
      <c r="AM49" s="1413"/>
      <c r="AN49" s="1420"/>
      <c r="AO49" s="720" t="s">
        <v>62</v>
      </c>
      <c r="AP49" s="732" t="s">
        <v>559</v>
      </c>
      <c r="AQ49" s="85">
        <f t="shared" si="26"/>
        <v>0</v>
      </c>
    </row>
    <row r="50" spans="2:43" ht="16.5">
      <c r="B50" s="1413"/>
      <c r="C50" s="1420"/>
      <c r="D50" s="366" t="s">
        <v>19</v>
      </c>
      <c r="E50" s="59"/>
      <c r="F50" s="3">
        <f>IF(基本情報!E5="",0,F23)</f>
        <v>0</v>
      </c>
      <c r="G50" s="3">
        <f t="shared" si="42"/>
        <v>0</v>
      </c>
      <c r="H50" s="3">
        <f t="shared" si="42"/>
        <v>0</v>
      </c>
      <c r="I50" s="3">
        <f t="shared" si="42"/>
        <v>0</v>
      </c>
      <c r="J50" s="3">
        <f t="shared" si="42"/>
        <v>0</v>
      </c>
      <c r="K50" s="3">
        <f t="shared" si="42"/>
        <v>0</v>
      </c>
      <c r="L50" s="3">
        <f t="shared" si="42"/>
        <v>0</v>
      </c>
      <c r="M50" s="3">
        <f t="shared" si="42"/>
        <v>0</v>
      </c>
      <c r="O50" s="1444"/>
      <c r="P50" s="631">
        <f>P33</f>
        <v>0</v>
      </c>
      <c r="Q50" s="3">
        <f>児童数!AF43</f>
        <v>0</v>
      </c>
      <c r="R50" s="64">
        <f t="shared" ref="R50:R53" si="43">4500*Q50</f>
        <v>0</v>
      </c>
      <c r="S50" s="4"/>
      <c r="T50" s="1444"/>
      <c r="U50" s="631">
        <f>P33</f>
        <v>0</v>
      </c>
      <c r="V50" s="66">
        <f>Y42+R50</f>
        <v>0</v>
      </c>
      <c r="X50" s="631">
        <f>P33</f>
        <v>0</v>
      </c>
      <c r="Y50" s="66" t="e">
        <f>V24+V50</f>
        <v>#VALUE!</v>
      </c>
      <c r="AM50" s="1413"/>
      <c r="AN50" s="1420"/>
      <c r="AO50" s="720" t="s">
        <v>19</v>
      </c>
      <c r="AP50" s="732" t="s">
        <v>559</v>
      </c>
      <c r="AQ50" s="85">
        <f t="shared" si="26"/>
        <v>0</v>
      </c>
    </row>
    <row r="51" spans="2:43" ht="16.5">
      <c r="B51" s="1413"/>
      <c r="C51" s="1420"/>
      <c r="D51" s="366" t="s">
        <v>41</v>
      </c>
      <c r="E51" s="59"/>
      <c r="F51" s="3">
        <f>IF(基本情報!E5="",0,F24)</f>
        <v>0</v>
      </c>
      <c r="G51" s="3">
        <f t="shared" si="42"/>
        <v>0</v>
      </c>
      <c r="H51" s="3">
        <f t="shared" si="42"/>
        <v>0</v>
      </c>
      <c r="I51" s="3">
        <f t="shared" si="42"/>
        <v>0</v>
      </c>
      <c r="J51" s="3">
        <f t="shared" si="42"/>
        <v>0</v>
      </c>
      <c r="K51" s="3">
        <f t="shared" si="42"/>
        <v>0</v>
      </c>
      <c r="L51" s="3">
        <f t="shared" si="42"/>
        <v>0</v>
      </c>
      <c r="M51" s="3">
        <f t="shared" si="42"/>
        <v>0</v>
      </c>
      <c r="O51" s="1444"/>
      <c r="P51" s="632">
        <f>P34</f>
        <v>0</v>
      </c>
      <c r="Q51" s="3">
        <f>児童数!AF57</f>
        <v>0</v>
      </c>
      <c r="R51" s="64">
        <f t="shared" si="43"/>
        <v>0</v>
      </c>
      <c r="S51" s="4"/>
      <c r="T51" s="1444"/>
      <c r="U51" s="632">
        <f>P34</f>
        <v>0</v>
      </c>
      <c r="V51" s="67">
        <f>Y43+R51</f>
        <v>0</v>
      </c>
      <c r="X51" s="632">
        <f>P34</f>
        <v>0</v>
      </c>
      <c r="Y51" s="67" t="e">
        <f>V25+V51</f>
        <v>#VALUE!</v>
      </c>
      <c r="AM51" s="1413"/>
      <c r="AN51" s="1420"/>
      <c r="AO51" s="720" t="s">
        <v>41</v>
      </c>
      <c r="AP51" s="732" t="s">
        <v>559</v>
      </c>
      <c r="AQ51" s="85">
        <f t="shared" si="26"/>
        <v>0</v>
      </c>
    </row>
    <row r="52" spans="2:43" ht="16.5">
      <c r="B52" s="1413"/>
      <c r="C52" s="1420"/>
      <c r="D52" s="366" t="s">
        <v>42</v>
      </c>
      <c r="E52" s="59"/>
      <c r="F52" s="3">
        <f>IF(基本情報!E5="",0,F25)</f>
        <v>0</v>
      </c>
      <c r="G52" s="3">
        <f t="shared" si="42"/>
        <v>0</v>
      </c>
      <c r="H52" s="3">
        <f t="shared" si="42"/>
        <v>0</v>
      </c>
      <c r="I52" s="3">
        <f t="shared" si="42"/>
        <v>0</v>
      </c>
      <c r="J52" s="3">
        <f t="shared" si="42"/>
        <v>0</v>
      </c>
      <c r="K52" s="3">
        <f t="shared" si="42"/>
        <v>0</v>
      </c>
      <c r="L52" s="3">
        <f t="shared" si="42"/>
        <v>0</v>
      </c>
      <c r="M52" s="3">
        <f t="shared" si="42"/>
        <v>0</v>
      </c>
      <c r="O52" s="1444"/>
      <c r="P52" s="633">
        <f>P35</f>
        <v>0</v>
      </c>
      <c r="Q52" s="3">
        <f>児童数!AF71</f>
        <v>0</v>
      </c>
      <c r="R52" s="64">
        <f t="shared" si="43"/>
        <v>0</v>
      </c>
      <c r="S52" s="4"/>
      <c r="T52" s="1444"/>
      <c r="U52" s="633">
        <f>P35</f>
        <v>0</v>
      </c>
      <c r="V52" s="68">
        <f>Y44+R52</f>
        <v>0</v>
      </c>
      <c r="X52" s="633">
        <f>P35</f>
        <v>0</v>
      </c>
      <c r="Y52" s="68" t="e">
        <f>V26+V52</f>
        <v>#VALUE!</v>
      </c>
      <c r="AM52" s="1413"/>
      <c r="AN52" s="1420"/>
      <c r="AO52" s="720" t="s">
        <v>42</v>
      </c>
      <c r="AP52" s="731" t="s">
        <v>353</v>
      </c>
      <c r="AQ52" s="85">
        <f t="shared" si="26"/>
        <v>0</v>
      </c>
    </row>
    <row r="53" spans="2:43" ht="16.5">
      <c r="B53" s="1413"/>
      <c r="C53" s="1421"/>
      <c r="D53" s="366" t="s">
        <v>80</v>
      </c>
      <c r="E53" s="59"/>
      <c r="F53" s="3">
        <f>IF(基本情報!E5="",0,F26)</f>
        <v>0</v>
      </c>
      <c r="G53" s="3">
        <f t="shared" si="42"/>
        <v>0</v>
      </c>
      <c r="H53" s="3">
        <f t="shared" si="42"/>
        <v>0</v>
      </c>
      <c r="I53" s="3">
        <f t="shared" si="42"/>
        <v>0</v>
      </c>
      <c r="J53" s="3">
        <f t="shared" si="42"/>
        <v>0</v>
      </c>
      <c r="K53" s="3">
        <f t="shared" si="42"/>
        <v>0</v>
      </c>
      <c r="L53" s="3">
        <f t="shared" si="42"/>
        <v>0</v>
      </c>
      <c r="M53" s="3">
        <f t="shared" si="42"/>
        <v>0</v>
      </c>
      <c r="O53" s="1444"/>
      <c r="P53" s="634">
        <f>P36</f>
        <v>0</v>
      </c>
      <c r="Q53" s="3">
        <f>児童数!AF85</f>
        <v>0</v>
      </c>
      <c r="R53" s="64">
        <f t="shared" si="43"/>
        <v>0</v>
      </c>
      <c r="S53" s="4"/>
      <c r="T53" s="1444"/>
      <c r="U53" s="634">
        <f>P36</f>
        <v>0</v>
      </c>
      <c r="V53" s="69">
        <f>Y45+R53</f>
        <v>0</v>
      </c>
      <c r="X53" s="634">
        <f>P36</f>
        <v>0</v>
      </c>
      <c r="Y53" s="69" t="e">
        <f>V27+V53</f>
        <v>#VALUE!</v>
      </c>
      <c r="AM53" s="1413"/>
      <c r="AN53" s="1421"/>
      <c r="AO53" s="720" t="s">
        <v>80</v>
      </c>
      <c r="AP53" s="731" t="s">
        <v>353</v>
      </c>
      <c r="AQ53" s="85">
        <f t="shared" si="26"/>
        <v>0</v>
      </c>
    </row>
    <row r="54" spans="2:43" ht="17.25" thickBot="1">
      <c r="B54" s="1414"/>
      <c r="C54" s="1410" t="s">
        <v>44</v>
      </c>
      <c r="D54" s="1411"/>
      <c r="E54" s="53"/>
      <c r="F54" s="5">
        <f t="shared" ref="F54:M54" si="44">SUM(F32:F53)</f>
        <v>0</v>
      </c>
      <c r="G54" s="5">
        <f t="shared" si="44"/>
        <v>0</v>
      </c>
      <c r="H54" s="5">
        <f t="shared" si="44"/>
        <v>0</v>
      </c>
      <c r="I54" s="5">
        <f t="shared" si="44"/>
        <v>0</v>
      </c>
      <c r="J54" s="5">
        <f t="shared" si="44"/>
        <v>0</v>
      </c>
      <c r="K54" s="5">
        <f t="shared" si="44"/>
        <v>0</v>
      </c>
      <c r="L54" s="5">
        <f t="shared" si="44"/>
        <v>0</v>
      </c>
      <c r="M54" s="5">
        <f t="shared" si="44"/>
        <v>0</v>
      </c>
      <c r="O54" s="1445"/>
      <c r="P54" s="635" t="s">
        <v>36</v>
      </c>
      <c r="Q54" s="3">
        <f>SUM(Q49:Q53)</f>
        <v>0</v>
      </c>
      <c r="R54" s="3">
        <f>SUM(R49:R53)</f>
        <v>0</v>
      </c>
      <c r="S54" s="4"/>
      <c r="T54" s="1445"/>
      <c r="U54" s="635" t="s">
        <v>36</v>
      </c>
      <c r="V54" s="70">
        <f>SUM(V49:V53)</f>
        <v>0</v>
      </c>
      <c r="X54" s="635" t="s">
        <v>36</v>
      </c>
      <c r="Y54" s="70" t="e">
        <f>SUM(Y49:Y53)</f>
        <v>#VALUE!</v>
      </c>
      <c r="AM54" s="1414"/>
      <c r="AN54" s="1425" t="s">
        <v>562</v>
      </c>
      <c r="AO54" s="1425"/>
      <c r="AP54" s="733" t="s">
        <v>376</v>
      </c>
      <c r="AQ54" s="85">
        <f>R54</f>
        <v>0</v>
      </c>
    </row>
    <row r="55" spans="2:43" ht="15.75" thickBot="1">
      <c r="C55" s="57"/>
      <c r="D55" s="57"/>
      <c r="E55" s="58" t="s">
        <v>167</v>
      </c>
      <c r="F55" s="264">
        <f>F33+F35+F38+F42+F45</f>
        <v>0</v>
      </c>
      <c r="G55" s="264">
        <f t="shared" ref="G55:M55" si="45">G33+G35+G38+G42+G45</f>
        <v>0</v>
      </c>
      <c r="H55" s="264">
        <f t="shared" si="45"/>
        <v>0</v>
      </c>
      <c r="I55" s="264">
        <f t="shared" si="45"/>
        <v>0</v>
      </c>
      <c r="J55" s="264">
        <f t="shared" si="45"/>
        <v>0</v>
      </c>
      <c r="K55" s="264">
        <f t="shared" si="45"/>
        <v>0</v>
      </c>
      <c r="L55" s="264">
        <f t="shared" si="45"/>
        <v>0</v>
      </c>
      <c r="M55" s="264">
        <f t="shared" si="45"/>
        <v>0</v>
      </c>
      <c r="AG55" s="288">
        <f>ROUNDUP(SUMPRODUCT(F55:M55,Q37:X37)*90%,-1)</f>
        <v>0</v>
      </c>
      <c r="AN55" s="1410" t="s">
        <v>44</v>
      </c>
      <c r="AO55" s="1411"/>
      <c r="AP55" s="53"/>
      <c r="AQ55" s="85">
        <f>SUM(AQ32:AQ54)</f>
        <v>0</v>
      </c>
    </row>
    <row r="56" spans="2:43">
      <c r="E56" s="1020" t="s">
        <v>703</v>
      </c>
      <c r="F56" s="264">
        <f>-ROUNDUP(SUM(F32:F35,F37:F46)*$W$2/100,-1)</f>
        <v>0</v>
      </c>
      <c r="G56" s="264">
        <f>-ROUNDUP(SUM(G32:G35,G37:G46)*$W$2/100,-1)</f>
        <v>0</v>
      </c>
      <c r="H56" s="264">
        <f t="shared" ref="H56:K56" si="46">-ROUNDUP(SUM(H32:H35,H37:H46)*$W$2/100,-1)</f>
        <v>0</v>
      </c>
      <c r="I56" s="264">
        <f t="shared" si="46"/>
        <v>0</v>
      </c>
      <c r="J56" s="264">
        <f t="shared" si="46"/>
        <v>0</v>
      </c>
      <c r="K56" s="264">
        <f t="shared" si="46"/>
        <v>0</v>
      </c>
      <c r="L56" s="264">
        <f>-ROUNDUP(SUM(L32:L35,L37:L46)*$W$2/100,-1)</f>
        <v>0</v>
      </c>
      <c r="M56" s="264">
        <f>-ROUNDUP(SUM(M32:M35,M37:M46)*$W$2/100,-1)</f>
        <v>0</v>
      </c>
      <c r="O56" s="1430" t="s">
        <v>428</v>
      </c>
      <c r="P56" s="1430"/>
      <c r="X56" s="1430" t="s">
        <v>427</v>
      </c>
      <c r="Y56" s="1430"/>
      <c r="AO56" s="1"/>
      <c r="AP56" s="57"/>
    </row>
    <row r="57" spans="2:43" ht="15.75" thickBot="1">
      <c r="O57" s="83" t="s">
        <v>429</v>
      </c>
      <c r="P57" s="83" t="s">
        <v>206</v>
      </c>
      <c r="Q57" s="83" t="s">
        <v>207</v>
      </c>
      <c r="R57" s="83" t="s">
        <v>448</v>
      </c>
      <c r="S57" s="83" t="s">
        <v>214</v>
      </c>
      <c r="T57" s="83" t="s">
        <v>215</v>
      </c>
      <c r="U57" s="83" t="s">
        <v>216</v>
      </c>
      <c r="V57" s="282" t="s">
        <v>455</v>
      </c>
      <c r="W57" s="261"/>
      <c r="X57" s="83" t="s">
        <v>429</v>
      </c>
      <c r="Y57" s="83" t="s">
        <v>206</v>
      </c>
      <c r="Z57" s="83" t="s">
        <v>207</v>
      </c>
      <c r="AA57" s="83" t="s">
        <v>448</v>
      </c>
      <c r="AB57" s="83" t="s">
        <v>218</v>
      </c>
      <c r="AC57" s="83" t="s">
        <v>215</v>
      </c>
      <c r="AD57" s="280" t="s">
        <v>453</v>
      </c>
      <c r="AE57" s="282" t="s">
        <v>455</v>
      </c>
    </row>
    <row r="58" spans="2:43" ht="15.75" thickBot="1">
      <c r="C58" s="310" t="s">
        <v>479</v>
      </c>
      <c r="D58" s="311"/>
      <c r="E58" s="312"/>
      <c r="F58" s="313"/>
      <c r="G58" s="313"/>
      <c r="H58" s="313"/>
      <c r="I58" s="313"/>
      <c r="J58" s="313"/>
      <c r="K58" s="313"/>
      <c r="L58" s="313"/>
      <c r="M58" s="314"/>
      <c r="O58" s="61" t="str">
        <f>IF(月途中入退所情報!$D8=$B$2,月途中入退所情報!F8,"-")</f>
        <v>-</v>
      </c>
      <c r="P58" s="61" t="str">
        <f>IF(月途中入退所情報!$D8=$B$2,月途中入退所情報!G8,"-")</f>
        <v>-</v>
      </c>
      <c r="Q58" s="61" t="str">
        <f>IF(月途中入退所情報!$D8=$B$2,月途中入退所情報!H8,"-")</f>
        <v>-</v>
      </c>
      <c r="R58" s="61" t="str">
        <f>IF(月途中入退所情報!$D8=$B$2,月途中入退所情報!I8,"-")</f>
        <v>-</v>
      </c>
      <c r="S58" s="61" t="str">
        <f>IF(月途中入退所情報!$D8=$B$2,月途中入退所情報!J8,"-")</f>
        <v>-</v>
      </c>
      <c r="T58" s="84">
        <f>IF($Q58="標準時間",HLOOKUP($P58,$F$5:$I$27,23,FALSE)-SUM($F$10,$F$21:$F$24,$F$26)-HLOOKUP($P58,$F$5:$I$27,16,FALSE)+HLOOKUP($P58,$F$5:$I$29,25,FALSE),IF($Q58="短時間",HLOOKUP($P58,$J$5:$M$27,23,FALSE)-SUM($F$10,$F$21:$F$24,$F$26)-HLOOKUP($P58,$J$5:$M$27,16,FALSE)+HLOOKUP($P58,$J$5:$M$29,25,FALSE),0))+IF(R58="○",加算と減算!$AH$3,0)</f>
        <v>0</v>
      </c>
      <c r="U58" s="85">
        <f t="shared" ref="U58:U77" si="47">IFERROR(ROUNDDOWN(T58*S58/25,-1),0)</f>
        <v>0</v>
      </c>
      <c r="V58" s="262">
        <f>IFERROR(ROUNDDOWN(IF($Q58="標準時間",HLOOKUP($P58,$F$5:$I$28,24,FALSE),IF($Q58="短時間",HLOOKUP($P58,$J$5:$M$28,24,FALSE),0))*S58/25,-1),0)</f>
        <v>0</v>
      </c>
      <c r="W58" s="262"/>
      <c r="X58" s="61" t="str">
        <f>IF(月途中入退所情報!$N8=$B$2,月途中入退所情報!$P8,"-")</f>
        <v>-</v>
      </c>
      <c r="Y58" s="61" t="str">
        <f>IF(月途中入退所情報!$N8=$B$2,月途中入退所情報!$Q8,"-")</f>
        <v>-</v>
      </c>
      <c r="Z58" s="61" t="str">
        <f>IF(月途中入退所情報!$N8=$B$2,月途中入退所情報!$R8,"-")</f>
        <v>-</v>
      </c>
      <c r="AA58" s="61" t="str">
        <f>IF(月途中入退所情報!$N8=$B$2,月途中入退所情報!$S8,"-")</f>
        <v>-</v>
      </c>
      <c r="AB58" s="61" t="str">
        <f>IF(月途中入退所情報!$N8=$B$2,月途中入退所情報!$T8,"-")</f>
        <v>-</v>
      </c>
      <c r="AC58" s="84">
        <f>IF($Z58="標準時間",HLOOKUP($Y58,$F$5:$I$27,23,FALSE)-SUM($F$10,$F$21:$F$24,$F$26)-HLOOKUP($Y58,$F$5:$I$27,16,FALSE)+HLOOKUP($Y58,$F$5:$I$29,25,FALSE),IF($Z58="短時間",HLOOKUP($Y58,$J$5:$M$27,23,FALSE)-SUM($F$10,$F$21:$F$24,$F$26)-HLOOKUP($Y58,$J$5:$M$27,16,FALSE)+HLOOKUP($Y58,$J$5:$M$29,25,FALSE),0))+IF(AA58="○",加算と減算!$AH$3,0)</f>
        <v>0</v>
      </c>
      <c r="AD58" s="85">
        <f t="shared" ref="AD58:AD77" si="48">IFERROR(-ROUNDUP(AC58*AB58/25,-1),0)</f>
        <v>0</v>
      </c>
      <c r="AE58" s="262">
        <f t="shared" ref="AE58:AE77" si="49">IFERROR(-ROUNDUP(IF($Z58="標準時間",HLOOKUP($Y58,$F$5:$I$28,24,FALSE),IF($Z58="短時間",HLOOKUP($Y58,$J$5:$M$28,24,FALSE),0))*AB58/25,-1),0)</f>
        <v>0</v>
      </c>
    </row>
    <row r="59" spans="2:43">
      <c r="C59" s="307"/>
      <c r="D59" s="308"/>
      <c r="E59" s="309"/>
      <c r="F59" s="1417" t="s">
        <v>15</v>
      </c>
      <c r="G59" s="1417"/>
      <c r="H59" s="1417"/>
      <c r="I59" s="1417"/>
      <c r="J59" s="1417" t="s">
        <v>16</v>
      </c>
      <c r="K59" s="1417"/>
      <c r="L59" s="1417"/>
      <c r="M59" s="1417"/>
      <c r="O59" s="61" t="str">
        <f>IF(月途中入退所情報!$D9=$B$2,月途中入退所情報!F9,"-")</f>
        <v>-</v>
      </c>
      <c r="P59" s="61" t="str">
        <f>IF(月途中入退所情報!$D9=$B$2,月途中入退所情報!G9,"-")</f>
        <v>-</v>
      </c>
      <c r="Q59" s="61" t="str">
        <f>IF(月途中入退所情報!$D9=$B$2,月途中入退所情報!H9,"-")</f>
        <v>-</v>
      </c>
      <c r="R59" s="61" t="str">
        <f>IF(月途中入退所情報!$D9=$B$2,月途中入退所情報!I9,"-")</f>
        <v>-</v>
      </c>
      <c r="S59" s="61" t="str">
        <f>IF(月途中入退所情報!$D9=$B$2,月途中入退所情報!J9,"-")</f>
        <v>-</v>
      </c>
      <c r="T59" s="84">
        <f>IF($Q59="標準時間",HLOOKUP($P59,$F$5:$I$27,23,FALSE)-SUM($F$10,$F$21:$F$24,$F$26)-HLOOKUP($P59,$F$5:$I$27,16,FALSE)+HLOOKUP($P59,$F$5:$I$29,25,FALSE),IF($Q59="短時間",HLOOKUP($P59,$J$5:$M$27,23,FALSE)-SUM($F$10,$F$21:$F$24,$F$26)-HLOOKUP($P59,$J$5:$M$27,16,FALSE)+HLOOKUP($P59,$J$5:$M$29,25,FALSE),0))+IF(R59="○",加算と減算!$AH$3,0)</f>
        <v>0</v>
      </c>
      <c r="U59" s="85">
        <f t="shared" si="47"/>
        <v>0</v>
      </c>
      <c r="V59" s="262">
        <f t="shared" ref="V59:V77" si="50">IFERROR(ROUNDDOWN(IF($Q59="標準時間",HLOOKUP($P59,$F$5:$I$28,24,FALSE),IF($Q59="短時間",HLOOKUP($P59,$J$5:$M$28,24,FALSE),0))*S59/25,-1),0)</f>
        <v>0</v>
      </c>
      <c r="W59" s="262"/>
      <c r="X59" s="61" t="str">
        <f>IF(月途中入退所情報!$N9=$B$2,月途中入退所情報!$P9,"-")</f>
        <v>-</v>
      </c>
      <c r="Y59" s="61" t="str">
        <f>IF(月途中入退所情報!$N9=$B$2,月途中入退所情報!$Q9,"-")</f>
        <v>-</v>
      </c>
      <c r="Z59" s="61" t="str">
        <f>IF(月途中入退所情報!$N9=$B$2,月途中入退所情報!$R9,"-")</f>
        <v>-</v>
      </c>
      <c r="AA59" s="61" t="str">
        <f>IF(月途中入退所情報!$N9=$B$2,月途中入退所情報!$S9,"-")</f>
        <v>-</v>
      </c>
      <c r="AB59" s="61" t="str">
        <f>IF(月途中入退所情報!$N9=$B$2,月途中入退所情報!$T9,"-")</f>
        <v>-</v>
      </c>
      <c r="AC59" s="84">
        <f>IF($Z59="標準時間",HLOOKUP($Y59,$F$5:$I$27,23,FALSE)-SUM($F$10,$F$21:$F$24,$F$26)-HLOOKUP($Y59,$F$5:$I$27,16,FALSE)+HLOOKUP($Y59,$F$5:$I$29,25,FALSE),IF($Z59="短時間",HLOOKUP($Y59,$J$5:$M$27,23,FALSE)-SUM($F$10,$F$21:$F$24,$F$26)-HLOOKUP($Y59,$J$5:$M$27,16,FALSE)+HLOOKUP($Y59,$J$5:$M$29,25,FALSE),0))+IF(AA59="○",加算と減算!$AH$3,0)</f>
        <v>0</v>
      </c>
      <c r="AD59" s="85">
        <f t="shared" si="48"/>
        <v>0</v>
      </c>
      <c r="AE59" s="262">
        <f t="shared" si="49"/>
        <v>0</v>
      </c>
    </row>
    <row r="60" spans="2:43">
      <c r="C60" s="307"/>
      <c r="D60" s="308"/>
      <c r="E60" s="309"/>
      <c r="F60" s="369" t="s">
        <v>6</v>
      </c>
      <c r="G60" s="369" t="s">
        <v>7</v>
      </c>
      <c r="H60" s="369" t="s">
        <v>8</v>
      </c>
      <c r="I60" s="369" t="s">
        <v>9</v>
      </c>
      <c r="J60" s="369" t="s">
        <v>6</v>
      </c>
      <c r="K60" s="369" t="s">
        <v>7</v>
      </c>
      <c r="L60" s="369" t="s">
        <v>8</v>
      </c>
      <c r="M60" s="369" t="s">
        <v>9</v>
      </c>
      <c r="O60" s="61" t="str">
        <f>IF(月途中入退所情報!$D10=$B$2,月途中入退所情報!F10,"-")</f>
        <v>-</v>
      </c>
      <c r="P60" s="61" t="str">
        <f>IF(月途中入退所情報!$D10=$B$2,月途中入退所情報!G10,"-")</f>
        <v>-</v>
      </c>
      <c r="Q60" s="61" t="str">
        <f>IF(月途中入退所情報!$D10=$B$2,月途中入退所情報!H10,"-")</f>
        <v>-</v>
      </c>
      <c r="R60" s="61" t="str">
        <f>IF(月途中入退所情報!$D10=$B$2,月途中入退所情報!I10,"-")</f>
        <v>-</v>
      </c>
      <c r="S60" s="61" t="str">
        <f>IF(月途中入退所情報!$D10=$B$2,月途中入退所情報!J10,"-")</f>
        <v>-</v>
      </c>
      <c r="T60" s="84">
        <f>IF($Q60="標準時間",HLOOKUP($P60,$F$5:$I$27,23,FALSE)-SUM($F$10,$F$21:$F$24,$F$26)-HLOOKUP($P60,$F$5:$I$27,16,FALSE)+HLOOKUP($P60,$F$5:$I$29,25,FALSE),IF($Q60="短時間",HLOOKUP($P60,$J$5:$M$27,23,FALSE)-SUM($F$10,$F$21:$F$24,$F$26)-HLOOKUP($P60,$J$5:$M$27,16,FALSE)+HLOOKUP($P60,$J$5:$M$29,25,FALSE),0))+IF(R60="○",加算と減算!$AH$3,0)</f>
        <v>0</v>
      </c>
      <c r="U60" s="85">
        <f t="shared" si="47"/>
        <v>0</v>
      </c>
      <c r="V60" s="262">
        <f t="shared" si="50"/>
        <v>0</v>
      </c>
      <c r="W60" s="262"/>
      <c r="X60" s="61" t="str">
        <f>IF(月途中入退所情報!$N10=$B$2,月途中入退所情報!$P10,"-")</f>
        <v>-</v>
      </c>
      <c r="Y60" s="61" t="str">
        <f>IF(月途中入退所情報!$N10=$B$2,月途中入退所情報!$Q10,"-")</f>
        <v>-</v>
      </c>
      <c r="Z60" s="61" t="str">
        <f>IF(月途中入退所情報!$N10=$B$2,月途中入退所情報!$R10,"-")</f>
        <v>-</v>
      </c>
      <c r="AA60" s="61" t="str">
        <f>IF(月途中入退所情報!$N10=$B$2,月途中入退所情報!$S10,"-")</f>
        <v>-</v>
      </c>
      <c r="AB60" s="61" t="str">
        <f>IF(月途中入退所情報!$N10=$B$2,月途中入退所情報!$T10,"-")</f>
        <v>-</v>
      </c>
      <c r="AC60" s="84">
        <f>IF($Z60="標準時間",HLOOKUP($Y60,$F$5:$I$27,23,FALSE)-SUM($F$10,$F$21:$F$24,$F$26)-HLOOKUP($Y60,$F$5:$I$27,16,FALSE)+HLOOKUP($Y60,$F$5:$I$29,25,FALSE),IF($Z60="短時間",HLOOKUP($Y60,$J$5:$M$27,23,FALSE)-SUM($F$10,$F$21:$F$24,$F$26)-HLOOKUP($Y60,$J$5:$M$27,16,FALSE)+HLOOKUP($Y60,$J$5:$M$29,25,FALSE),0))+IF(AA60="○",加算と減算!$AH$3,0)</f>
        <v>0</v>
      </c>
      <c r="AD60" s="85">
        <f t="shared" si="48"/>
        <v>0</v>
      </c>
      <c r="AE60" s="262">
        <f t="shared" si="49"/>
        <v>0</v>
      </c>
    </row>
    <row r="61" spans="2:43">
      <c r="C61" s="307"/>
      <c r="D61" s="1432" t="s">
        <v>482</v>
      </c>
      <c r="E61" s="320" t="s">
        <v>480</v>
      </c>
      <c r="F61" s="85" t="e">
        <f t="shared" ref="F61:M61" si="51">-ROUNDDOWN((F7+F9+F1)*$S$2%,-1)</f>
        <v>#VALUE!</v>
      </c>
      <c r="G61" s="85" t="e">
        <f t="shared" si="51"/>
        <v>#VALUE!</v>
      </c>
      <c r="H61" s="85" t="e">
        <f t="shared" si="51"/>
        <v>#VALUE!</v>
      </c>
      <c r="I61" s="85" t="e">
        <f t="shared" si="51"/>
        <v>#VALUE!</v>
      </c>
      <c r="J61" s="85" t="e">
        <f t="shared" si="51"/>
        <v>#VALUE!</v>
      </c>
      <c r="K61" s="85" t="e">
        <f t="shared" si="51"/>
        <v>#VALUE!</v>
      </c>
      <c r="L61" s="85" t="e">
        <f t="shared" si="51"/>
        <v>#VALUE!</v>
      </c>
      <c r="M61" s="85" t="e">
        <f t="shared" si="51"/>
        <v>#VALUE!</v>
      </c>
      <c r="O61" s="61" t="str">
        <f>IF(月途中入退所情報!$D11=$B$2,月途中入退所情報!F11,"-")</f>
        <v>-</v>
      </c>
      <c r="P61" s="61" t="str">
        <f>IF(月途中入退所情報!$D11=$B$2,月途中入退所情報!G11,"-")</f>
        <v>-</v>
      </c>
      <c r="Q61" s="61" t="str">
        <f>IF(月途中入退所情報!$D11=$B$2,月途中入退所情報!H11,"-")</f>
        <v>-</v>
      </c>
      <c r="R61" s="61" t="str">
        <f>IF(月途中入退所情報!$D11=$B$2,月途中入退所情報!I11,"-")</f>
        <v>-</v>
      </c>
      <c r="S61" s="61" t="str">
        <f>IF(月途中入退所情報!$D11=$B$2,月途中入退所情報!J11,"-")</f>
        <v>-</v>
      </c>
      <c r="T61" s="84">
        <f>IF($Q61="標準時間",HLOOKUP($P61,$F$5:$I$27,23,FALSE)-SUM($F$10,$F$21:$F$24,$F$26)-HLOOKUP($P61,$F$5:$I$27,16,FALSE)+HLOOKUP($P61,$F$5:$I$29,25,FALSE),IF($Q61="短時間",HLOOKUP($P61,$J$5:$M$27,23,FALSE)-SUM($F$10,$F$21:$F$24,$F$26)-HLOOKUP($P61,$J$5:$M$27,16,FALSE)+HLOOKUP($P61,$J$5:$M$29,25,FALSE),0))+IF(R61="○",加算と減算!$AH$3,0)</f>
        <v>0</v>
      </c>
      <c r="U61" s="85">
        <f t="shared" si="47"/>
        <v>0</v>
      </c>
      <c r="V61" s="262">
        <f t="shared" si="50"/>
        <v>0</v>
      </c>
      <c r="W61" s="262"/>
      <c r="X61" s="61" t="str">
        <f>IF(月途中入退所情報!$N11=$B$2,月途中入退所情報!$P11,"-")</f>
        <v>-</v>
      </c>
      <c r="Y61" s="61" t="str">
        <f>IF(月途中入退所情報!$N11=$B$2,月途中入退所情報!$Q11,"-")</f>
        <v>-</v>
      </c>
      <c r="Z61" s="61" t="str">
        <f>IF(月途中入退所情報!$N11=$B$2,月途中入退所情報!$R11,"-")</f>
        <v>-</v>
      </c>
      <c r="AA61" s="61" t="str">
        <f>IF(月途中入退所情報!$N11=$B$2,月途中入退所情報!$S11,"-")</f>
        <v>-</v>
      </c>
      <c r="AB61" s="61" t="str">
        <f>IF(月途中入退所情報!$N11=$B$2,月途中入退所情報!$T11,"-")</f>
        <v>-</v>
      </c>
      <c r="AC61" s="84">
        <f>IF($Z61="標準時間",HLOOKUP($Y61,$F$5:$I$27,23,FALSE)-SUM($F$10,$F$21:$F$24,$F$26)-HLOOKUP($Y61,$F$5:$I$27,16,FALSE)+HLOOKUP($Y61,$F$5:$I$29,25,FALSE),IF($Z61="短時間",HLOOKUP($Y61,$J$5:$M$27,23,FALSE)-SUM($F$10,$F$21:$F$24,$F$26)-HLOOKUP($Y61,$J$5:$M$27,16,FALSE)+HLOOKUP($Y61,$J$5:$M$29,25,FALSE),0))+IF(AA61="○",加算と減算!$AH$3,0)</f>
        <v>0</v>
      </c>
      <c r="AD61" s="85">
        <f t="shared" si="48"/>
        <v>0</v>
      </c>
      <c r="AE61" s="262">
        <f t="shared" si="49"/>
        <v>0</v>
      </c>
    </row>
    <row r="62" spans="2:43">
      <c r="C62" s="307"/>
      <c r="D62" s="1432"/>
      <c r="E62" s="320" t="s">
        <v>481</v>
      </c>
      <c r="F62" s="85" t="e">
        <f>F61*Q11</f>
        <v>#VALUE!</v>
      </c>
      <c r="G62" s="85" t="e">
        <f t="shared" ref="G62:M62" si="52">G61*R11</f>
        <v>#VALUE!</v>
      </c>
      <c r="H62" s="85" t="e">
        <f t="shared" si="52"/>
        <v>#VALUE!</v>
      </c>
      <c r="I62" s="85" t="e">
        <f t="shared" si="52"/>
        <v>#VALUE!</v>
      </c>
      <c r="J62" s="85" t="e">
        <f t="shared" si="52"/>
        <v>#VALUE!</v>
      </c>
      <c r="K62" s="85" t="e">
        <f t="shared" si="52"/>
        <v>#VALUE!</v>
      </c>
      <c r="L62" s="85" t="e">
        <f t="shared" si="52"/>
        <v>#VALUE!</v>
      </c>
      <c r="M62" s="85" t="e">
        <f t="shared" si="52"/>
        <v>#VALUE!</v>
      </c>
      <c r="O62" s="61" t="str">
        <f>IF(月途中入退所情報!$D12=$B$2,月途中入退所情報!F12,"-")</f>
        <v>-</v>
      </c>
      <c r="P62" s="61" t="str">
        <f>IF(月途中入退所情報!$D12=$B$2,月途中入退所情報!G12,"-")</f>
        <v>-</v>
      </c>
      <c r="Q62" s="61" t="str">
        <f>IF(月途中入退所情報!$D12=$B$2,月途中入退所情報!H12,"-")</f>
        <v>-</v>
      </c>
      <c r="R62" s="61" t="str">
        <f>IF(月途中入退所情報!$D12=$B$2,月途中入退所情報!I12,"-")</f>
        <v>-</v>
      </c>
      <c r="S62" s="61" t="str">
        <f>IF(月途中入退所情報!$D12=$B$2,月途中入退所情報!J12,"-")</f>
        <v>-</v>
      </c>
      <c r="T62" s="84">
        <f>IF($Q62="標準時間",HLOOKUP($P62,$F$5:$I$27,23,FALSE)-SUM($F$10,$F$21:$F$24,$F$26)-HLOOKUP($P62,$F$5:$I$27,16,FALSE)+HLOOKUP($P62,$F$5:$I$29,25,FALSE),IF($Q62="短時間",HLOOKUP($P62,$J$5:$M$27,23,FALSE)-SUM($F$10,$F$21:$F$24,$F$26)-HLOOKUP($P62,$J$5:$M$27,16,FALSE)+HLOOKUP($P62,$J$5:$M$29,25,FALSE),0))+IF(R62="○",加算と減算!$AH$3,0)</f>
        <v>0</v>
      </c>
      <c r="U62" s="85">
        <f t="shared" si="47"/>
        <v>0</v>
      </c>
      <c r="V62" s="262">
        <f t="shared" si="50"/>
        <v>0</v>
      </c>
      <c r="W62" s="262"/>
      <c r="X62" s="61" t="str">
        <f>IF(月途中入退所情報!$N12=$B$2,月途中入退所情報!$P12,"-")</f>
        <v>-</v>
      </c>
      <c r="Y62" s="61" t="str">
        <f>IF(月途中入退所情報!$N12=$B$2,月途中入退所情報!$Q12,"-")</f>
        <v>-</v>
      </c>
      <c r="Z62" s="61" t="str">
        <f>IF(月途中入退所情報!$N12=$B$2,月途中入退所情報!$R12,"-")</f>
        <v>-</v>
      </c>
      <c r="AA62" s="61" t="str">
        <f>IF(月途中入退所情報!$N12=$B$2,月途中入退所情報!$S12,"-")</f>
        <v>-</v>
      </c>
      <c r="AB62" s="61" t="str">
        <f>IF(月途中入退所情報!$N12=$B$2,月途中入退所情報!$T12,"-")</f>
        <v>-</v>
      </c>
      <c r="AC62" s="84">
        <f>IF($Z62="標準時間",HLOOKUP($Y62,$F$5:$I$27,23,FALSE)-SUM($F$10,$F$21:$F$24,$F$26)-HLOOKUP($Y62,$F$5:$I$27,16,FALSE)+HLOOKUP($Y62,$F$5:$I$29,25,FALSE),IF($Z62="短時間",HLOOKUP($Y62,$J$5:$M$27,23,FALSE)-SUM($F$10,$F$21:$F$24,$F$26)-HLOOKUP($Y62,$J$5:$M$27,16,FALSE)+HLOOKUP($Y62,$J$5:$M$29,25,FALSE),0))+IF(AA62="○",加算と減算!$AH$3,0)</f>
        <v>0</v>
      </c>
      <c r="AD62" s="85">
        <f t="shared" si="48"/>
        <v>0</v>
      </c>
      <c r="AE62" s="262">
        <f t="shared" si="49"/>
        <v>0</v>
      </c>
    </row>
    <row r="63" spans="2:43">
      <c r="C63" s="307"/>
      <c r="D63" s="317"/>
      <c r="E63" s="315"/>
      <c r="F63" s="316"/>
      <c r="G63" s="316"/>
      <c r="H63" s="316"/>
      <c r="I63" s="316"/>
      <c r="J63" s="316"/>
      <c r="K63" s="316"/>
      <c r="L63" s="316"/>
      <c r="M63" s="316"/>
      <c r="O63" s="61" t="str">
        <f>IF(月途中入退所情報!$D13=$B$2,月途中入退所情報!F13,"-")</f>
        <v>-</v>
      </c>
      <c r="P63" s="61" t="str">
        <f>IF(月途中入退所情報!$D13=$B$2,月途中入退所情報!G13,"-")</f>
        <v>-</v>
      </c>
      <c r="Q63" s="61" t="str">
        <f>IF(月途中入退所情報!$D13=$B$2,月途中入退所情報!H13,"-")</f>
        <v>-</v>
      </c>
      <c r="R63" s="61" t="str">
        <f>IF(月途中入退所情報!$D13=$B$2,月途中入退所情報!I13,"-")</f>
        <v>-</v>
      </c>
      <c r="S63" s="61" t="str">
        <f>IF(月途中入退所情報!$D13=$B$2,月途中入退所情報!J13,"-")</f>
        <v>-</v>
      </c>
      <c r="T63" s="84">
        <f>IF($Q63="標準時間",HLOOKUP($P63,$F$5:$I$27,23,FALSE)-SUM($F$10,$F$21:$F$24,$F$26)-HLOOKUP($P63,$F$5:$I$27,16,FALSE)+HLOOKUP($P63,$F$5:$I$29,25,FALSE),IF($Q63="短時間",HLOOKUP($P63,$J$5:$M$27,23,FALSE)-SUM($F$10,$F$21:$F$24,$F$26)-HLOOKUP($P63,$J$5:$M$27,16,FALSE)+HLOOKUP($P63,$J$5:$M$29,25,FALSE),0))+IF(R63="○",加算と減算!$AH$3,0)</f>
        <v>0</v>
      </c>
      <c r="U63" s="85">
        <f t="shared" si="47"/>
        <v>0</v>
      </c>
      <c r="V63" s="262">
        <f t="shared" si="50"/>
        <v>0</v>
      </c>
      <c r="W63" s="262"/>
      <c r="X63" s="61" t="str">
        <f>IF(月途中入退所情報!$N13=$B$2,月途中入退所情報!$P13,"-")</f>
        <v>-</v>
      </c>
      <c r="Y63" s="61" t="str">
        <f>IF(月途中入退所情報!$N13=$B$2,月途中入退所情報!$Q13,"-")</f>
        <v>-</v>
      </c>
      <c r="Z63" s="61" t="str">
        <f>IF(月途中入退所情報!$N13=$B$2,月途中入退所情報!$R13,"-")</f>
        <v>-</v>
      </c>
      <c r="AA63" s="61" t="str">
        <f>IF(月途中入退所情報!$N13=$B$2,月途中入退所情報!$S13,"-")</f>
        <v>-</v>
      </c>
      <c r="AB63" s="61" t="str">
        <f>IF(月途中入退所情報!$N13=$B$2,月途中入退所情報!$T13,"-")</f>
        <v>-</v>
      </c>
      <c r="AC63" s="84">
        <f>IF($Z63="標準時間",HLOOKUP($Y63,$F$5:$I$27,23,FALSE)-SUM($F$10,$F$21:$F$24,$F$26)-HLOOKUP($Y63,$F$5:$I$27,16,FALSE)+HLOOKUP($Y63,$F$5:$I$29,25,FALSE),IF($Z63="短時間",HLOOKUP($Y63,$J$5:$M$27,23,FALSE)-SUM($F$10,$F$21:$F$24,$F$26)-HLOOKUP($Y63,$J$5:$M$27,16,FALSE)+HLOOKUP($Y63,$J$5:$M$29,25,FALSE),0))+IF(AA63="○",加算と減算!$AH$3,0)</f>
        <v>0</v>
      </c>
      <c r="AD63" s="85">
        <f t="shared" si="48"/>
        <v>0</v>
      </c>
      <c r="AE63" s="262">
        <f t="shared" si="49"/>
        <v>0</v>
      </c>
    </row>
    <row r="64" spans="2:43">
      <c r="C64" s="307"/>
      <c r="D64" s="308"/>
      <c r="E64" s="309"/>
      <c r="F64" s="369" t="s">
        <v>6</v>
      </c>
      <c r="G64" s="369" t="s">
        <v>7</v>
      </c>
      <c r="H64" s="369" t="s">
        <v>8</v>
      </c>
      <c r="I64" s="369" t="s">
        <v>9</v>
      </c>
      <c r="J64" s="369" t="s">
        <v>6</v>
      </c>
      <c r="K64" s="369" t="s">
        <v>7</v>
      </c>
      <c r="L64" s="369" t="s">
        <v>8</v>
      </c>
      <c r="M64" s="369" t="s">
        <v>9</v>
      </c>
      <c r="O64" s="61" t="str">
        <f>IF(月途中入退所情報!$D14=$B$2,月途中入退所情報!F14,"-")</f>
        <v>-</v>
      </c>
      <c r="P64" s="61" t="str">
        <f>IF(月途中入退所情報!$D14=$B$2,月途中入退所情報!G14,"-")</f>
        <v>-</v>
      </c>
      <c r="Q64" s="61" t="str">
        <f>IF(月途中入退所情報!$D14=$B$2,月途中入退所情報!H14,"-")</f>
        <v>-</v>
      </c>
      <c r="R64" s="61" t="str">
        <f>IF(月途中入退所情報!$D14=$B$2,月途中入退所情報!I14,"-")</f>
        <v>-</v>
      </c>
      <c r="S64" s="61" t="str">
        <f>IF(月途中入退所情報!$D14=$B$2,月途中入退所情報!J14,"-")</f>
        <v>-</v>
      </c>
      <c r="T64" s="84">
        <f>IF($Q64="標準時間",HLOOKUP($P64,$F$5:$I$27,23,FALSE)-SUM($F$10,$F$21:$F$24,$F$26)-HLOOKUP($P64,$F$5:$I$27,16,FALSE)+HLOOKUP($P64,$F$5:$I$29,25,FALSE),IF($Q64="短時間",HLOOKUP($P64,$J$5:$M$27,23,FALSE)-SUM($F$10,$F$21:$F$24,$F$26)-HLOOKUP($P64,$J$5:$M$27,16,FALSE)+HLOOKUP($P64,$J$5:$M$29,25,FALSE),0))+IF(R64="○",加算と減算!$AH$3,0)</f>
        <v>0</v>
      </c>
      <c r="U64" s="85">
        <f t="shared" si="47"/>
        <v>0</v>
      </c>
      <c r="V64" s="262">
        <f t="shared" si="50"/>
        <v>0</v>
      </c>
      <c r="W64" s="262"/>
      <c r="X64" s="61" t="str">
        <f>IF(月途中入退所情報!$N14=$B$2,月途中入退所情報!$P14,"-")</f>
        <v>-</v>
      </c>
      <c r="Y64" s="61" t="str">
        <f>IF(月途中入退所情報!$N14=$B$2,月途中入退所情報!$Q14,"-")</f>
        <v>-</v>
      </c>
      <c r="Z64" s="61" t="str">
        <f>IF(月途中入退所情報!$N14=$B$2,月途中入退所情報!$R14,"-")</f>
        <v>-</v>
      </c>
      <c r="AA64" s="61" t="str">
        <f>IF(月途中入退所情報!$N14=$B$2,月途中入退所情報!$S14,"-")</f>
        <v>-</v>
      </c>
      <c r="AB64" s="61" t="str">
        <f>IF(月途中入退所情報!$N14=$B$2,月途中入退所情報!$T14,"-")</f>
        <v>-</v>
      </c>
      <c r="AC64" s="84">
        <f>IF($Z64="標準時間",HLOOKUP($Y64,$F$5:$I$27,23,FALSE)-SUM($F$10,$F$21:$F$24,$F$26)-HLOOKUP($Y64,$F$5:$I$27,16,FALSE)+HLOOKUP($Y64,$F$5:$I$29,25,FALSE),IF($Z64="短時間",HLOOKUP($Y64,$J$5:$M$27,23,FALSE)-SUM($F$10,$F$21:$F$24,$F$26)-HLOOKUP($Y64,$J$5:$M$27,16,FALSE)+HLOOKUP($Y64,$J$5:$M$29,25,FALSE),0))+IF(AA64="○",加算と減算!$AH$3,0)</f>
        <v>0</v>
      </c>
      <c r="AD64" s="85">
        <f t="shared" si="48"/>
        <v>0</v>
      </c>
      <c r="AE64" s="262">
        <f t="shared" si="49"/>
        <v>0</v>
      </c>
    </row>
    <row r="65" spans="3:31">
      <c r="C65" s="307"/>
      <c r="D65" s="1432" t="s">
        <v>483</v>
      </c>
      <c r="E65" s="320" t="s">
        <v>480</v>
      </c>
      <c r="F65" s="85">
        <f t="shared" ref="F65:M65" si="53">-ROUNDDOWN((F33+F35+F38)*$T$2%,-1)</f>
        <v>0</v>
      </c>
      <c r="G65" s="85">
        <f t="shared" si="53"/>
        <v>0</v>
      </c>
      <c r="H65" s="85">
        <f t="shared" si="53"/>
        <v>0</v>
      </c>
      <c r="I65" s="85">
        <f t="shared" si="53"/>
        <v>0</v>
      </c>
      <c r="J65" s="85">
        <f t="shared" si="53"/>
        <v>0</v>
      </c>
      <c r="K65" s="85">
        <f t="shared" si="53"/>
        <v>0</v>
      </c>
      <c r="L65" s="85">
        <f t="shared" si="53"/>
        <v>0</v>
      </c>
      <c r="M65" s="85">
        <f t="shared" si="53"/>
        <v>0</v>
      </c>
      <c r="O65" s="61" t="str">
        <f>IF(月途中入退所情報!$D15=$B$2,月途中入退所情報!F15,"-")</f>
        <v>-</v>
      </c>
      <c r="P65" s="61" t="str">
        <f>IF(月途中入退所情報!$D15=$B$2,月途中入退所情報!G15,"-")</f>
        <v>-</v>
      </c>
      <c r="Q65" s="61" t="str">
        <f>IF(月途中入退所情報!$D15=$B$2,月途中入退所情報!H15,"-")</f>
        <v>-</v>
      </c>
      <c r="R65" s="61" t="str">
        <f>IF(月途中入退所情報!$D15=$B$2,月途中入退所情報!I15,"-")</f>
        <v>-</v>
      </c>
      <c r="S65" s="61" t="str">
        <f>IF(月途中入退所情報!$D15=$B$2,月途中入退所情報!J15,"-")</f>
        <v>-</v>
      </c>
      <c r="T65" s="84">
        <f>IF($Q65="標準時間",HLOOKUP($P65,$F$5:$I$27,23,FALSE)-SUM($F$10,$F$21:$F$24,$F$26)-HLOOKUP($P65,$F$5:$I$27,16,FALSE)+HLOOKUP($P65,$F$5:$I$29,25,FALSE),IF($Q65="短時間",HLOOKUP($P65,$J$5:$M$27,23,FALSE)-SUM($F$10,$F$21:$F$24,$F$26)-HLOOKUP($P65,$J$5:$M$27,16,FALSE)+HLOOKUP($P65,$J$5:$M$29,25,FALSE),0))+IF(R65="○",加算と減算!$AH$3,0)</f>
        <v>0</v>
      </c>
      <c r="U65" s="85">
        <f t="shared" si="47"/>
        <v>0</v>
      </c>
      <c r="V65" s="262">
        <f t="shared" si="50"/>
        <v>0</v>
      </c>
      <c r="W65" s="262"/>
      <c r="X65" s="61" t="str">
        <f>IF(月途中入退所情報!$N15=$B$2,月途中入退所情報!$P15,"-")</f>
        <v>-</v>
      </c>
      <c r="Y65" s="61" t="str">
        <f>IF(月途中入退所情報!$N15=$B$2,月途中入退所情報!$Q15,"-")</f>
        <v>-</v>
      </c>
      <c r="Z65" s="61" t="str">
        <f>IF(月途中入退所情報!$N15=$B$2,月途中入退所情報!$R15,"-")</f>
        <v>-</v>
      </c>
      <c r="AA65" s="61" t="str">
        <f>IF(月途中入退所情報!$N15=$B$2,月途中入退所情報!$S15,"-")</f>
        <v>-</v>
      </c>
      <c r="AB65" s="61" t="str">
        <f>IF(月途中入退所情報!$N15=$B$2,月途中入退所情報!$T15,"-")</f>
        <v>-</v>
      </c>
      <c r="AC65" s="84">
        <f>IF($Z65="標準時間",HLOOKUP($Y65,$F$5:$I$27,23,FALSE)-SUM($F$10,$F$21:$F$24,$F$26)-HLOOKUP($Y65,$F$5:$I$27,16,FALSE)+HLOOKUP($Y65,$F$5:$I$29,25,FALSE),IF($Z65="短時間",HLOOKUP($Y65,$J$5:$M$27,23,FALSE)-SUM($F$10,$F$21:$F$24,$F$26)-HLOOKUP($Y65,$J$5:$M$27,16,FALSE)+HLOOKUP($Y65,$J$5:$M$29,25,FALSE),0))+IF(AA65="○",加算と減算!$AH$3,0)</f>
        <v>0</v>
      </c>
      <c r="AD65" s="85">
        <f t="shared" si="48"/>
        <v>0</v>
      </c>
      <c r="AE65" s="262">
        <f t="shared" si="49"/>
        <v>0</v>
      </c>
    </row>
    <row r="66" spans="3:31">
      <c r="C66" s="307"/>
      <c r="D66" s="1432"/>
      <c r="E66" s="320" t="s">
        <v>481</v>
      </c>
      <c r="F66" s="85">
        <f>F65*Q37</f>
        <v>0</v>
      </c>
      <c r="G66" s="85">
        <f t="shared" ref="G66:M66" si="54">G65*R37</f>
        <v>0</v>
      </c>
      <c r="H66" s="85">
        <f t="shared" si="54"/>
        <v>0</v>
      </c>
      <c r="I66" s="85">
        <f t="shared" si="54"/>
        <v>0</v>
      </c>
      <c r="J66" s="85">
        <f t="shared" si="54"/>
        <v>0</v>
      </c>
      <c r="K66" s="85">
        <f t="shared" si="54"/>
        <v>0</v>
      </c>
      <c r="L66" s="85">
        <f t="shared" si="54"/>
        <v>0</v>
      </c>
      <c r="M66" s="85">
        <f t="shared" si="54"/>
        <v>0</v>
      </c>
      <c r="O66" s="61" t="str">
        <f>IF(月途中入退所情報!$D16=$B$2,月途中入退所情報!F16,"-")</f>
        <v>-</v>
      </c>
      <c r="P66" s="61" t="str">
        <f>IF(月途中入退所情報!$D16=$B$2,月途中入退所情報!G16,"-")</f>
        <v>-</v>
      </c>
      <c r="Q66" s="61" t="str">
        <f>IF(月途中入退所情報!$D16=$B$2,月途中入退所情報!H16,"-")</f>
        <v>-</v>
      </c>
      <c r="R66" s="61" t="str">
        <f>IF(月途中入退所情報!$D16=$B$2,月途中入退所情報!I16,"-")</f>
        <v>-</v>
      </c>
      <c r="S66" s="61" t="str">
        <f>IF(月途中入退所情報!$D16=$B$2,月途中入退所情報!J16,"-")</f>
        <v>-</v>
      </c>
      <c r="T66" s="84">
        <f>IF($Q66="標準時間",HLOOKUP($P66,$F$5:$I$27,23,FALSE)-SUM($F$10,$F$21:$F$24,$F$26)-HLOOKUP($P66,$F$5:$I$27,16,FALSE)+HLOOKUP($P66,$F$5:$I$29,25,FALSE),IF($Q66="短時間",HLOOKUP($P66,$J$5:$M$27,23,FALSE)-SUM($F$10,$F$21:$F$24,$F$26)-HLOOKUP($P66,$J$5:$M$27,16,FALSE)+HLOOKUP($P66,$J$5:$M$29,25,FALSE),0))+IF(R66="○",加算と減算!$AH$3,0)</f>
        <v>0</v>
      </c>
      <c r="U66" s="85">
        <f t="shared" si="47"/>
        <v>0</v>
      </c>
      <c r="V66" s="262">
        <f t="shared" si="50"/>
        <v>0</v>
      </c>
      <c r="W66" s="262"/>
      <c r="X66" s="61" t="str">
        <f>IF(月途中入退所情報!$N16=$B$2,月途中入退所情報!$P16,"-")</f>
        <v>-</v>
      </c>
      <c r="Y66" s="61" t="str">
        <f>IF(月途中入退所情報!$N16=$B$2,月途中入退所情報!$Q16,"-")</f>
        <v>-</v>
      </c>
      <c r="Z66" s="61" t="str">
        <f>IF(月途中入退所情報!$N16=$B$2,月途中入退所情報!$R16,"-")</f>
        <v>-</v>
      </c>
      <c r="AA66" s="61" t="str">
        <f>IF(月途中入退所情報!$N16=$B$2,月途中入退所情報!$S16,"-")</f>
        <v>-</v>
      </c>
      <c r="AB66" s="61" t="str">
        <f>IF(月途中入退所情報!$N16=$B$2,月途中入退所情報!$T16,"-")</f>
        <v>-</v>
      </c>
      <c r="AC66" s="84">
        <f>IF($Z66="標準時間",HLOOKUP($Y66,$F$5:$I$27,23,FALSE)-SUM($F$10,$F$21:$F$24,$F$26)-HLOOKUP($Y66,$F$5:$I$27,16,FALSE)+HLOOKUP($Y66,$F$5:$I$29,25,FALSE),IF($Z66="短時間",HLOOKUP($Y66,$J$5:$M$27,23,FALSE)-SUM($F$10,$F$21:$F$24,$F$26)-HLOOKUP($Y66,$J$5:$M$27,16,FALSE)+HLOOKUP($Y66,$J$5:$M$29,25,FALSE),0))+IF(AA66="○",加算と減算!$AH$3,0)</f>
        <v>0</v>
      </c>
      <c r="AD66" s="85">
        <f t="shared" si="48"/>
        <v>0</v>
      </c>
      <c r="AE66" s="262">
        <f t="shared" si="49"/>
        <v>0</v>
      </c>
    </row>
    <row r="67" spans="3:31" ht="15.75" thickBot="1">
      <c r="C67" s="307"/>
      <c r="D67" s="317"/>
      <c r="E67" s="315"/>
      <c r="F67" s="316"/>
      <c r="G67" s="316"/>
      <c r="H67" s="316"/>
      <c r="I67" s="316"/>
      <c r="J67" s="316"/>
      <c r="K67" s="316"/>
      <c r="L67" s="316"/>
      <c r="M67" s="316"/>
      <c r="O67" s="61" t="str">
        <f>IF(月途中入退所情報!$D17=$B$2,月途中入退所情報!F17,"-")</f>
        <v>-</v>
      </c>
      <c r="P67" s="61" t="str">
        <f>IF(月途中入退所情報!$D17=$B$2,月途中入退所情報!G17,"-")</f>
        <v>-</v>
      </c>
      <c r="Q67" s="61" t="str">
        <f>IF(月途中入退所情報!$D17=$B$2,月途中入退所情報!H17,"-")</f>
        <v>-</v>
      </c>
      <c r="R67" s="61" t="str">
        <f>IF(月途中入退所情報!$D17=$B$2,月途中入退所情報!I17,"-")</f>
        <v>-</v>
      </c>
      <c r="S67" s="61" t="str">
        <f>IF(月途中入退所情報!$D17=$B$2,月途中入退所情報!J17,"-")</f>
        <v>-</v>
      </c>
      <c r="T67" s="84">
        <f>IF($Q67="標準時間",HLOOKUP($P67,$F$5:$I$27,23,FALSE)-SUM($F$10,$F$21:$F$24,$F$26)-HLOOKUP($P67,$F$5:$I$27,16,FALSE)+HLOOKUP($P67,$F$5:$I$29,25,FALSE),IF($Q67="短時間",HLOOKUP($P67,$J$5:$M$27,23,FALSE)-SUM($F$10,$F$21:$F$24,$F$26)-HLOOKUP($P67,$J$5:$M$27,16,FALSE)+HLOOKUP($P67,$J$5:$M$29,25,FALSE),0))+IF(R67="○",加算と減算!$AH$3,0)</f>
        <v>0</v>
      </c>
      <c r="U67" s="85">
        <f t="shared" si="47"/>
        <v>0</v>
      </c>
      <c r="V67" s="262">
        <f t="shared" si="50"/>
        <v>0</v>
      </c>
      <c r="W67" s="262"/>
      <c r="X67" s="61" t="str">
        <f>IF(月途中入退所情報!$N17=$B$2,月途中入退所情報!$P17,"-")</f>
        <v>-</v>
      </c>
      <c r="Y67" s="61" t="str">
        <f>IF(月途中入退所情報!$N17=$B$2,月途中入退所情報!$Q17,"-")</f>
        <v>-</v>
      </c>
      <c r="Z67" s="61" t="str">
        <f>IF(月途中入退所情報!$N17=$B$2,月途中入退所情報!$R17,"-")</f>
        <v>-</v>
      </c>
      <c r="AA67" s="61" t="str">
        <f>IF(月途中入退所情報!$N17=$B$2,月途中入退所情報!$S17,"-")</f>
        <v>-</v>
      </c>
      <c r="AB67" s="61" t="str">
        <f>IF(月途中入退所情報!$N17=$B$2,月途中入退所情報!$T17,"-")</f>
        <v>-</v>
      </c>
      <c r="AC67" s="84">
        <f>IF($Z67="標準時間",HLOOKUP($Y67,$F$5:$I$27,23,FALSE)-SUM($F$10,$F$21:$F$24,$F$26)-HLOOKUP($Y67,$F$5:$I$27,16,FALSE)+HLOOKUP($Y67,$F$5:$I$29,25,FALSE),IF($Z67="短時間",HLOOKUP($Y67,$J$5:$M$27,23,FALSE)-SUM($F$10,$F$21:$F$24,$F$26)-HLOOKUP($Y67,$J$5:$M$27,16,FALSE)+HLOOKUP($Y67,$J$5:$M$29,25,FALSE),0))+IF(AA67="○",加算と減算!$AH$3,0)</f>
        <v>0</v>
      </c>
      <c r="AD67" s="85">
        <f t="shared" si="48"/>
        <v>0</v>
      </c>
      <c r="AE67" s="262">
        <f t="shared" si="49"/>
        <v>0</v>
      </c>
    </row>
    <row r="68" spans="3:31" ht="15.75" thickBot="1">
      <c r="D68" s="1433" t="s">
        <v>484</v>
      </c>
      <c r="E68" s="1434"/>
      <c r="F68" s="321" t="e">
        <f>F62+F66</f>
        <v>#VALUE!</v>
      </c>
      <c r="G68" s="321" t="e">
        <f t="shared" ref="G68:M68" si="55">G62+G66</f>
        <v>#VALUE!</v>
      </c>
      <c r="H68" s="321" t="e">
        <f t="shared" si="55"/>
        <v>#VALUE!</v>
      </c>
      <c r="I68" s="321" t="e">
        <f t="shared" si="55"/>
        <v>#VALUE!</v>
      </c>
      <c r="J68" s="321" t="e">
        <f t="shared" si="55"/>
        <v>#VALUE!</v>
      </c>
      <c r="K68" s="321" t="e">
        <f t="shared" si="55"/>
        <v>#VALUE!</v>
      </c>
      <c r="L68" s="321" t="e">
        <f t="shared" si="55"/>
        <v>#VALUE!</v>
      </c>
      <c r="M68" s="322" t="e">
        <f t="shared" si="55"/>
        <v>#VALUE!</v>
      </c>
      <c r="O68" s="61" t="str">
        <f>IF(月途中入退所情報!$D18=$B$2,月途中入退所情報!F18,"-")</f>
        <v>-</v>
      </c>
      <c r="P68" s="61" t="str">
        <f>IF(月途中入退所情報!$D18=$B$2,月途中入退所情報!G18,"-")</f>
        <v>-</v>
      </c>
      <c r="Q68" s="61" t="str">
        <f>IF(月途中入退所情報!$D18=$B$2,月途中入退所情報!H18,"-")</f>
        <v>-</v>
      </c>
      <c r="R68" s="61" t="str">
        <f>IF(月途中入退所情報!$D18=$B$2,月途中入退所情報!I18,"-")</f>
        <v>-</v>
      </c>
      <c r="S68" s="61" t="str">
        <f>IF(月途中入退所情報!$D18=$B$2,月途中入退所情報!J18,"-")</f>
        <v>-</v>
      </c>
      <c r="T68" s="84">
        <f>IF($Q68="標準時間",HLOOKUP($P68,$F$5:$I$27,23,FALSE)-SUM($F$10,$F$21:$F$24,$F$26)-HLOOKUP($P68,$F$5:$I$27,16,FALSE)+HLOOKUP($P68,$F$5:$I$29,25,FALSE),IF($Q68="短時間",HLOOKUP($P68,$J$5:$M$27,23,FALSE)-SUM($F$10,$F$21:$F$24,$F$26)-HLOOKUP($P68,$J$5:$M$27,16,FALSE)+HLOOKUP($P68,$J$5:$M$29,25,FALSE),0))+IF(R68="○",加算と減算!$AH$3,0)</f>
        <v>0</v>
      </c>
      <c r="U68" s="85">
        <f t="shared" si="47"/>
        <v>0</v>
      </c>
      <c r="V68" s="262">
        <f t="shared" si="50"/>
        <v>0</v>
      </c>
      <c r="W68" s="262"/>
      <c r="X68" s="61" t="str">
        <f>IF(月途中入退所情報!$N18=$B$2,月途中入退所情報!$P18,"-")</f>
        <v>-</v>
      </c>
      <c r="Y68" s="61" t="str">
        <f>IF(月途中入退所情報!$N18=$B$2,月途中入退所情報!$Q18,"-")</f>
        <v>-</v>
      </c>
      <c r="Z68" s="61" t="str">
        <f>IF(月途中入退所情報!$N18=$B$2,月途中入退所情報!$R18,"-")</f>
        <v>-</v>
      </c>
      <c r="AA68" s="61" t="str">
        <f>IF(月途中入退所情報!$N18=$B$2,月途中入退所情報!$S18,"-")</f>
        <v>-</v>
      </c>
      <c r="AB68" s="61" t="str">
        <f>IF(月途中入退所情報!$N18=$B$2,月途中入退所情報!$T18,"-")</f>
        <v>-</v>
      </c>
      <c r="AC68" s="84">
        <f>IF($Z68="標準時間",HLOOKUP($Y68,$F$5:$I$27,23,FALSE)-SUM($F$10,$F$21:$F$24,$F$26)-HLOOKUP($Y68,$F$5:$I$27,16,FALSE)+HLOOKUP($Y68,$F$5:$I$29,25,FALSE),IF($Z68="短時間",HLOOKUP($Y68,$J$5:$M$27,23,FALSE)-SUM($F$10,$F$21:$F$24,$F$26)-HLOOKUP($Y68,$J$5:$M$27,16,FALSE)+HLOOKUP($Y68,$J$5:$M$29,25,FALSE),0))+IF(AA68="○",加算と減算!$AH$3,0)</f>
        <v>0</v>
      </c>
      <c r="AD68" s="85">
        <f t="shared" si="48"/>
        <v>0</v>
      </c>
      <c r="AE68" s="262">
        <f t="shared" si="49"/>
        <v>0</v>
      </c>
    </row>
    <row r="69" spans="3:31" ht="15.75" thickBot="1">
      <c r="D69" s="1435"/>
      <c r="E69" s="1436"/>
      <c r="F69" s="1437" t="e">
        <f>SUM(F68:M68)</f>
        <v>#VALUE!</v>
      </c>
      <c r="G69" s="1438"/>
      <c r="H69" s="1438"/>
      <c r="I69" s="1438"/>
      <c r="J69" s="1438"/>
      <c r="K69" s="1438"/>
      <c r="L69" s="1438"/>
      <c r="M69" s="1439"/>
      <c r="O69" s="61" t="str">
        <f>IF(月途中入退所情報!$D19=$B$2,月途中入退所情報!F19,"-")</f>
        <v>-</v>
      </c>
      <c r="P69" s="61" t="str">
        <f>IF(月途中入退所情報!$D19=$B$2,月途中入退所情報!G19,"-")</f>
        <v>-</v>
      </c>
      <c r="Q69" s="61" t="str">
        <f>IF(月途中入退所情報!$D19=$B$2,月途中入退所情報!H19,"-")</f>
        <v>-</v>
      </c>
      <c r="R69" s="61" t="str">
        <f>IF(月途中入退所情報!$D19=$B$2,月途中入退所情報!I19,"-")</f>
        <v>-</v>
      </c>
      <c r="S69" s="61" t="str">
        <f>IF(月途中入退所情報!$D19=$B$2,月途中入退所情報!J19,"-")</f>
        <v>-</v>
      </c>
      <c r="T69" s="84">
        <f>IF($Q69="標準時間",HLOOKUP($P69,$F$5:$I$27,23,FALSE)-SUM($F$10,$F$21:$F$24,$F$26)-HLOOKUP($P69,$F$5:$I$27,16,FALSE)+HLOOKUP($P69,$F$5:$I$29,25,FALSE),IF($Q69="短時間",HLOOKUP($P69,$J$5:$M$27,23,FALSE)-SUM($F$10,$F$21:$F$24,$F$26)-HLOOKUP($P69,$J$5:$M$27,16,FALSE)+HLOOKUP($P69,$J$5:$M$29,25,FALSE),0))+IF(R69="○",加算と減算!$AH$3,0)</f>
        <v>0</v>
      </c>
      <c r="U69" s="85">
        <f t="shared" si="47"/>
        <v>0</v>
      </c>
      <c r="V69" s="262">
        <f t="shared" si="50"/>
        <v>0</v>
      </c>
      <c r="W69" s="262"/>
      <c r="X69" s="61" t="str">
        <f>IF(月途中入退所情報!$N19=$B$2,月途中入退所情報!$P19,"-")</f>
        <v>-</v>
      </c>
      <c r="Y69" s="61" t="str">
        <f>IF(月途中入退所情報!$N19=$B$2,月途中入退所情報!$Q19,"-")</f>
        <v>-</v>
      </c>
      <c r="Z69" s="61" t="str">
        <f>IF(月途中入退所情報!$N19=$B$2,月途中入退所情報!$R19,"-")</f>
        <v>-</v>
      </c>
      <c r="AA69" s="61" t="str">
        <f>IF(月途中入退所情報!$N19=$B$2,月途中入退所情報!$S19,"-")</f>
        <v>-</v>
      </c>
      <c r="AB69" s="61" t="str">
        <f>IF(月途中入退所情報!$N19=$B$2,月途中入退所情報!$T19,"-")</f>
        <v>-</v>
      </c>
      <c r="AC69" s="84">
        <f>IF($Z69="標準時間",HLOOKUP($Y69,$F$5:$I$27,23,FALSE)-SUM($F$10,$F$21:$F$24,$F$26)-HLOOKUP($Y69,$F$5:$I$27,16,FALSE)+HLOOKUP($Y69,$F$5:$I$29,25,FALSE),IF($Z69="短時間",HLOOKUP($Y69,$J$5:$M$27,23,FALSE)-SUM($F$10,$F$21:$F$24,$F$26)-HLOOKUP($Y69,$J$5:$M$27,16,FALSE)+HLOOKUP($Y69,$J$5:$M$29,25,FALSE),0))+IF(AA69="○",加算と減算!$AH$3,0)</f>
        <v>0</v>
      </c>
      <c r="AD69" s="85">
        <f t="shared" si="48"/>
        <v>0</v>
      </c>
      <c r="AE69" s="262">
        <f t="shared" si="49"/>
        <v>0</v>
      </c>
    </row>
    <row r="70" spans="3:31">
      <c r="O70" s="61" t="str">
        <f>IF(月途中入退所情報!$D20=$B$2,月途中入退所情報!F20,"-")</f>
        <v>-</v>
      </c>
      <c r="P70" s="61" t="str">
        <f>IF(月途中入退所情報!$D20=$B$2,月途中入退所情報!G20,"-")</f>
        <v>-</v>
      </c>
      <c r="Q70" s="61" t="str">
        <f>IF(月途中入退所情報!$D20=$B$2,月途中入退所情報!H20,"-")</f>
        <v>-</v>
      </c>
      <c r="R70" s="61" t="str">
        <f>IF(月途中入退所情報!$D20=$B$2,月途中入退所情報!I20,"-")</f>
        <v>-</v>
      </c>
      <c r="S70" s="61" t="str">
        <f>IF(月途中入退所情報!$D20=$B$2,月途中入退所情報!J20,"-")</f>
        <v>-</v>
      </c>
      <c r="T70" s="84">
        <f>IF($Q70="標準時間",HLOOKUP($P70,$F$5:$I$27,23,FALSE)-SUM($F$10,$F$21:$F$24,$F$26)-HLOOKUP($P70,$F$5:$I$27,16,FALSE)+HLOOKUP($P70,$F$5:$I$29,25,FALSE),IF($Q70="短時間",HLOOKUP($P70,$J$5:$M$27,23,FALSE)-SUM($F$10,$F$21:$F$24,$F$26)-HLOOKUP($P70,$J$5:$M$27,16,FALSE)+HLOOKUP($P70,$J$5:$M$29,25,FALSE),0))+IF(R70="○",加算と減算!$AH$3,0)</f>
        <v>0</v>
      </c>
      <c r="U70" s="85">
        <f t="shared" si="47"/>
        <v>0</v>
      </c>
      <c r="V70" s="262">
        <f t="shared" si="50"/>
        <v>0</v>
      </c>
      <c r="W70" s="262"/>
      <c r="X70" s="61" t="str">
        <f>IF(月途中入退所情報!$N20=$B$2,月途中入退所情報!$P20,"-")</f>
        <v>-</v>
      </c>
      <c r="Y70" s="61" t="str">
        <f>IF(月途中入退所情報!$N20=$B$2,月途中入退所情報!$Q20,"-")</f>
        <v>-</v>
      </c>
      <c r="Z70" s="61" t="str">
        <f>IF(月途中入退所情報!$N20=$B$2,月途中入退所情報!$R20,"-")</f>
        <v>-</v>
      </c>
      <c r="AA70" s="61" t="str">
        <f>IF(月途中入退所情報!$N20=$B$2,月途中入退所情報!$S20,"-")</f>
        <v>-</v>
      </c>
      <c r="AB70" s="61" t="str">
        <f>IF(月途中入退所情報!$N20=$B$2,月途中入退所情報!$T20,"-")</f>
        <v>-</v>
      </c>
      <c r="AC70" s="84">
        <f>IF($Z70="標準時間",HLOOKUP($Y70,$F$5:$I$27,23,FALSE)-SUM($F$10,$F$21:$F$24,$F$26)-HLOOKUP($Y70,$F$5:$I$27,16,FALSE)+HLOOKUP($Y70,$F$5:$I$29,25,FALSE),IF($Z70="短時間",HLOOKUP($Y70,$J$5:$M$27,23,FALSE)-SUM($F$10,$F$21:$F$24,$F$26)-HLOOKUP($Y70,$J$5:$M$27,16,FALSE)+HLOOKUP($Y70,$J$5:$M$29,25,FALSE),0))+IF(AA70="○",加算と減算!$AH$3,0)</f>
        <v>0</v>
      </c>
      <c r="AD70" s="85">
        <f t="shared" si="48"/>
        <v>0</v>
      </c>
      <c r="AE70" s="262">
        <f t="shared" si="49"/>
        <v>0</v>
      </c>
    </row>
    <row r="71" spans="3:31">
      <c r="O71" s="61" t="str">
        <f>IF(月途中入退所情報!$D21=$B$2,月途中入退所情報!F21,"-")</f>
        <v>-</v>
      </c>
      <c r="P71" s="61" t="str">
        <f>IF(月途中入退所情報!$D21=$B$2,月途中入退所情報!G21,"-")</f>
        <v>-</v>
      </c>
      <c r="Q71" s="61" t="str">
        <f>IF(月途中入退所情報!$D21=$B$2,月途中入退所情報!H21,"-")</f>
        <v>-</v>
      </c>
      <c r="R71" s="61" t="str">
        <f>IF(月途中入退所情報!$D21=$B$2,月途中入退所情報!I21,"-")</f>
        <v>-</v>
      </c>
      <c r="S71" s="61" t="str">
        <f>IF(月途中入退所情報!$D21=$B$2,月途中入退所情報!J21,"-")</f>
        <v>-</v>
      </c>
      <c r="T71" s="84">
        <f>IF($Q71="標準時間",HLOOKUP($P71,$F$5:$I$27,23,FALSE)-SUM($F$10,$F$21:$F$24,$F$26)-HLOOKUP($P71,$F$5:$I$27,16,FALSE)+HLOOKUP($P71,$F$5:$I$29,25,FALSE),IF($Q71="短時間",HLOOKUP($P71,$J$5:$M$27,23,FALSE)-SUM($F$10,$F$21:$F$24,$F$26)-HLOOKUP($P71,$J$5:$M$27,16,FALSE)+HLOOKUP($P71,$J$5:$M$29,25,FALSE),0))+IF(R71="○",加算と減算!$AH$3,0)</f>
        <v>0</v>
      </c>
      <c r="U71" s="85">
        <f t="shared" si="47"/>
        <v>0</v>
      </c>
      <c r="V71" s="262">
        <f t="shared" si="50"/>
        <v>0</v>
      </c>
      <c r="W71" s="262"/>
      <c r="X71" s="61" t="str">
        <f>IF(月途中入退所情報!$N21=$B$2,月途中入退所情報!$P21,"-")</f>
        <v>-</v>
      </c>
      <c r="Y71" s="61" t="str">
        <f>IF(月途中入退所情報!$N21=$B$2,月途中入退所情報!$Q21,"-")</f>
        <v>-</v>
      </c>
      <c r="Z71" s="61" t="str">
        <f>IF(月途中入退所情報!$N21=$B$2,月途中入退所情報!$R21,"-")</f>
        <v>-</v>
      </c>
      <c r="AA71" s="61" t="str">
        <f>IF(月途中入退所情報!$N21=$B$2,月途中入退所情報!$S21,"-")</f>
        <v>-</v>
      </c>
      <c r="AB71" s="61" t="str">
        <f>IF(月途中入退所情報!$N21=$B$2,月途中入退所情報!$T21,"-")</f>
        <v>-</v>
      </c>
      <c r="AC71" s="84">
        <f>IF($Z71="標準時間",HLOOKUP($Y71,$F$5:$I$27,23,FALSE)-SUM($F$10,$F$21:$F$24,$F$26)-HLOOKUP($Y71,$F$5:$I$27,16,FALSE)+HLOOKUP($Y71,$F$5:$I$29,25,FALSE),IF($Z71="短時間",HLOOKUP($Y71,$J$5:$M$27,23,FALSE)-SUM($F$10,$F$21:$F$24,$F$26)-HLOOKUP($Y71,$J$5:$M$27,16,FALSE)+HLOOKUP($Y71,$J$5:$M$29,25,FALSE),0))+IF(AA71="○",加算と減算!$AH$3,0)</f>
        <v>0</v>
      </c>
      <c r="AD71" s="85">
        <f t="shared" si="48"/>
        <v>0</v>
      </c>
      <c r="AE71" s="262">
        <f t="shared" si="49"/>
        <v>0</v>
      </c>
    </row>
    <row r="72" spans="3:31">
      <c r="O72" s="61" t="str">
        <f>IF(月途中入退所情報!$D22=$B$2,月途中入退所情報!F22,"-")</f>
        <v>-</v>
      </c>
      <c r="P72" s="61" t="str">
        <f>IF(月途中入退所情報!$D22=$B$2,月途中入退所情報!G22,"-")</f>
        <v>-</v>
      </c>
      <c r="Q72" s="61" t="str">
        <f>IF(月途中入退所情報!$D22=$B$2,月途中入退所情報!H22,"-")</f>
        <v>-</v>
      </c>
      <c r="R72" s="61" t="str">
        <f>IF(月途中入退所情報!$D22=$B$2,月途中入退所情報!I22,"-")</f>
        <v>-</v>
      </c>
      <c r="S72" s="61" t="str">
        <f>IF(月途中入退所情報!$D22=$B$2,月途中入退所情報!J22,"-")</f>
        <v>-</v>
      </c>
      <c r="T72" s="84">
        <f>IF($Q72="標準時間",HLOOKUP($P72,$F$5:$I$27,23,FALSE)-SUM($F$10,$F$21:$F$24,$F$26)-HLOOKUP($P72,$F$5:$I$27,16,FALSE)+HLOOKUP($P72,$F$5:$I$29,25,FALSE),IF($Q72="短時間",HLOOKUP($P72,$J$5:$M$27,23,FALSE)-SUM($F$10,$F$21:$F$24,$F$26)-HLOOKUP($P72,$J$5:$M$27,16,FALSE)+HLOOKUP($P72,$J$5:$M$29,25,FALSE),0))+IF(R72="○",加算と減算!$AH$3,0)</f>
        <v>0</v>
      </c>
      <c r="U72" s="85">
        <f t="shared" si="47"/>
        <v>0</v>
      </c>
      <c r="V72" s="262">
        <f t="shared" si="50"/>
        <v>0</v>
      </c>
      <c r="W72" s="262"/>
      <c r="X72" s="61" t="str">
        <f>IF(月途中入退所情報!$N22=$B$2,月途中入退所情報!$P22,"-")</f>
        <v>-</v>
      </c>
      <c r="Y72" s="61" t="str">
        <f>IF(月途中入退所情報!$N22=$B$2,月途中入退所情報!$Q22,"-")</f>
        <v>-</v>
      </c>
      <c r="Z72" s="61" t="str">
        <f>IF(月途中入退所情報!$N22=$B$2,月途中入退所情報!$R22,"-")</f>
        <v>-</v>
      </c>
      <c r="AA72" s="61" t="str">
        <f>IF(月途中入退所情報!$N22=$B$2,月途中入退所情報!$S22,"-")</f>
        <v>-</v>
      </c>
      <c r="AB72" s="61" t="str">
        <f>IF(月途中入退所情報!$N22=$B$2,月途中入退所情報!$T22,"-")</f>
        <v>-</v>
      </c>
      <c r="AC72" s="84">
        <f>IF($Z72="標準時間",HLOOKUP($Y72,$F$5:$I$27,23,FALSE)-SUM($F$10,$F$21:$F$24,$F$26)-HLOOKUP($Y72,$F$5:$I$27,16,FALSE)+HLOOKUP($Y72,$F$5:$I$29,25,FALSE),IF($Z72="短時間",HLOOKUP($Y72,$J$5:$M$27,23,FALSE)-SUM($F$10,$F$21:$F$24,$F$26)-HLOOKUP($Y72,$J$5:$M$27,16,FALSE)+HLOOKUP($Y72,$J$5:$M$29,25,FALSE),0))+IF(AA72="○",加算と減算!$AH$3,0)</f>
        <v>0</v>
      </c>
      <c r="AD72" s="85">
        <f t="shared" si="48"/>
        <v>0</v>
      </c>
      <c r="AE72" s="262">
        <f t="shared" si="49"/>
        <v>0</v>
      </c>
    </row>
    <row r="73" spans="3:31">
      <c r="O73" s="61" t="str">
        <f>IF(月途中入退所情報!$D23=$B$2,月途中入退所情報!F23,"-")</f>
        <v>-</v>
      </c>
      <c r="P73" s="61" t="str">
        <f>IF(月途中入退所情報!$D23=$B$2,月途中入退所情報!G23,"-")</f>
        <v>-</v>
      </c>
      <c r="Q73" s="61" t="str">
        <f>IF(月途中入退所情報!$D23=$B$2,月途中入退所情報!H23,"-")</f>
        <v>-</v>
      </c>
      <c r="R73" s="61" t="str">
        <f>IF(月途中入退所情報!$D23=$B$2,月途中入退所情報!I23,"-")</f>
        <v>-</v>
      </c>
      <c r="S73" s="61" t="str">
        <f>IF(月途中入退所情報!$D23=$B$2,月途中入退所情報!J23,"-")</f>
        <v>-</v>
      </c>
      <c r="T73" s="84">
        <f>IF($Q73="標準時間",HLOOKUP($P73,$F$5:$I$27,23,FALSE)-SUM($F$10,$F$21:$F$24,$F$26)-HLOOKUP($P73,$F$5:$I$27,16,FALSE)+HLOOKUP($P73,$F$5:$I$29,25,FALSE),IF($Q73="短時間",HLOOKUP($P73,$J$5:$M$27,23,FALSE)-SUM($F$10,$F$21:$F$24,$F$26)-HLOOKUP($P73,$J$5:$M$27,16,FALSE)+HLOOKUP($P73,$J$5:$M$29,25,FALSE),0))+IF(R73="○",加算と減算!$AH$3,0)</f>
        <v>0</v>
      </c>
      <c r="U73" s="85">
        <f t="shared" si="47"/>
        <v>0</v>
      </c>
      <c r="V73" s="262">
        <f t="shared" si="50"/>
        <v>0</v>
      </c>
      <c r="W73" s="262"/>
      <c r="X73" s="61" t="str">
        <f>IF(月途中入退所情報!$N23=$B$2,月途中入退所情報!$P23,"-")</f>
        <v>-</v>
      </c>
      <c r="Y73" s="61" t="str">
        <f>IF(月途中入退所情報!$N23=$B$2,月途中入退所情報!$Q23,"-")</f>
        <v>-</v>
      </c>
      <c r="Z73" s="61" t="str">
        <f>IF(月途中入退所情報!$N23=$B$2,月途中入退所情報!$R23,"-")</f>
        <v>-</v>
      </c>
      <c r="AA73" s="61" t="str">
        <f>IF(月途中入退所情報!$N23=$B$2,月途中入退所情報!$S23,"-")</f>
        <v>-</v>
      </c>
      <c r="AB73" s="61" t="str">
        <f>IF(月途中入退所情報!$N23=$B$2,月途中入退所情報!$T23,"-")</f>
        <v>-</v>
      </c>
      <c r="AC73" s="84">
        <f>IF($Z73="標準時間",HLOOKUP($Y73,$F$5:$I$27,23,FALSE)-SUM($F$10,$F$21:$F$24,$F$26)-HLOOKUP($Y73,$F$5:$I$27,16,FALSE)+HLOOKUP($Y73,$F$5:$I$29,25,FALSE),IF($Z73="短時間",HLOOKUP($Y73,$J$5:$M$27,23,FALSE)-SUM($F$10,$F$21:$F$24,$F$26)-HLOOKUP($Y73,$J$5:$M$27,16,FALSE)+HLOOKUP($Y73,$J$5:$M$29,25,FALSE),0))+IF(AA73="○",加算と減算!$AH$3,0)</f>
        <v>0</v>
      </c>
      <c r="AD73" s="85">
        <f t="shared" si="48"/>
        <v>0</v>
      </c>
      <c r="AE73" s="262">
        <f t="shared" si="49"/>
        <v>0</v>
      </c>
    </row>
    <row r="74" spans="3:31">
      <c r="O74" s="61" t="str">
        <f>IF(月途中入退所情報!$D24=$B$2,月途中入退所情報!F24,"-")</f>
        <v>-</v>
      </c>
      <c r="P74" s="61" t="str">
        <f>IF(月途中入退所情報!$D24=$B$2,月途中入退所情報!G24,"-")</f>
        <v>-</v>
      </c>
      <c r="Q74" s="61" t="str">
        <f>IF(月途中入退所情報!$D24=$B$2,月途中入退所情報!H24,"-")</f>
        <v>-</v>
      </c>
      <c r="R74" s="61" t="str">
        <f>IF(月途中入退所情報!$D24=$B$2,月途中入退所情報!I24,"-")</f>
        <v>-</v>
      </c>
      <c r="S74" s="61" t="str">
        <f>IF(月途中入退所情報!$D24=$B$2,月途中入退所情報!J24,"-")</f>
        <v>-</v>
      </c>
      <c r="T74" s="84">
        <f>IF($Q74="標準時間",HLOOKUP($P74,$F$5:$I$27,23,FALSE)-SUM($F$10,$F$21:$F$24,$F$26)-HLOOKUP($P74,$F$5:$I$27,16,FALSE)+HLOOKUP($P74,$F$5:$I$29,25,FALSE),IF($Q74="短時間",HLOOKUP($P74,$J$5:$M$27,23,FALSE)-SUM($F$10,$F$21:$F$24,$F$26)-HLOOKUP($P74,$J$5:$M$27,16,FALSE)+HLOOKUP($P74,$J$5:$M$29,25,FALSE),0))+IF(R74="○",加算と減算!$AH$3,0)</f>
        <v>0</v>
      </c>
      <c r="U74" s="85">
        <f t="shared" si="47"/>
        <v>0</v>
      </c>
      <c r="V74" s="262">
        <f t="shared" si="50"/>
        <v>0</v>
      </c>
      <c r="W74" s="262"/>
      <c r="X74" s="61" t="str">
        <f>IF(月途中入退所情報!$N24=$B$2,月途中入退所情報!$P24,"-")</f>
        <v>-</v>
      </c>
      <c r="Y74" s="61" t="str">
        <f>IF(月途中入退所情報!$N24=$B$2,月途中入退所情報!$Q24,"-")</f>
        <v>-</v>
      </c>
      <c r="Z74" s="61" t="str">
        <f>IF(月途中入退所情報!$N24=$B$2,月途中入退所情報!$R24,"-")</f>
        <v>-</v>
      </c>
      <c r="AA74" s="61" t="str">
        <f>IF(月途中入退所情報!$N24=$B$2,月途中入退所情報!$S24,"-")</f>
        <v>-</v>
      </c>
      <c r="AB74" s="61" t="str">
        <f>IF(月途中入退所情報!$N24=$B$2,月途中入退所情報!$T24,"-")</f>
        <v>-</v>
      </c>
      <c r="AC74" s="84">
        <f>IF($Z74="標準時間",HLOOKUP($Y74,$F$5:$I$27,23,FALSE)-SUM($F$10,$F$21:$F$24,$F$26)-HLOOKUP($Y74,$F$5:$I$27,16,FALSE)+HLOOKUP($Y74,$F$5:$I$29,25,FALSE),IF($Z74="短時間",HLOOKUP($Y74,$J$5:$M$27,23,FALSE)-SUM($F$10,$F$21:$F$24,$F$26)-HLOOKUP($Y74,$J$5:$M$27,16,FALSE)+HLOOKUP($Y74,$J$5:$M$29,25,FALSE),0))+IF(AA74="○",加算と減算!$AH$3,0)</f>
        <v>0</v>
      </c>
      <c r="AD74" s="85">
        <f t="shared" si="48"/>
        <v>0</v>
      </c>
      <c r="AE74" s="262">
        <f t="shared" si="49"/>
        <v>0</v>
      </c>
    </row>
    <row r="75" spans="3:31">
      <c r="O75" s="61" t="str">
        <f>IF(月途中入退所情報!$D25=$B$2,月途中入退所情報!F25,"-")</f>
        <v>-</v>
      </c>
      <c r="P75" s="61" t="str">
        <f>IF(月途中入退所情報!$D25=$B$2,月途中入退所情報!G25,"-")</f>
        <v>-</v>
      </c>
      <c r="Q75" s="61" t="str">
        <f>IF(月途中入退所情報!$D25=$B$2,月途中入退所情報!H25,"-")</f>
        <v>-</v>
      </c>
      <c r="R75" s="61" t="str">
        <f>IF(月途中入退所情報!$D25=$B$2,月途中入退所情報!I25,"-")</f>
        <v>-</v>
      </c>
      <c r="S75" s="61" t="str">
        <f>IF(月途中入退所情報!$D25=$B$2,月途中入退所情報!J25,"-")</f>
        <v>-</v>
      </c>
      <c r="T75" s="84">
        <f>IF($Q75="標準時間",HLOOKUP($P75,$F$5:$I$27,23,FALSE)-SUM($F$10,$F$21:$F$24,$F$26)-HLOOKUP($P75,$F$5:$I$27,16,FALSE)+HLOOKUP($P75,$F$5:$I$29,25,FALSE),IF($Q75="短時間",HLOOKUP($P75,$J$5:$M$27,23,FALSE)-SUM($F$10,$F$21:$F$24,$F$26)-HLOOKUP($P75,$J$5:$M$27,16,FALSE)+HLOOKUP($P75,$J$5:$M$29,25,FALSE),0))+IF(R75="○",加算と減算!$AH$3,0)</f>
        <v>0</v>
      </c>
      <c r="U75" s="85">
        <f t="shared" si="47"/>
        <v>0</v>
      </c>
      <c r="V75" s="262">
        <f t="shared" si="50"/>
        <v>0</v>
      </c>
      <c r="W75" s="262"/>
      <c r="X75" s="61" t="str">
        <f>IF(月途中入退所情報!$N25=$B$2,月途中入退所情報!$P25,"-")</f>
        <v>-</v>
      </c>
      <c r="Y75" s="61" t="str">
        <f>IF(月途中入退所情報!$N25=$B$2,月途中入退所情報!$Q25,"-")</f>
        <v>-</v>
      </c>
      <c r="Z75" s="61" t="str">
        <f>IF(月途中入退所情報!$N25=$B$2,月途中入退所情報!$R25,"-")</f>
        <v>-</v>
      </c>
      <c r="AA75" s="61" t="str">
        <f>IF(月途中入退所情報!$N25=$B$2,月途中入退所情報!$S25,"-")</f>
        <v>-</v>
      </c>
      <c r="AB75" s="61" t="str">
        <f>IF(月途中入退所情報!$N25=$B$2,月途中入退所情報!$T25,"-")</f>
        <v>-</v>
      </c>
      <c r="AC75" s="84">
        <f>IF($Z75="標準時間",HLOOKUP($Y75,$F$5:$I$27,23,FALSE)-SUM($F$10,$F$21:$F$24,$F$26)-HLOOKUP($Y75,$F$5:$I$27,16,FALSE)+HLOOKUP($Y75,$F$5:$I$29,25,FALSE),IF($Z75="短時間",HLOOKUP($Y75,$J$5:$M$27,23,FALSE)-SUM($F$10,$F$21:$F$24,$F$26)-HLOOKUP($Y75,$J$5:$M$27,16,FALSE)+HLOOKUP($Y75,$J$5:$M$29,25,FALSE),0))+IF(AA75="○",加算と減算!$AH$3,0)</f>
        <v>0</v>
      </c>
      <c r="AD75" s="85">
        <f t="shared" si="48"/>
        <v>0</v>
      </c>
      <c r="AE75" s="262">
        <f t="shared" si="49"/>
        <v>0</v>
      </c>
    </row>
    <row r="76" spans="3:31">
      <c r="O76" s="61" t="str">
        <f>IF(月途中入退所情報!$D26=$B$2,月途中入退所情報!F26,"-")</f>
        <v>-</v>
      </c>
      <c r="P76" s="61" t="str">
        <f>IF(月途中入退所情報!$D26=$B$2,月途中入退所情報!G26,"-")</f>
        <v>-</v>
      </c>
      <c r="Q76" s="61" t="str">
        <f>IF(月途中入退所情報!$D26=$B$2,月途中入退所情報!H26,"-")</f>
        <v>-</v>
      </c>
      <c r="R76" s="61" t="str">
        <f>IF(月途中入退所情報!$D26=$B$2,月途中入退所情報!I26,"-")</f>
        <v>-</v>
      </c>
      <c r="S76" s="61" t="str">
        <f>IF(月途中入退所情報!$D26=$B$2,月途中入退所情報!J26,"-")</f>
        <v>-</v>
      </c>
      <c r="T76" s="84">
        <f>IF($Q76="標準時間",HLOOKUP($P76,$F$5:$I$27,23,FALSE)-SUM($F$10,$F$21:$F$24,$F$26)-HLOOKUP($P76,$F$5:$I$27,16,FALSE)+HLOOKUP($P76,$F$5:$I$29,25,FALSE),IF($Q76="短時間",HLOOKUP($P76,$J$5:$M$27,23,FALSE)-SUM($F$10,$F$21:$F$24,$F$26)-HLOOKUP($P76,$J$5:$M$27,16,FALSE)+HLOOKUP($P76,$J$5:$M$29,25,FALSE),0))+IF(R76="○",加算と減算!$AH$3,0)</f>
        <v>0</v>
      </c>
      <c r="U76" s="85">
        <f t="shared" si="47"/>
        <v>0</v>
      </c>
      <c r="V76" s="262">
        <f t="shared" si="50"/>
        <v>0</v>
      </c>
      <c r="W76" s="262"/>
      <c r="X76" s="61" t="str">
        <f>IF(月途中入退所情報!$N26=$B$2,月途中入退所情報!$P26,"-")</f>
        <v>-</v>
      </c>
      <c r="Y76" s="61" t="str">
        <f>IF(月途中入退所情報!$N26=$B$2,月途中入退所情報!$Q26,"-")</f>
        <v>-</v>
      </c>
      <c r="Z76" s="61" t="str">
        <f>IF(月途中入退所情報!$N26=$B$2,月途中入退所情報!$R26,"-")</f>
        <v>-</v>
      </c>
      <c r="AA76" s="61" t="str">
        <f>IF(月途中入退所情報!$N26=$B$2,月途中入退所情報!$S26,"-")</f>
        <v>-</v>
      </c>
      <c r="AB76" s="61" t="str">
        <f>IF(月途中入退所情報!$N26=$B$2,月途中入退所情報!$T26,"-")</f>
        <v>-</v>
      </c>
      <c r="AC76" s="84">
        <f>IF($Z76="標準時間",HLOOKUP($Y76,$F$5:$I$27,23,FALSE)-SUM($F$10,$F$21:$F$24,$F$26)-HLOOKUP($Y76,$F$5:$I$27,16,FALSE)+HLOOKUP($Y76,$F$5:$I$29,25,FALSE),IF($Z76="短時間",HLOOKUP($Y76,$J$5:$M$27,23,FALSE)-SUM($F$10,$F$21:$F$24,$F$26)-HLOOKUP($Y76,$J$5:$M$27,16,FALSE)+HLOOKUP($Y76,$J$5:$M$29,25,FALSE),0))+IF(AA76="○",加算と減算!$AH$3,0)</f>
        <v>0</v>
      </c>
      <c r="AD76" s="85">
        <f t="shared" si="48"/>
        <v>0</v>
      </c>
      <c r="AE76" s="262">
        <f t="shared" si="49"/>
        <v>0</v>
      </c>
    </row>
    <row r="77" spans="3:31">
      <c r="O77" s="61" t="str">
        <f>IF(月途中入退所情報!$D27=$B$2,月途中入退所情報!F27,"-")</f>
        <v>-</v>
      </c>
      <c r="P77" s="61" t="str">
        <f>IF(月途中入退所情報!$D27=$B$2,月途中入退所情報!G27,"-")</f>
        <v>-</v>
      </c>
      <c r="Q77" s="61" t="str">
        <f>IF(月途中入退所情報!$D27=$B$2,月途中入退所情報!H27,"-")</f>
        <v>-</v>
      </c>
      <c r="R77" s="61" t="str">
        <f>IF(月途中入退所情報!$D27=$B$2,月途中入退所情報!I27,"-")</f>
        <v>-</v>
      </c>
      <c r="S77" s="61" t="str">
        <f>IF(月途中入退所情報!$D27=$B$2,月途中入退所情報!J27,"-")</f>
        <v>-</v>
      </c>
      <c r="T77" s="84">
        <f>IF($Q77="標準時間",HLOOKUP($P77,$F$5:$I$27,23,FALSE)-SUM($F$10,$F$21:$F$24,$F$26)-HLOOKUP($P77,$F$5:$I$27,16,FALSE)+HLOOKUP($P77,$F$5:$I$29,25,FALSE),IF($Q77="短時間",HLOOKUP($P77,$J$5:$M$27,23,FALSE)-SUM($F$10,$F$21:$F$24,$F$26)-HLOOKUP($P77,$J$5:$M$27,16,FALSE)+HLOOKUP($P77,$J$5:$M$29,25,FALSE),0))+IF(R77="○",加算と減算!$AH$3,0)</f>
        <v>0</v>
      </c>
      <c r="U77" s="85">
        <f t="shared" si="47"/>
        <v>0</v>
      </c>
      <c r="V77" s="262">
        <f t="shared" si="50"/>
        <v>0</v>
      </c>
      <c r="W77" s="262"/>
      <c r="X77" s="61" t="str">
        <f>IF(月途中入退所情報!$N27=$B$2,月途中入退所情報!$P27,"-")</f>
        <v>-</v>
      </c>
      <c r="Y77" s="61" t="str">
        <f>IF(月途中入退所情報!$N27=$B$2,月途中入退所情報!$Q27,"-")</f>
        <v>-</v>
      </c>
      <c r="Z77" s="61" t="str">
        <f>IF(月途中入退所情報!$N27=$B$2,月途中入退所情報!$R27,"-")</f>
        <v>-</v>
      </c>
      <c r="AA77" s="61" t="str">
        <f>IF(月途中入退所情報!$N27=$B$2,月途中入退所情報!$S27,"-")</f>
        <v>-</v>
      </c>
      <c r="AB77" s="61" t="str">
        <f>IF(月途中入退所情報!$N27=$B$2,月途中入退所情報!$T27,"-")</f>
        <v>-</v>
      </c>
      <c r="AC77" s="84">
        <f>IF($Z77="標準時間",HLOOKUP($Y77,$F$5:$I$27,23,FALSE)-SUM($F$10,$F$21:$F$24,$F$26)-HLOOKUP($Y77,$F$5:$I$27,16,FALSE)+HLOOKUP($Y77,$F$5:$I$29,25,FALSE),IF($Z77="短時間",HLOOKUP($Y77,$J$5:$M$27,23,FALSE)-SUM($F$10,$F$21:$F$24,$F$26)-HLOOKUP($Y77,$J$5:$M$27,16,FALSE)+HLOOKUP($Y77,$J$5:$M$29,25,FALSE),0))+IF(AA77="○",加算と減算!$AH$3,0)</f>
        <v>0</v>
      </c>
      <c r="AD77" s="85">
        <f t="shared" si="48"/>
        <v>0</v>
      </c>
      <c r="AE77" s="262">
        <f t="shared" si="49"/>
        <v>0</v>
      </c>
    </row>
    <row r="78" spans="3:31">
      <c r="T78" s="86" t="s">
        <v>36</v>
      </c>
      <c r="U78" s="85">
        <f>SUM(U58:U77)</f>
        <v>0</v>
      </c>
      <c r="V78" s="262">
        <f>SUM(V58:V77)</f>
        <v>0</v>
      </c>
      <c r="W78" s="262"/>
      <c r="AC78" s="86" t="s">
        <v>36</v>
      </c>
      <c r="AD78" s="85">
        <f>SUM(AD58:AD77)</f>
        <v>0</v>
      </c>
      <c r="AE78" s="264">
        <f>SUM(AE58:AE77)</f>
        <v>0</v>
      </c>
    </row>
    <row r="79" spans="3:31">
      <c r="O79" s="1430" t="s">
        <v>430</v>
      </c>
      <c r="P79" s="1430"/>
      <c r="X79" s="385" t="s">
        <v>431</v>
      </c>
      <c r="Y79" s="385"/>
    </row>
    <row r="80" spans="3:31">
      <c r="O80" s="83" t="s">
        <v>429</v>
      </c>
      <c r="P80" s="83" t="s">
        <v>206</v>
      </c>
      <c r="Q80" s="83" t="s">
        <v>207</v>
      </c>
      <c r="R80" s="83" t="s">
        <v>448</v>
      </c>
      <c r="S80" s="83" t="s">
        <v>214</v>
      </c>
      <c r="T80" s="83" t="s">
        <v>215</v>
      </c>
      <c r="U80" s="83" t="s">
        <v>216</v>
      </c>
      <c r="V80" s="282" t="s">
        <v>455</v>
      </c>
      <c r="W80" s="261"/>
      <c r="X80" s="83" t="s">
        <v>429</v>
      </c>
      <c r="Y80" s="83" t="s">
        <v>206</v>
      </c>
      <c r="Z80" s="83" t="s">
        <v>207</v>
      </c>
      <c r="AA80" s="83" t="s">
        <v>448</v>
      </c>
      <c r="AB80" s="83" t="s">
        <v>218</v>
      </c>
      <c r="AC80" s="83" t="s">
        <v>215</v>
      </c>
      <c r="AD80" s="280" t="s">
        <v>453</v>
      </c>
      <c r="AE80" s="282" t="s">
        <v>455</v>
      </c>
    </row>
    <row r="81" spans="15:31">
      <c r="O81" s="61" t="str">
        <f>IF(月途中入退所情報!$D31=$B$2,月途中入退所情報!F31,"-")</f>
        <v>-</v>
      </c>
      <c r="P81" s="61" t="str">
        <f>IF(月途中入退所情報!$D31=$B$2,月途中入退所情報!G31,"-")</f>
        <v>-</v>
      </c>
      <c r="Q81" s="61" t="str">
        <f>IF(月途中入退所情報!$D31=$B$2,月途中入退所情報!H31,"-")</f>
        <v>-</v>
      </c>
      <c r="R81" s="61" t="str">
        <f>IF(月途中入退所情報!$D31=$B$2,月途中入退所情報!I31,"-")</f>
        <v>-</v>
      </c>
      <c r="S81" s="61" t="str">
        <f>IF(月途中入退所情報!$D31=$B$2,月途中入退所情報!J31,"-")</f>
        <v>-</v>
      </c>
      <c r="T81" s="84">
        <f>IF($Q81="標準時間",HLOOKUP($P81,$F$31:$I$54,24,FALSE)-SUM($F$10,$F$21:$F$24,$F$26)-HLOOKUP($P81,$F$31:$I$54,17,FALSE)+HLOOKUP($P81,$F$31:$I$56,26,FALSE),IF($Q81="短時間",HLOOKUP($P81,$J$31:$M$54,24,FALSE)-SUM($F$10,$F$21:$F$24,$F$26)-HLOOKUP($P81,$J$31:$M$54,17,FALSE)+HLOOKUP($P81,$J$31:$M$56,26,FALSE),0))+IF(R81="○",加算と減算!$AH$3,0)</f>
        <v>0</v>
      </c>
      <c r="U81" s="85">
        <f t="shared" ref="U81:U100" si="56">IFERROR(ROUNDDOWN(T81*S81/25,-1),0)</f>
        <v>0</v>
      </c>
      <c r="V81" s="262">
        <f>IFERROR(ROUNDDOWN(IF($Q81="標準時間",HLOOKUP($P81,$F$31:$I$55,25,FALSE),IF($Q81="短時間",HLOOKUP($P81,$J$31:$M$55,25,FALSE),0))*S81/25,-1),0)</f>
        <v>0</v>
      </c>
      <c r="W81" s="262"/>
      <c r="X81" s="61" t="str">
        <f>IF(月途中入退所情報!$N31=$B$2,月途中入退所情報!$P31,"-")</f>
        <v>-</v>
      </c>
      <c r="Y81" s="61" t="str">
        <f>IF(月途中入退所情報!$N31=$B$2,月途中入退所情報!$Q31,"-")</f>
        <v>-</v>
      </c>
      <c r="Z81" s="61" t="str">
        <f>IF(月途中入退所情報!$N31=$B$2,月途中入退所情報!$R31,"-")</f>
        <v>-</v>
      </c>
      <c r="AA81" s="61" t="str">
        <f>IF(月途中入退所情報!$N31=$B$2,月途中入退所情報!$S31,"-")</f>
        <v>-</v>
      </c>
      <c r="AB81" s="61" t="str">
        <f>IF(月途中入退所情報!$N31=$B$2,月途中入退所情報!$T31,"-")</f>
        <v>-</v>
      </c>
      <c r="AC81" s="84">
        <f>IF($Z81="標準時間",HLOOKUP($Y81,$F$31:$I$54,24,FALSE)-SUM($F$10,$F$21:$F$24,$F$26)-HLOOKUP($Y81,$F$31:$I$54,17,FALSE)+HLOOKUP($Y81,$F$31:$I$56,26,FALSE),IF($Z81="短時間",HLOOKUP($Y81,$J$31:$M$54,24,FALSE)-SUM($F$10,$F$21:$F$24,$F$26)-HLOOKUP($Y81,$J$31:$M$54,17,FALSE)+HLOOKUP($Y81,$J$31:$M$56,26,FALSE),0))+IF(AA81="○",加算と減算!$AH$3,0)</f>
        <v>0</v>
      </c>
      <c r="AD81" s="85">
        <f t="shared" ref="AD81:AD100" si="57">IFERROR(-ROUNDUP(AC81*AB81/25,-1),0)</f>
        <v>0</v>
      </c>
      <c r="AE81" s="262">
        <f t="shared" ref="AE81:AE100" si="58">IFERROR(-ROUNDUP(IF($Z81="標準時間",HLOOKUP($Y81,$F$31:$I$55,25,FALSE),IF($Z81="短時間",HLOOKUP($Y81,$J$31:$M$55,25,FALSE),0))*AB81/25,-1),0)</f>
        <v>0</v>
      </c>
    </row>
    <row r="82" spans="15:31">
      <c r="O82" s="61" t="str">
        <f>IF(月途中入退所情報!$D32=$B$2,月途中入退所情報!F32,"-")</f>
        <v>-</v>
      </c>
      <c r="P82" s="61" t="str">
        <f>IF(月途中入退所情報!$D32=$B$2,月途中入退所情報!G32,"-")</f>
        <v>-</v>
      </c>
      <c r="Q82" s="61" t="str">
        <f>IF(月途中入退所情報!$D32=$B$2,月途中入退所情報!H32,"-")</f>
        <v>-</v>
      </c>
      <c r="R82" s="61" t="str">
        <f>IF(月途中入退所情報!$D32=$B$2,月途中入退所情報!I32,"-")</f>
        <v>-</v>
      </c>
      <c r="S82" s="61" t="str">
        <f>IF(月途中入退所情報!$D32=$B$2,月途中入退所情報!J32,"-")</f>
        <v>-</v>
      </c>
      <c r="T82" s="84">
        <f>IF($Q82="標準時間",HLOOKUP($P82,$F$31:$I$54,24,FALSE)-SUM($F$10,$F$21:$F$24,$F$26)-HLOOKUP($P82,$F$31:$I$54,17,FALSE)+HLOOKUP($P82,$F$31:$I$56,26,FALSE),IF($Q82="短時間",HLOOKUP($P82,$J$31:$M$54,24,FALSE)-SUM($F$10,$F$21:$F$24,$F$26)-HLOOKUP($P82,$J$31:$M$54,17,FALSE)+HLOOKUP($P82,$J$31:$M$56,26,FALSE),0))+IF(R82="○",加算と減算!$AH$3,0)</f>
        <v>0</v>
      </c>
      <c r="U82" s="85">
        <f t="shared" si="56"/>
        <v>0</v>
      </c>
      <c r="V82" s="262">
        <f t="shared" ref="V82:V100" si="59">IFERROR(ROUNDDOWN(IF($Q82="標準時間",HLOOKUP($P82,$F$31:$I$55,25,FALSE),IF($Q82="短時間",HLOOKUP($P82,$J$31:$M$55,25,FALSE),0))*S82/25,-1),0)</f>
        <v>0</v>
      </c>
      <c r="W82" s="262"/>
      <c r="X82" s="61" t="str">
        <f>IF(月途中入退所情報!$N32=$B$2,月途中入退所情報!$P32,"-")</f>
        <v>-</v>
      </c>
      <c r="Y82" s="61" t="str">
        <f>IF(月途中入退所情報!$N32=$B$2,月途中入退所情報!$Q32,"-")</f>
        <v>-</v>
      </c>
      <c r="Z82" s="61" t="str">
        <f>IF(月途中入退所情報!$N32=$B$2,月途中入退所情報!$R32,"-")</f>
        <v>-</v>
      </c>
      <c r="AA82" s="61" t="str">
        <f>IF(月途中入退所情報!$N32=$B$2,月途中入退所情報!$S32,"-")</f>
        <v>-</v>
      </c>
      <c r="AB82" s="61" t="str">
        <f>IF(月途中入退所情報!$N32=$B$2,月途中入退所情報!$T32,"-")</f>
        <v>-</v>
      </c>
      <c r="AC82" s="84">
        <f>IF($Z82="標準時間",HLOOKUP($Y82,$F$31:$I$54,24,FALSE)-SUM($F$10,$F$21:$F$24,$F$26)-HLOOKUP($Y82,$F$31:$I$54,17,FALSE)+HLOOKUP($Y82,$F$31:$I$56,26,FALSE),IF($Z82="短時間",HLOOKUP($Y82,$J$31:$M$54,24,FALSE)-SUM($F$10,$F$21:$F$24,$F$26)-HLOOKUP($Y82,$J$31:$M$54,17,FALSE)+HLOOKUP($Y82,$J$31:$M$56,26,FALSE),0))+IF(AA82="○",加算と減算!$AH$3,0)</f>
        <v>0</v>
      </c>
      <c r="AD82" s="85">
        <f t="shared" si="57"/>
        <v>0</v>
      </c>
      <c r="AE82" s="262">
        <f t="shared" si="58"/>
        <v>0</v>
      </c>
    </row>
    <row r="83" spans="15:31">
      <c r="O83" s="61" t="str">
        <f>IF(月途中入退所情報!$D33=$B$2,月途中入退所情報!F33,"-")</f>
        <v>-</v>
      </c>
      <c r="P83" s="61" t="str">
        <f>IF(月途中入退所情報!$D33=$B$2,月途中入退所情報!G33,"-")</f>
        <v>-</v>
      </c>
      <c r="Q83" s="61" t="str">
        <f>IF(月途中入退所情報!$D33=$B$2,月途中入退所情報!H33,"-")</f>
        <v>-</v>
      </c>
      <c r="R83" s="61" t="str">
        <f>IF(月途中入退所情報!$D33=$B$2,月途中入退所情報!I33,"-")</f>
        <v>-</v>
      </c>
      <c r="S83" s="61" t="str">
        <f>IF(月途中入退所情報!$D33=$B$2,月途中入退所情報!J33,"-")</f>
        <v>-</v>
      </c>
      <c r="T83" s="84">
        <f>IF($Q83="標準時間",HLOOKUP($P83,$F$31:$I$54,24,FALSE)-SUM($F$10,$F$21:$F$24,$F$26)-HLOOKUP($P83,$F$31:$I$54,17,FALSE)+HLOOKUP($P83,$F$31:$I$56,26,FALSE),IF($Q83="短時間",HLOOKUP($P83,$J$31:$M$54,24,FALSE)-SUM($F$10,$F$21:$F$24,$F$26)-HLOOKUP($P83,$J$31:$M$54,17,FALSE)+HLOOKUP($P83,$J$31:$M$56,26,FALSE),0))+IF(R83="○",加算と減算!$AH$3,0)</f>
        <v>0</v>
      </c>
      <c r="U83" s="85">
        <f t="shared" si="56"/>
        <v>0</v>
      </c>
      <c r="V83" s="262">
        <f t="shared" si="59"/>
        <v>0</v>
      </c>
      <c r="W83" s="262"/>
      <c r="X83" s="61" t="str">
        <f>IF(月途中入退所情報!$N33=$B$2,月途中入退所情報!$P33,"-")</f>
        <v>-</v>
      </c>
      <c r="Y83" s="61" t="str">
        <f>IF(月途中入退所情報!$N33=$B$2,月途中入退所情報!$Q33,"-")</f>
        <v>-</v>
      </c>
      <c r="Z83" s="61" t="str">
        <f>IF(月途中入退所情報!$N33=$B$2,月途中入退所情報!$R33,"-")</f>
        <v>-</v>
      </c>
      <c r="AA83" s="61" t="str">
        <f>IF(月途中入退所情報!$N33=$B$2,月途中入退所情報!$S33,"-")</f>
        <v>-</v>
      </c>
      <c r="AB83" s="61" t="str">
        <f>IF(月途中入退所情報!$N33=$B$2,月途中入退所情報!$T33,"-")</f>
        <v>-</v>
      </c>
      <c r="AC83" s="84">
        <f>IF($Z83="標準時間",HLOOKUP($Y83,$F$31:$I$54,24,FALSE)-SUM($F$10,$F$21:$F$24,$F$26)-HLOOKUP($Y83,$F$31:$I$54,17,FALSE)+HLOOKUP($Y83,$F$31:$I$56,26,FALSE),IF($Z83="短時間",HLOOKUP($Y83,$J$31:$M$54,24,FALSE)-SUM($F$10,$F$21:$F$24,$F$26)-HLOOKUP($Y83,$J$31:$M$54,17,FALSE)+HLOOKUP($Y83,$J$31:$M$56,26,FALSE),0))+IF(AA83="○",加算と減算!$AH$3,0)</f>
        <v>0</v>
      </c>
      <c r="AD83" s="85">
        <f t="shared" si="57"/>
        <v>0</v>
      </c>
      <c r="AE83" s="262">
        <f t="shared" si="58"/>
        <v>0</v>
      </c>
    </row>
    <row r="84" spans="15:31">
      <c r="O84" s="61" t="str">
        <f>IF(月途中入退所情報!$D34=$B$2,月途中入退所情報!F34,"-")</f>
        <v>-</v>
      </c>
      <c r="P84" s="61" t="str">
        <f>IF(月途中入退所情報!$D34=$B$2,月途中入退所情報!G34,"-")</f>
        <v>-</v>
      </c>
      <c r="Q84" s="61" t="str">
        <f>IF(月途中入退所情報!$D34=$B$2,月途中入退所情報!H34,"-")</f>
        <v>-</v>
      </c>
      <c r="R84" s="61" t="str">
        <f>IF(月途中入退所情報!$D34=$B$2,月途中入退所情報!I34,"-")</f>
        <v>-</v>
      </c>
      <c r="S84" s="61" t="str">
        <f>IF(月途中入退所情報!$D34=$B$2,月途中入退所情報!J34,"-")</f>
        <v>-</v>
      </c>
      <c r="T84" s="84">
        <f>IF($Q84="標準時間",HLOOKUP($P84,$F$31:$I$54,24,FALSE)-SUM($F$10,$F$21:$F$24,$F$26)-HLOOKUP($P84,$F$31:$I$54,17,FALSE)+HLOOKUP($P84,$F$31:$I$56,26,FALSE),IF($Q84="短時間",HLOOKUP($P84,$J$31:$M$54,24,FALSE)-SUM($F$10,$F$21:$F$24,$F$26)-HLOOKUP($P84,$J$31:$M$54,17,FALSE)+HLOOKUP($P84,$J$31:$M$56,26,FALSE),0))+IF(R84="○",加算と減算!$AH$3,0)</f>
        <v>0</v>
      </c>
      <c r="U84" s="85">
        <f t="shared" si="56"/>
        <v>0</v>
      </c>
      <c r="V84" s="262">
        <f t="shared" si="59"/>
        <v>0</v>
      </c>
      <c r="W84" s="262"/>
      <c r="X84" s="61" t="str">
        <f>IF(月途中入退所情報!$N34=$B$2,月途中入退所情報!$P34,"-")</f>
        <v>-</v>
      </c>
      <c r="Y84" s="61" t="str">
        <f>IF(月途中入退所情報!$N34=$B$2,月途中入退所情報!$Q34,"-")</f>
        <v>-</v>
      </c>
      <c r="Z84" s="61" t="str">
        <f>IF(月途中入退所情報!$N34=$B$2,月途中入退所情報!$R34,"-")</f>
        <v>-</v>
      </c>
      <c r="AA84" s="61" t="str">
        <f>IF(月途中入退所情報!$N34=$B$2,月途中入退所情報!$S34,"-")</f>
        <v>-</v>
      </c>
      <c r="AB84" s="61" t="str">
        <f>IF(月途中入退所情報!$N34=$B$2,月途中入退所情報!$T34,"-")</f>
        <v>-</v>
      </c>
      <c r="AC84" s="84">
        <f>IF($Z84="標準時間",HLOOKUP($Y84,$F$31:$I$54,24,FALSE)-SUM($F$10,$F$21:$F$24,$F$26)-HLOOKUP($Y84,$F$31:$I$54,17,FALSE)+HLOOKUP($Y84,$F$31:$I$56,26,FALSE),IF($Z84="短時間",HLOOKUP($Y84,$J$31:$M$54,24,FALSE)-SUM($F$10,$F$21:$F$24,$F$26)-HLOOKUP($Y84,$J$31:$M$54,17,FALSE)+HLOOKUP($Y84,$J$31:$M$56,26,FALSE),0))+IF(AA84="○",加算と減算!$AH$3,0)</f>
        <v>0</v>
      </c>
      <c r="AD84" s="85">
        <f t="shared" si="57"/>
        <v>0</v>
      </c>
      <c r="AE84" s="262">
        <f t="shared" si="58"/>
        <v>0</v>
      </c>
    </row>
    <row r="85" spans="15:31">
      <c r="O85" s="61" t="str">
        <f>IF(月途中入退所情報!$D35=$B$2,月途中入退所情報!F35,"-")</f>
        <v>-</v>
      </c>
      <c r="P85" s="61" t="str">
        <f>IF(月途中入退所情報!$D35=$B$2,月途中入退所情報!G35,"-")</f>
        <v>-</v>
      </c>
      <c r="Q85" s="61" t="str">
        <f>IF(月途中入退所情報!$D35=$B$2,月途中入退所情報!H35,"-")</f>
        <v>-</v>
      </c>
      <c r="R85" s="61" t="str">
        <f>IF(月途中入退所情報!$D35=$B$2,月途中入退所情報!I35,"-")</f>
        <v>-</v>
      </c>
      <c r="S85" s="61" t="str">
        <f>IF(月途中入退所情報!$D35=$B$2,月途中入退所情報!J35,"-")</f>
        <v>-</v>
      </c>
      <c r="T85" s="84">
        <f>IF($Q85="標準時間",HLOOKUP($P85,$F$31:$I$54,24,FALSE)-SUM($F$10,$F$21:$F$24,$F$26)-HLOOKUP($P85,$F$31:$I$54,17,FALSE)+HLOOKUP($P85,$F$31:$I$56,26,FALSE),IF($Q85="短時間",HLOOKUP($P85,$J$31:$M$54,24,FALSE)-SUM($F$10,$F$21:$F$24,$F$26)-HLOOKUP($P85,$J$31:$M$54,17,FALSE)+HLOOKUP($P85,$J$31:$M$56,26,FALSE),0))+IF(R85="○",加算と減算!$AH$3,0)</f>
        <v>0</v>
      </c>
      <c r="U85" s="85">
        <f t="shared" si="56"/>
        <v>0</v>
      </c>
      <c r="V85" s="262">
        <f t="shared" si="59"/>
        <v>0</v>
      </c>
      <c r="W85" s="262"/>
      <c r="X85" s="61" t="str">
        <f>IF(月途中入退所情報!$N35=$B$2,月途中入退所情報!$P35,"-")</f>
        <v>-</v>
      </c>
      <c r="Y85" s="61" t="str">
        <f>IF(月途中入退所情報!$N35=$B$2,月途中入退所情報!$Q35,"-")</f>
        <v>-</v>
      </c>
      <c r="Z85" s="61" t="str">
        <f>IF(月途中入退所情報!$N35=$B$2,月途中入退所情報!$R35,"-")</f>
        <v>-</v>
      </c>
      <c r="AA85" s="61" t="str">
        <f>IF(月途中入退所情報!$N35=$B$2,月途中入退所情報!$S35,"-")</f>
        <v>-</v>
      </c>
      <c r="AB85" s="61" t="str">
        <f>IF(月途中入退所情報!$N35=$B$2,月途中入退所情報!$T35,"-")</f>
        <v>-</v>
      </c>
      <c r="AC85" s="84">
        <f>IF($Z85="標準時間",HLOOKUP($Y85,$F$31:$I$54,24,FALSE)-SUM($F$10,$F$21:$F$24,$F$26)-HLOOKUP($Y85,$F$31:$I$54,17,FALSE)+HLOOKUP($Y85,$F$31:$I$56,26,FALSE),IF($Z85="短時間",HLOOKUP($Y85,$J$31:$M$54,24,FALSE)-SUM($F$10,$F$21:$F$24,$F$26)-HLOOKUP($Y85,$J$31:$M$54,17,FALSE)+HLOOKUP($Y85,$J$31:$M$56,26,FALSE),0))+IF(AA85="○",加算と減算!$AH$3,0)</f>
        <v>0</v>
      </c>
      <c r="AD85" s="85">
        <f t="shared" si="57"/>
        <v>0</v>
      </c>
      <c r="AE85" s="262">
        <f t="shared" si="58"/>
        <v>0</v>
      </c>
    </row>
    <row r="86" spans="15:31">
      <c r="O86" s="61" t="str">
        <f>IF(月途中入退所情報!$D36=$B$2,月途中入退所情報!F36,"-")</f>
        <v>-</v>
      </c>
      <c r="P86" s="61" t="str">
        <f>IF(月途中入退所情報!$D36=$B$2,月途中入退所情報!G36,"-")</f>
        <v>-</v>
      </c>
      <c r="Q86" s="61" t="str">
        <f>IF(月途中入退所情報!$D36=$B$2,月途中入退所情報!H36,"-")</f>
        <v>-</v>
      </c>
      <c r="R86" s="61" t="str">
        <f>IF(月途中入退所情報!$D36=$B$2,月途中入退所情報!I36,"-")</f>
        <v>-</v>
      </c>
      <c r="S86" s="61" t="str">
        <f>IF(月途中入退所情報!$D36=$B$2,月途中入退所情報!J36,"-")</f>
        <v>-</v>
      </c>
      <c r="T86" s="84">
        <f>IF($Q86="標準時間",HLOOKUP($P86,$F$31:$I$54,24,FALSE)-SUM($F$10,$F$21:$F$24,$F$26)-HLOOKUP($P86,$F$31:$I$54,17,FALSE)+HLOOKUP($P86,$F$31:$I$56,26,FALSE),IF($Q86="短時間",HLOOKUP($P86,$J$31:$M$54,24,FALSE)-SUM($F$10,$F$21:$F$24,$F$26)-HLOOKUP($P86,$J$31:$M$54,17,FALSE)+HLOOKUP($P86,$J$31:$M$56,26,FALSE),0))+IF(R86="○",加算と減算!$AH$3,0)</f>
        <v>0</v>
      </c>
      <c r="U86" s="85">
        <f t="shared" si="56"/>
        <v>0</v>
      </c>
      <c r="V86" s="262">
        <f t="shared" si="59"/>
        <v>0</v>
      </c>
      <c r="W86" s="262"/>
      <c r="X86" s="61" t="str">
        <f>IF(月途中入退所情報!$N36=$B$2,月途中入退所情報!$P36,"-")</f>
        <v>-</v>
      </c>
      <c r="Y86" s="61" t="str">
        <f>IF(月途中入退所情報!$N36=$B$2,月途中入退所情報!$Q36,"-")</f>
        <v>-</v>
      </c>
      <c r="Z86" s="61" t="str">
        <f>IF(月途中入退所情報!$N36=$B$2,月途中入退所情報!$R36,"-")</f>
        <v>-</v>
      </c>
      <c r="AA86" s="61" t="str">
        <f>IF(月途中入退所情報!$N36=$B$2,月途中入退所情報!$S36,"-")</f>
        <v>-</v>
      </c>
      <c r="AB86" s="61" t="str">
        <f>IF(月途中入退所情報!$N36=$B$2,月途中入退所情報!$T36,"-")</f>
        <v>-</v>
      </c>
      <c r="AC86" s="84">
        <f>IF($Z86="標準時間",HLOOKUP($Y86,$F$31:$I$54,24,FALSE)-SUM($F$10,$F$21:$F$24,$F$26)-HLOOKUP($Y86,$F$31:$I$54,17,FALSE)+HLOOKUP($Y86,$F$31:$I$56,26,FALSE),IF($Z86="短時間",HLOOKUP($Y86,$J$31:$M$54,24,FALSE)-SUM($F$10,$F$21:$F$24,$F$26)-HLOOKUP($Y86,$J$31:$M$54,17,FALSE)+HLOOKUP($Y86,$J$31:$M$56,26,FALSE),0))+IF(AA86="○",加算と減算!$AH$3,0)</f>
        <v>0</v>
      </c>
      <c r="AD86" s="85">
        <f t="shared" si="57"/>
        <v>0</v>
      </c>
      <c r="AE86" s="262">
        <f t="shared" si="58"/>
        <v>0</v>
      </c>
    </row>
    <row r="87" spans="15:31">
      <c r="O87" s="61" t="str">
        <f>IF(月途中入退所情報!$D37=$B$2,月途中入退所情報!F37,"-")</f>
        <v>-</v>
      </c>
      <c r="P87" s="61" t="str">
        <f>IF(月途中入退所情報!$D37=$B$2,月途中入退所情報!G37,"-")</f>
        <v>-</v>
      </c>
      <c r="Q87" s="61" t="str">
        <f>IF(月途中入退所情報!$D37=$B$2,月途中入退所情報!H37,"-")</f>
        <v>-</v>
      </c>
      <c r="R87" s="61" t="str">
        <f>IF(月途中入退所情報!$D37=$B$2,月途中入退所情報!I37,"-")</f>
        <v>-</v>
      </c>
      <c r="S87" s="61" t="str">
        <f>IF(月途中入退所情報!$D37=$B$2,月途中入退所情報!J37,"-")</f>
        <v>-</v>
      </c>
      <c r="T87" s="84">
        <f>IF($Q87="標準時間",HLOOKUP($P87,$F$31:$I$54,24,FALSE)-SUM($F$10,$F$21:$F$24,$F$26)-HLOOKUP($P87,$F$31:$I$54,17,FALSE)+HLOOKUP($P87,$F$31:$I$56,26,FALSE),IF($Q87="短時間",HLOOKUP($P87,$J$31:$M$54,24,FALSE)-SUM($F$10,$F$21:$F$24,$F$26)-HLOOKUP($P87,$J$31:$M$54,17,FALSE)+HLOOKUP($P87,$J$31:$M$56,26,FALSE),0))+IF(R87="○",加算と減算!$AH$3,0)</f>
        <v>0</v>
      </c>
      <c r="U87" s="85">
        <f t="shared" si="56"/>
        <v>0</v>
      </c>
      <c r="V87" s="262">
        <f t="shared" si="59"/>
        <v>0</v>
      </c>
      <c r="W87" s="262"/>
      <c r="X87" s="61" t="str">
        <f>IF(月途中入退所情報!$N37=$B$2,月途中入退所情報!$P37,"-")</f>
        <v>-</v>
      </c>
      <c r="Y87" s="61" t="str">
        <f>IF(月途中入退所情報!$N37=$B$2,月途中入退所情報!$Q37,"-")</f>
        <v>-</v>
      </c>
      <c r="Z87" s="61" t="str">
        <f>IF(月途中入退所情報!$N37=$B$2,月途中入退所情報!$R37,"-")</f>
        <v>-</v>
      </c>
      <c r="AA87" s="61" t="str">
        <f>IF(月途中入退所情報!$N37=$B$2,月途中入退所情報!$S37,"-")</f>
        <v>-</v>
      </c>
      <c r="AB87" s="61" t="str">
        <f>IF(月途中入退所情報!$N37=$B$2,月途中入退所情報!$T37,"-")</f>
        <v>-</v>
      </c>
      <c r="AC87" s="84">
        <f>IF($Z87="標準時間",HLOOKUP($Y87,$F$31:$I$54,24,FALSE)-SUM($F$10,$F$21:$F$24,$F$26)-HLOOKUP($Y87,$F$31:$I$54,17,FALSE)+HLOOKUP($Y87,$F$31:$I$56,26,FALSE),IF($Z87="短時間",HLOOKUP($Y87,$J$31:$M$54,24,FALSE)-SUM($F$10,$F$21:$F$24,$F$26)-HLOOKUP($Y87,$J$31:$M$54,17,FALSE)+HLOOKUP($Y87,$J$31:$M$56,26,FALSE),0))+IF(AA87="○",加算と減算!$AH$3,0)</f>
        <v>0</v>
      </c>
      <c r="AD87" s="85">
        <f t="shared" si="57"/>
        <v>0</v>
      </c>
      <c r="AE87" s="262">
        <f t="shared" si="58"/>
        <v>0</v>
      </c>
    </row>
    <row r="88" spans="15:31">
      <c r="O88" s="61" t="str">
        <f>IF(月途中入退所情報!$D38=$B$2,月途中入退所情報!F38,"-")</f>
        <v>-</v>
      </c>
      <c r="P88" s="61" t="str">
        <f>IF(月途中入退所情報!$D38=$B$2,月途中入退所情報!G38,"-")</f>
        <v>-</v>
      </c>
      <c r="Q88" s="61" t="str">
        <f>IF(月途中入退所情報!$D38=$B$2,月途中入退所情報!H38,"-")</f>
        <v>-</v>
      </c>
      <c r="R88" s="61" t="str">
        <f>IF(月途中入退所情報!$D38=$B$2,月途中入退所情報!I38,"-")</f>
        <v>-</v>
      </c>
      <c r="S88" s="61" t="str">
        <f>IF(月途中入退所情報!$D38=$B$2,月途中入退所情報!J38,"-")</f>
        <v>-</v>
      </c>
      <c r="T88" s="84">
        <f>IF($Q88="標準時間",HLOOKUP($P88,$F$31:$I$54,24,FALSE)-SUM($F$10,$F$21:$F$24,$F$26)-HLOOKUP($P88,$F$31:$I$54,17,FALSE)+HLOOKUP($P88,$F$31:$I$56,26,FALSE),IF($Q88="短時間",HLOOKUP($P88,$J$31:$M$54,24,FALSE)-SUM($F$10,$F$21:$F$24,$F$26)-HLOOKUP($P88,$J$31:$M$54,17,FALSE)+HLOOKUP($P88,$J$31:$M$56,26,FALSE),0))+IF(R88="○",加算と減算!$AH$3,0)</f>
        <v>0</v>
      </c>
      <c r="U88" s="85">
        <f t="shared" si="56"/>
        <v>0</v>
      </c>
      <c r="V88" s="262">
        <f t="shared" si="59"/>
        <v>0</v>
      </c>
      <c r="W88" s="262"/>
      <c r="X88" s="61" t="str">
        <f>IF(月途中入退所情報!$N38=$B$2,月途中入退所情報!$P38,"-")</f>
        <v>-</v>
      </c>
      <c r="Y88" s="61" t="str">
        <f>IF(月途中入退所情報!$N38=$B$2,月途中入退所情報!$Q38,"-")</f>
        <v>-</v>
      </c>
      <c r="Z88" s="61" t="str">
        <f>IF(月途中入退所情報!$N38=$B$2,月途中入退所情報!$R38,"-")</f>
        <v>-</v>
      </c>
      <c r="AA88" s="61" t="str">
        <f>IF(月途中入退所情報!$N38=$B$2,月途中入退所情報!$S38,"-")</f>
        <v>-</v>
      </c>
      <c r="AB88" s="61" t="str">
        <f>IF(月途中入退所情報!$N38=$B$2,月途中入退所情報!$T38,"-")</f>
        <v>-</v>
      </c>
      <c r="AC88" s="84">
        <f>IF($Z88="標準時間",HLOOKUP($Y88,$F$31:$I$54,24,FALSE)-SUM($F$10,$F$21:$F$24,$F$26)-HLOOKUP($Y88,$F$31:$I$54,17,FALSE)+HLOOKUP($Y88,$F$31:$I$56,26,FALSE),IF($Z88="短時間",HLOOKUP($Y88,$J$31:$M$54,24,FALSE)-SUM($F$10,$F$21:$F$24,$F$26)-HLOOKUP($Y88,$J$31:$M$54,17,FALSE)+HLOOKUP($Y88,$J$31:$M$56,26,FALSE),0))+IF(AA88="○",加算と減算!$AH$3,0)</f>
        <v>0</v>
      </c>
      <c r="AD88" s="85">
        <f t="shared" si="57"/>
        <v>0</v>
      </c>
      <c r="AE88" s="262">
        <f t="shared" si="58"/>
        <v>0</v>
      </c>
    </row>
    <row r="89" spans="15:31">
      <c r="O89" s="61" t="str">
        <f>IF(月途中入退所情報!$D39=$B$2,月途中入退所情報!F39,"-")</f>
        <v>-</v>
      </c>
      <c r="P89" s="61" t="str">
        <f>IF(月途中入退所情報!$D39=$B$2,月途中入退所情報!G39,"-")</f>
        <v>-</v>
      </c>
      <c r="Q89" s="61" t="str">
        <f>IF(月途中入退所情報!$D39=$B$2,月途中入退所情報!H39,"-")</f>
        <v>-</v>
      </c>
      <c r="R89" s="61" t="str">
        <f>IF(月途中入退所情報!$D39=$B$2,月途中入退所情報!I39,"-")</f>
        <v>-</v>
      </c>
      <c r="S89" s="61" t="str">
        <f>IF(月途中入退所情報!$D39=$B$2,月途中入退所情報!J39,"-")</f>
        <v>-</v>
      </c>
      <c r="T89" s="84">
        <f>IF($Q89="標準時間",HLOOKUP($P89,$F$31:$I$54,24,FALSE)-SUM($F$10,$F$21:$F$24,$F$26)-HLOOKUP($P89,$F$31:$I$54,17,FALSE)+HLOOKUP($P89,$F$31:$I$56,26,FALSE),IF($Q89="短時間",HLOOKUP($P89,$J$31:$M$54,24,FALSE)-SUM($F$10,$F$21:$F$24,$F$26)-HLOOKUP($P89,$J$31:$M$54,17,FALSE)+HLOOKUP($P89,$J$31:$M$56,26,FALSE),0))+IF(R89="○",加算と減算!$AH$3,0)</f>
        <v>0</v>
      </c>
      <c r="U89" s="85">
        <f t="shared" si="56"/>
        <v>0</v>
      </c>
      <c r="V89" s="262">
        <f t="shared" si="59"/>
        <v>0</v>
      </c>
      <c r="W89" s="262"/>
      <c r="X89" s="61" t="str">
        <f>IF(月途中入退所情報!$N39=$B$2,月途中入退所情報!$P39,"-")</f>
        <v>-</v>
      </c>
      <c r="Y89" s="61" t="str">
        <f>IF(月途中入退所情報!$N39=$B$2,月途中入退所情報!$Q39,"-")</f>
        <v>-</v>
      </c>
      <c r="Z89" s="61" t="str">
        <f>IF(月途中入退所情報!$N39=$B$2,月途中入退所情報!$R39,"-")</f>
        <v>-</v>
      </c>
      <c r="AA89" s="61" t="str">
        <f>IF(月途中入退所情報!$N39=$B$2,月途中入退所情報!$S39,"-")</f>
        <v>-</v>
      </c>
      <c r="AB89" s="61" t="str">
        <f>IF(月途中入退所情報!$N39=$B$2,月途中入退所情報!$T39,"-")</f>
        <v>-</v>
      </c>
      <c r="AC89" s="84">
        <f>IF($Z89="標準時間",HLOOKUP($Y89,$F$31:$I$54,24,FALSE)-SUM($F$10,$F$21:$F$24,$F$26)-HLOOKUP($Y89,$F$31:$I$54,17,FALSE)+HLOOKUP($Y89,$F$31:$I$56,26,FALSE),IF($Z89="短時間",HLOOKUP($Y89,$J$31:$M$54,24,FALSE)-SUM($F$10,$F$21:$F$24,$F$26)-HLOOKUP($Y89,$J$31:$M$54,17,FALSE)+HLOOKUP($Y89,$J$31:$M$56,26,FALSE),0))+IF(AA89="○",加算と減算!$AH$3,0)</f>
        <v>0</v>
      </c>
      <c r="AD89" s="85">
        <f t="shared" si="57"/>
        <v>0</v>
      </c>
      <c r="AE89" s="262">
        <f t="shared" si="58"/>
        <v>0</v>
      </c>
    </row>
    <row r="90" spans="15:31">
      <c r="O90" s="61" t="str">
        <f>IF(月途中入退所情報!$D40=$B$2,月途中入退所情報!F40,"-")</f>
        <v>-</v>
      </c>
      <c r="P90" s="61" t="str">
        <f>IF(月途中入退所情報!$D40=$B$2,月途中入退所情報!G40,"-")</f>
        <v>-</v>
      </c>
      <c r="Q90" s="61" t="str">
        <f>IF(月途中入退所情報!$D40=$B$2,月途中入退所情報!H40,"-")</f>
        <v>-</v>
      </c>
      <c r="R90" s="61" t="str">
        <f>IF(月途中入退所情報!$D40=$B$2,月途中入退所情報!I40,"-")</f>
        <v>-</v>
      </c>
      <c r="S90" s="61" t="str">
        <f>IF(月途中入退所情報!$D40=$B$2,月途中入退所情報!J40,"-")</f>
        <v>-</v>
      </c>
      <c r="T90" s="84">
        <f>IF($Q90="標準時間",HLOOKUP($P90,$F$31:$I$54,24,FALSE)-SUM($F$10,$F$21:$F$24,$F$26)-HLOOKUP($P90,$F$31:$I$54,17,FALSE)+HLOOKUP($P90,$F$31:$I$56,26,FALSE),IF($Q90="短時間",HLOOKUP($P90,$J$31:$M$54,24,FALSE)-SUM($F$10,$F$21:$F$24,$F$26)-HLOOKUP($P90,$J$31:$M$54,17,FALSE)+HLOOKUP($P90,$J$31:$M$56,26,FALSE),0))+IF(R90="○",加算と減算!$AH$3,0)</f>
        <v>0</v>
      </c>
      <c r="U90" s="85">
        <f t="shared" si="56"/>
        <v>0</v>
      </c>
      <c r="V90" s="262">
        <f t="shared" si="59"/>
        <v>0</v>
      </c>
      <c r="W90" s="262"/>
      <c r="X90" s="61" t="str">
        <f>IF(月途中入退所情報!$N40=$B$2,月途中入退所情報!$P40,"-")</f>
        <v>-</v>
      </c>
      <c r="Y90" s="61" t="str">
        <f>IF(月途中入退所情報!$N40=$B$2,月途中入退所情報!$Q40,"-")</f>
        <v>-</v>
      </c>
      <c r="Z90" s="61" t="str">
        <f>IF(月途中入退所情報!$N40=$B$2,月途中入退所情報!$R40,"-")</f>
        <v>-</v>
      </c>
      <c r="AA90" s="61" t="str">
        <f>IF(月途中入退所情報!$N40=$B$2,月途中入退所情報!$S40,"-")</f>
        <v>-</v>
      </c>
      <c r="AB90" s="61" t="str">
        <f>IF(月途中入退所情報!$N40=$B$2,月途中入退所情報!$T40,"-")</f>
        <v>-</v>
      </c>
      <c r="AC90" s="84">
        <f>IF($Z90="標準時間",HLOOKUP($Y90,$F$31:$I$54,24,FALSE)-SUM($F$10,$F$21:$F$24,$F$26)-HLOOKUP($Y90,$F$31:$I$54,17,FALSE)+HLOOKUP($Y90,$F$31:$I$56,26,FALSE),IF($Z90="短時間",HLOOKUP($Y90,$J$31:$M$54,24,FALSE)-SUM($F$10,$F$21:$F$24,$F$26)-HLOOKUP($Y90,$J$31:$M$54,17,FALSE)+HLOOKUP($Y90,$J$31:$M$56,26,FALSE),0))+IF(AA90="○",加算と減算!$AH$3,0)</f>
        <v>0</v>
      </c>
      <c r="AD90" s="85">
        <f t="shared" si="57"/>
        <v>0</v>
      </c>
      <c r="AE90" s="262">
        <f t="shared" si="58"/>
        <v>0</v>
      </c>
    </row>
    <row r="91" spans="15:31">
      <c r="O91" s="61" t="str">
        <f>IF(月途中入退所情報!$D41=$B$2,月途中入退所情報!F41,"-")</f>
        <v>-</v>
      </c>
      <c r="P91" s="61" t="str">
        <f>IF(月途中入退所情報!$D41=$B$2,月途中入退所情報!G41,"-")</f>
        <v>-</v>
      </c>
      <c r="Q91" s="61" t="str">
        <f>IF(月途中入退所情報!$D41=$B$2,月途中入退所情報!H41,"-")</f>
        <v>-</v>
      </c>
      <c r="R91" s="61" t="str">
        <f>IF(月途中入退所情報!$D41=$B$2,月途中入退所情報!I41,"-")</f>
        <v>-</v>
      </c>
      <c r="S91" s="61" t="str">
        <f>IF(月途中入退所情報!$D41=$B$2,月途中入退所情報!J41,"-")</f>
        <v>-</v>
      </c>
      <c r="T91" s="84">
        <f>IF($Q91="標準時間",HLOOKUP($P91,$F$31:$I$54,24,FALSE)-SUM($F$10,$F$21:$F$24,$F$26)-HLOOKUP($P91,$F$31:$I$54,17,FALSE)+HLOOKUP($P91,$F$31:$I$56,26,FALSE),IF($Q91="短時間",HLOOKUP($P91,$J$31:$M$54,24,FALSE)-SUM($F$10,$F$21:$F$24,$F$26)-HLOOKUP($P91,$J$31:$M$54,17,FALSE)+HLOOKUP($P91,$J$31:$M$56,26,FALSE),0))+IF(R91="○",加算と減算!$AH$3,0)</f>
        <v>0</v>
      </c>
      <c r="U91" s="85">
        <f t="shared" si="56"/>
        <v>0</v>
      </c>
      <c r="V91" s="262">
        <f t="shared" si="59"/>
        <v>0</v>
      </c>
      <c r="W91" s="262"/>
      <c r="X91" s="61" t="str">
        <f>IF(月途中入退所情報!$N41=$B$2,月途中入退所情報!$P41,"-")</f>
        <v>-</v>
      </c>
      <c r="Y91" s="61" t="str">
        <f>IF(月途中入退所情報!$N41=$B$2,月途中入退所情報!$Q41,"-")</f>
        <v>-</v>
      </c>
      <c r="Z91" s="61" t="str">
        <f>IF(月途中入退所情報!$N41=$B$2,月途中入退所情報!$R41,"-")</f>
        <v>-</v>
      </c>
      <c r="AA91" s="61" t="str">
        <f>IF(月途中入退所情報!$N41=$B$2,月途中入退所情報!$S41,"-")</f>
        <v>-</v>
      </c>
      <c r="AB91" s="61" t="str">
        <f>IF(月途中入退所情報!$N41=$B$2,月途中入退所情報!$T41,"-")</f>
        <v>-</v>
      </c>
      <c r="AC91" s="84">
        <f>IF($Z91="標準時間",HLOOKUP($Y91,$F$31:$I$54,24,FALSE)-SUM($F$10,$F$21:$F$24,$F$26)-HLOOKUP($Y91,$F$31:$I$54,17,FALSE)+HLOOKUP($Y91,$F$31:$I$56,26,FALSE),IF($Z91="短時間",HLOOKUP($Y91,$J$31:$M$54,24,FALSE)-SUM($F$10,$F$21:$F$24,$F$26)-HLOOKUP($Y91,$J$31:$M$54,17,FALSE)+HLOOKUP($Y91,$J$31:$M$56,26,FALSE),0))+IF(AA91="○",加算と減算!$AH$3,0)</f>
        <v>0</v>
      </c>
      <c r="AD91" s="85">
        <f t="shared" si="57"/>
        <v>0</v>
      </c>
      <c r="AE91" s="262">
        <f t="shared" si="58"/>
        <v>0</v>
      </c>
    </row>
    <row r="92" spans="15:31">
      <c r="O92" s="61" t="str">
        <f>IF(月途中入退所情報!$D42=$B$2,月途中入退所情報!F42,"-")</f>
        <v>-</v>
      </c>
      <c r="P92" s="61" t="str">
        <f>IF(月途中入退所情報!$D42=$B$2,月途中入退所情報!G42,"-")</f>
        <v>-</v>
      </c>
      <c r="Q92" s="61" t="str">
        <f>IF(月途中入退所情報!$D42=$B$2,月途中入退所情報!H42,"-")</f>
        <v>-</v>
      </c>
      <c r="R92" s="61" t="str">
        <f>IF(月途中入退所情報!$D42=$B$2,月途中入退所情報!I42,"-")</f>
        <v>-</v>
      </c>
      <c r="S92" s="61" t="str">
        <f>IF(月途中入退所情報!$D42=$B$2,月途中入退所情報!J42,"-")</f>
        <v>-</v>
      </c>
      <c r="T92" s="84">
        <f>IF($Q92="標準時間",HLOOKUP($P92,$F$31:$I$54,24,FALSE)-SUM($F$10,$F$21:$F$24,$F$26)-HLOOKUP($P92,$F$31:$I$54,17,FALSE)+HLOOKUP($P92,$F$31:$I$56,26,FALSE),IF($Q92="短時間",HLOOKUP($P92,$J$31:$M$54,24,FALSE)-SUM($F$10,$F$21:$F$24,$F$26)-HLOOKUP($P92,$J$31:$M$54,17,FALSE)+HLOOKUP($P92,$J$31:$M$56,26,FALSE),0))+IF(R92="○",加算と減算!$AH$3,0)</f>
        <v>0</v>
      </c>
      <c r="U92" s="85">
        <f t="shared" si="56"/>
        <v>0</v>
      </c>
      <c r="V92" s="262">
        <f t="shared" si="59"/>
        <v>0</v>
      </c>
      <c r="W92" s="262"/>
      <c r="X92" s="61" t="str">
        <f>IF(月途中入退所情報!$N42=$B$2,月途中入退所情報!$P42,"-")</f>
        <v>-</v>
      </c>
      <c r="Y92" s="61" t="str">
        <f>IF(月途中入退所情報!$N42=$B$2,月途中入退所情報!$Q42,"-")</f>
        <v>-</v>
      </c>
      <c r="Z92" s="61" t="str">
        <f>IF(月途中入退所情報!$N42=$B$2,月途中入退所情報!$R42,"-")</f>
        <v>-</v>
      </c>
      <c r="AA92" s="61" t="str">
        <f>IF(月途中入退所情報!$N42=$B$2,月途中入退所情報!$S42,"-")</f>
        <v>-</v>
      </c>
      <c r="AB92" s="61" t="str">
        <f>IF(月途中入退所情報!$N42=$B$2,月途中入退所情報!$T42,"-")</f>
        <v>-</v>
      </c>
      <c r="AC92" s="84">
        <f>IF($Z92="標準時間",HLOOKUP($Y92,$F$31:$I$54,24,FALSE)-SUM($F$10,$F$21:$F$24,$F$26)-HLOOKUP($Y92,$F$31:$I$54,17,FALSE)+HLOOKUP($Y92,$F$31:$I$56,26,FALSE),IF($Z92="短時間",HLOOKUP($Y92,$J$31:$M$54,24,FALSE)-SUM($F$10,$F$21:$F$24,$F$26)-HLOOKUP($Y92,$J$31:$M$54,17,FALSE)+HLOOKUP($Y92,$J$31:$M$56,26,FALSE),0))+IF(AA92="○",加算と減算!$AH$3,0)</f>
        <v>0</v>
      </c>
      <c r="AD92" s="85">
        <f t="shared" si="57"/>
        <v>0</v>
      </c>
      <c r="AE92" s="262">
        <f t="shared" si="58"/>
        <v>0</v>
      </c>
    </row>
    <row r="93" spans="15:31">
      <c r="O93" s="61" t="str">
        <f>IF(月途中入退所情報!$D43=$B$2,月途中入退所情報!F43,"-")</f>
        <v>-</v>
      </c>
      <c r="P93" s="61" t="str">
        <f>IF(月途中入退所情報!$D43=$B$2,月途中入退所情報!G43,"-")</f>
        <v>-</v>
      </c>
      <c r="Q93" s="61" t="str">
        <f>IF(月途中入退所情報!$D43=$B$2,月途中入退所情報!H43,"-")</f>
        <v>-</v>
      </c>
      <c r="R93" s="61" t="str">
        <f>IF(月途中入退所情報!$D43=$B$2,月途中入退所情報!I43,"-")</f>
        <v>-</v>
      </c>
      <c r="S93" s="61" t="str">
        <f>IF(月途中入退所情報!$D43=$B$2,月途中入退所情報!J43,"-")</f>
        <v>-</v>
      </c>
      <c r="T93" s="84">
        <f>IF($Q93="標準時間",HLOOKUP($P93,$F$31:$I$54,24,FALSE)-SUM($F$10,$F$21:$F$24,$F$26)-HLOOKUP($P93,$F$31:$I$54,17,FALSE)+HLOOKUP($P93,$F$31:$I$56,26,FALSE),IF($Q93="短時間",HLOOKUP($P93,$J$31:$M$54,24,FALSE)-SUM($F$10,$F$21:$F$24,$F$26)-HLOOKUP($P93,$J$31:$M$54,17,FALSE)+HLOOKUP($P93,$J$31:$M$56,26,FALSE),0))+IF(R93="○",加算と減算!$AH$3,0)</f>
        <v>0</v>
      </c>
      <c r="U93" s="85">
        <f t="shared" si="56"/>
        <v>0</v>
      </c>
      <c r="V93" s="262">
        <f t="shared" si="59"/>
        <v>0</v>
      </c>
      <c r="W93" s="262"/>
      <c r="X93" s="61" t="str">
        <f>IF(月途中入退所情報!$N43=$B$2,月途中入退所情報!$P43,"-")</f>
        <v>-</v>
      </c>
      <c r="Y93" s="61" t="str">
        <f>IF(月途中入退所情報!$N43=$B$2,月途中入退所情報!$Q43,"-")</f>
        <v>-</v>
      </c>
      <c r="Z93" s="61" t="str">
        <f>IF(月途中入退所情報!$N43=$B$2,月途中入退所情報!$R43,"-")</f>
        <v>-</v>
      </c>
      <c r="AA93" s="61" t="str">
        <f>IF(月途中入退所情報!$N43=$B$2,月途中入退所情報!$S43,"-")</f>
        <v>-</v>
      </c>
      <c r="AB93" s="61" t="str">
        <f>IF(月途中入退所情報!$N43=$B$2,月途中入退所情報!$T43,"-")</f>
        <v>-</v>
      </c>
      <c r="AC93" s="84">
        <f>IF($Z93="標準時間",HLOOKUP($Y93,$F$31:$I$54,24,FALSE)-SUM($F$10,$F$21:$F$24,$F$26)-HLOOKUP($Y93,$F$31:$I$54,17,FALSE)+HLOOKUP($Y93,$F$31:$I$56,26,FALSE),IF($Z93="短時間",HLOOKUP($Y93,$J$31:$M$54,24,FALSE)-SUM($F$10,$F$21:$F$24,$F$26)-HLOOKUP($Y93,$J$31:$M$54,17,FALSE)+HLOOKUP($Y93,$J$31:$M$56,26,FALSE),0))+IF(AA93="○",加算と減算!$AH$3,0)</f>
        <v>0</v>
      </c>
      <c r="AD93" s="85">
        <f t="shared" si="57"/>
        <v>0</v>
      </c>
      <c r="AE93" s="262">
        <f t="shared" si="58"/>
        <v>0</v>
      </c>
    </row>
    <row r="94" spans="15:31">
      <c r="O94" s="61" t="str">
        <f>IF(月途中入退所情報!$D44=$B$2,月途中入退所情報!F44,"-")</f>
        <v>-</v>
      </c>
      <c r="P94" s="61" t="str">
        <f>IF(月途中入退所情報!$D44=$B$2,月途中入退所情報!G44,"-")</f>
        <v>-</v>
      </c>
      <c r="Q94" s="61" t="str">
        <f>IF(月途中入退所情報!$D44=$B$2,月途中入退所情報!H44,"-")</f>
        <v>-</v>
      </c>
      <c r="R94" s="61" t="str">
        <f>IF(月途中入退所情報!$D44=$B$2,月途中入退所情報!I44,"-")</f>
        <v>-</v>
      </c>
      <c r="S94" s="61" t="str">
        <f>IF(月途中入退所情報!$D44=$B$2,月途中入退所情報!J44,"-")</f>
        <v>-</v>
      </c>
      <c r="T94" s="84">
        <f>IF($Q94="標準時間",HLOOKUP($P94,$F$31:$I$54,24,FALSE)-SUM($F$10,$F$21:$F$24,$F$26)-HLOOKUP($P94,$F$31:$I$54,17,FALSE)+HLOOKUP($P94,$F$31:$I$56,26,FALSE),IF($Q94="短時間",HLOOKUP($P94,$J$31:$M$54,24,FALSE)-SUM($F$10,$F$21:$F$24,$F$26)-HLOOKUP($P94,$J$31:$M$54,17,FALSE)+HLOOKUP($P94,$J$31:$M$56,26,FALSE),0))+IF(R94="○",加算と減算!$AH$3,0)</f>
        <v>0</v>
      </c>
      <c r="U94" s="85">
        <f t="shared" si="56"/>
        <v>0</v>
      </c>
      <c r="V94" s="262">
        <f t="shared" si="59"/>
        <v>0</v>
      </c>
      <c r="W94" s="262"/>
      <c r="X94" s="61" t="str">
        <f>IF(月途中入退所情報!$N44=$B$2,月途中入退所情報!$P44,"-")</f>
        <v>-</v>
      </c>
      <c r="Y94" s="61" t="str">
        <f>IF(月途中入退所情報!$N44=$B$2,月途中入退所情報!$Q44,"-")</f>
        <v>-</v>
      </c>
      <c r="Z94" s="61" t="str">
        <f>IF(月途中入退所情報!$N44=$B$2,月途中入退所情報!$R44,"-")</f>
        <v>-</v>
      </c>
      <c r="AA94" s="61" t="str">
        <f>IF(月途中入退所情報!$N44=$B$2,月途中入退所情報!$S44,"-")</f>
        <v>-</v>
      </c>
      <c r="AB94" s="61" t="str">
        <f>IF(月途中入退所情報!$N44=$B$2,月途中入退所情報!$T44,"-")</f>
        <v>-</v>
      </c>
      <c r="AC94" s="84">
        <f>IF($Z94="標準時間",HLOOKUP($Y94,$F$31:$I$54,24,FALSE)-SUM($F$10,$F$21:$F$24,$F$26)-HLOOKUP($Y94,$F$31:$I$54,17,FALSE)+HLOOKUP($Y94,$F$31:$I$56,26,FALSE),IF($Z94="短時間",HLOOKUP($Y94,$J$31:$M$54,24,FALSE)-SUM($F$10,$F$21:$F$24,$F$26)-HLOOKUP($Y94,$J$31:$M$54,17,FALSE)+HLOOKUP($Y94,$J$31:$M$56,26,FALSE),0))+IF(AA94="○",加算と減算!$AH$3,0)</f>
        <v>0</v>
      </c>
      <c r="AD94" s="85">
        <f t="shared" si="57"/>
        <v>0</v>
      </c>
      <c r="AE94" s="262">
        <f t="shared" si="58"/>
        <v>0</v>
      </c>
    </row>
    <row r="95" spans="15:31">
      <c r="O95" s="61" t="str">
        <f>IF(月途中入退所情報!$D45=$B$2,月途中入退所情報!F45,"-")</f>
        <v>-</v>
      </c>
      <c r="P95" s="61" t="str">
        <f>IF(月途中入退所情報!$D45=$B$2,月途中入退所情報!G45,"-")</f>
        <v>-</v>
      </c>
      <c r="Q95" s="61" t="str">
        <f>IF(月途中入退所情報!$D45=$B$2,月途中入退所情報!H45,"-")</f>
        <v>-</v>
      </c>
      <c r="R95" s="61" t="str">
        <f>IF(月途中入退所情報!$D45=$B$2,月途中入退所情報!I45,"-")</f>
        <v>-</v>
      </c>
      <c r="S95" s="61" t="str">
        <f>IF(月途中入退所情報!$D45=$B$2,月途中入退所情報!J45,"-")</f>
        <v>-</v>
      </c>
      <c r="T95" s="84">
        <f>IF($Q95="標準時間",HLOOKUP($P95,$F$31:$I$54,24,FALSE)-SUM($F$10,$F$21:$F$24,$F$26)-HLOOKUP($P95,$F$31:$I$54,17,FALSE)+HLOOKUP($P95,$F$31:$I$56,26,FALSE),IF($Q95="短時間",HLOOKUP($P95,$J$31:$M$54,24,FALSE)-SUM($F$10,$F$21:$F$24,$F$26)-HLOOKUP($P95,$J$31:$M$54,17,FALSE)+HLOOKUP($P95,$J$31:$M$56,26,FALSE),0))+IF(R95="○",加算と減算!$AH$3,0)</f>
        <v>0</v>
      </c>
      <c r="U95" s="85">
        <f t="shared" si="56"/>
        <v>0</v>
      </c>
      <c r="V95" s="262">
        <f t="shared" si="59"/>
        <v>0</v>
      </c>
      <c r="W95" s="262"/>
      <c r="X95" s="61" t="str">
        <f>IF(月途中入退所情報!$N45=$B$2,月途中入退所情報!$P45,"-")</f>
        <v>-</v>
      </c>
      <c r="Y95" s="61" t="str">
        <f>IF(月途中入退所情報!$N45=$B$2,月途中入退所情報!$Q45,"-")</f>
        <v>-</v>
      </c>
      <c r="Z95" s="61" t="str">
        <f>IF(月途中入退所情報!$N45=$B$2,月途中入退所情報!$R45,"-")</f>
        <v>-</v>
      </c>
      <c r="AA95" s="61" t="str">
        <f>IF(月途中入退所情報!$N45=$B$2,月途中入退所情報!$S45,"-")</f>
        <v>-</v>
      </c>
      <c r="AB95" s="61" t="str">
        <f>IF(月途中入退所情報!$N45=$B$2,月途中入退所情報!$T45,"-")</f>
        <v>-</v>
      </c>
      <c r="AC95" s="84">
        <f>IF($Z95="標準時間",HLOOKUP($Y95,$F$31:$I$54,24,FALSE)-SUM($F$10,$F$21:$F$24,$F$26)-HLOOKUP($Y95,$F$31:$I$54,17,FALSE)+HLOOKUP($Y95,$F$31:$I$56,26,FALSE),IF($Z95="短時間",HLOOKUP($Y95,$J$31:$M$54,24,FALSE)-SUM($F$10,$F$21:$F$24,$F$26)-HLOOKUP($Y95,$J$31:$M$54,17,FALSE)+HLOOKUP($Y95,$J$31:$M$56,26,FALSE),0))+IF(AA95="○",加算と減算!$AH$3,0)</f>
        <v>0</v>
      </c>
      <c r="AD95" s="85">
        <f t="shared" si="57"/>
        <v>0</v>
      </c>
      <c r="AE95" s="262">
        <f t="shared" si="58"/>
        <v>0</v>
      </c>
    </row>
    <row r="96" spans="15:31">
      <c r="O96" s="61" t="str">
        <f>IF(月途中入退所情報!$D46=$B$2,月途中入退所情報!F46,"-")</f>
        <v>-</v>
      </c>
      <c r="P96" s="61" t="str">
        <f>IF(月途中入退所情報!$D46=$B$2,月途中入退所情報!G46,"-")</f>
        <v>-</v>
      </c>
      <c r="Q96" s="61" t="str">
        <f>IF(月途中入退所情報!$D46=$B$2,月途中入退所情報!H46,"-")</f>
        <v>-</v>
      </c>
      <c r="R96" s="61" t="str">
        <f>IF(月途中入退所情報!$D46=$B$2,月途中入退所情報!I46,"-")</f>
        <v>-</v>
      </c>
      <c r="S96" s="61" t="str">
        <f>IF(月途中入退所情報!$D46=$B$2,月途中入退所情報!J46,"-")</f>
        <v>-</v>
      </c>
      <c r="T96" s="84">
        <f>IF($Q96="標準時間",HLOOKUP($P96,$F$31:$I$54,24,FALSE)-SUM($F$10,$F$21:$F$24,$F$26)-HLOOKUP($P96,$F$31:$I$54,17,FALSE)+HLOOKUP($P96,$F$31:$I$56,26,FALSE),IF($Q96="短時間",HLOOKUP($P96,$J$31:$M$54,24,FALSE)-SUM($F$10,$F$21:$F$24,$F$26)-HLOOKUP($P96,$J$31:$M$54,17,FALSE)+HLOOKUP($P96,$J$31:$M$56,26,FALSE),0))+IF(R96="○",加算と減算!$AH$3,0)</f>
        <v>0</v>
      </c>
      <c r="U96" s="85">
        <f t="shared" si="56"/>
        <v>0</v>
      </c>
      <c r="V96" s="262">
        <f t="shared" si="59"/>
        <v>0</v>
      </c>
      <c r="W96" s="262"/>
      <c r="X96" s="61" t="str">
        <f>IF(月途中入退所情報!$N46=$B$2,月途中入退所情報!$P46,"-")</f>
        <v>-</v>
      </c>
      <c r="Y96" s="61" t="str">
        <f>IF(月途中入退所情報!$N46=$B$2,月途中入退所情報!$Q46,"-")</f>
        <v>-</v>
      </c>
      <c r="Z96" s="61" t="str">
        <f>IF(月途中入退所情報!$N46=$B$2,月途中入退所情報!$R46,"-")</f>
        <v>-</v>
      </c>
      <c r="AA96" s="61" t="str">
        <f>IF(月途中入退所情報!$N46=$B$2,月途中入退所情報!$S46,"-")</f>
        <v>-</v>
      </c>
      <c r="AB96" s="61" t="str">
        <f>IF(月途中入退所情報!$N46=$B$2,月途中入退所情報!$T46,"-")</f>
        <v>-</v>
      </c>
      <c r="AC96" s="84">
        <f>IF($Z96="標準時間",HLOOKUP($Y96,$F$31:$I$54,24,FALSE)-SUM($F$10,$F$21:$F$24,$F$26)-HLOOKUP($Y96,$F$31:$I$54,17,FALSE)+HLOOKUP($Y96,$F$31:$I$56,26,FALSE),IF($Z96="短時間",HLOOKUP($Y96,$J$31:$M$54,24,FALSE)-SUM($F$10,$F$21:$F$24,$F$26)-HLOOKUP($Y96,$J$31:$M$54,17,FALSE)+HLOOKUP($Y96,$J$31:$M$56,26,FALSE),0))+IF(AA96="○",加算と減算!$AH$3,0)</f>
        <v>0</v>
      </c>
      <c r="AD96" s="85">
        <f t="shared" si="57"/>
        <v>0</v>
      </c>
      <c r="AE96" s="262">
        <f t="shared" si="58"/>
        <v>0</v>
      </c>
    </row>
    <row r="97" spans="15:31">
      <c r="O97" s="61" t="str">
        <f>IF(月途中入退所情報!$D47=$B$2,月途中入退所情報!F47,"-")</f>
        <v>-</v>
      </c>
      <c r="P97" s="61" t="str">
        <f>IF(月途中入退所情報!$D47=$B$2,月途中入退所情報!G47,"-")</f>
        <v>-</v>
      </c>
      <c r="Q97" s="61" t="str">
        <f>IF(月途中入退所情報!$D47=$B$2,月途中入退所情報!H47,"-")</f>
        <v>-</v>
      </c>
      <c r="R97" s="61" t="str">
        <f>IF(月途中入退所情報!$D47=$B$2,月途中入退所情報!I47,"-")</f>
        <v>-</v>
      </c>
      <c r="S97" s="61" t="str">
        <f>IF(月途中入退所情報!$D47=$B$2,月途中入退所情報!J47,"-")</f>
        <v>-</v>
      </c>
      <c r="T97" s="84">
        <f>IF($Q97="標準時間",HLOOKUP($P97,$F$31:$I$54,24,FALSE)-SUM($F$10,$F$21:$F$24,$F$26)-HLOOKUP($P97,$F$31:$I$54,17,FALSE)+HLOOKUP($P97,$F$31:$I$56,26,FALSE),IF($Q97="短時間",HLOOKUP($P97,$J$31:$M$54,24,FALSE)-SUM($F$10,$F$21:$F$24,$F$26)-HLOOKUP($P97,$J$31:$M$54,17,FALSE)+HLOOKUP($P97,$J$31:$M$56,26,FALSE),0))+IF(R97="○",加算と減算!$AH$3,0)</f>
        <v>0</v>
      </c>
      <c r="U97" s="85">
        <f t="shared" si="56"/>
        <v>0</v>
      </c>
      <c r="V97" s="262">
        <f t="shared" si="59"/>
        <v>0</v>
      </c>
      <c r="W97" s="262"/>
      <c r="X97" s="61" t="str">
        <f>IF(月途中入退所情報!$N47=$B$2,月途中入退所情報!$P47,"-")</f>
        <v>-</v>
      </c>
      <c r="Y97" s="61" t="str">
        <f>IF(月途中入退所情報!$N47=$B$2,月途中入退所情報!$Q47,"-")</f>
        <v>-</v>
      </c>
      <c r="Z97" s="61" t="str">
        <f>IF(月途中入退所情報!$N47=$B$2,月途中入退所情報!$R47,"-")</f>
        <v>-</v>
      </c>
      <c r="AA97" s="61" t="str">
        <f>IF(月途中入退所情報!$N47=$B$2,月途中入退所情報!$S47,"-")</f>
        <v>-</v>
      </c>
      <c r="AB97" s="61" t="str">
        <f>IF(月途中入退所情報!$N47=$B$2,月途中入退所情報!$T47,"-")</f>
        <v>-</v>
      </c>
      <c r="AC97" s="84">
        <f>IF($Z97="標準時間",HLOOKUP($Y97,$F$31:$I$54,24,FALSE)-SUM($F$10,$F$21:$F$24,$F$26)-HLOOKUP($Y97,$F$31:$I$54,17,FALSE)+HLOOKUP($Y97,$F$31:$I$56,26,FALSE),IF($Z97="短時間",HLOOKUP($Y97,$J$31:$M$54,24,FALSE)-SUM($F$10,$F$21:$F$24,$F$26)-HLOOKUP($Y97,$J$31:$M$54,17,FALSE)+HLOOKUP($Y97,$J$31:$M$56,26,FALSE),0))+IF(AA97="○",加算と減算!$AH$3,0)</f>
        <v>0</v>
      </c>
      <c r="AD97" s="85">
        <f t="shared" si="57"/>
        <v>0</v>
      </c>
      <c r="AE97" s="262">
        <f t="shared" si="58"/>
        <v>0</v>
      </c>
    </row>
    <row r="98" spans="15:31">
      <c r="O98" s="61" t="str">
        <f>IF(月途中入退所情報!$D48=$B$2,月途中入退所情報!F48,"-")</f>
        <v>-</v>
      </c>
      <c r="P98" s="61" t="str">
        <f>IF(月途中入退所情報!$D48=$B$2,月途中入退所情報!G48,"-")</f>
        <v>-</v>
      </c>
      <c r="Q98" s="61" t="str">
        <f>IF(月途中入退所情報!$D48=$B$2,月途中入退所情報!H48,"-")</f>
        <v>-</v>
      </c>
      <c r="R98" s="61" t="str">
        <f>IF(月途中入退所情報!$D48=$B$2,月途中入退所情報!I48,"-")</f>
        <v>-</v>
      </c>
      <c r="S98" s="61" t="str">
        <f>IF(月途中入退所情報!$D48=$B$2,月途中入退所情報!J48,"-")</f>
        <v>-</v>
      </c>
      <c r="T98" s="84">
        <f>IF($Q98="標準時間",HLOOKUP($P98,$F$31:$I$54,24,FALSE)-SUM($F$10,$F$21:$F$24,$F$26)-HLOOKUP($P98,$F$31:$I$54,17,FALSE)+HLOOKUP($P98,$F$31:$I$56,26,FALSE),IF($Q98="短時間",HLOOKUP($P98,$J$31:$M$54,24,FALSE)-SUM($F$10,$F$21:$F$24,$F$26)-HLOOKUP($P98,$J$31:$M$54,17,FALSE)+HLOOKUP($P98,$J$31:$M$56,26,FALSE),0))+IF(R98="○",加算と減算!$AH$3,0)</f>
        <v>0</v>
      </c>
      <c r="U98" s="85">
        <f t="shared" si="56"/>
        <v>0</v>
      </c>
      <c r="V98" s="262">
        <f t="shared" si="59"/>
        <v>0</v>
      </c>
      <c r="W98" s="262"/>
      <c r="X98" s="61" t="str">
        <f>IF(月途中入退所情報!$N48=$B$2,月途中入退所情報!$P48,"-")</f>
        <v>-</v>
      </c>
      <c r="Y98" s="61" t="str">
        <f>IF(月途中入退所情報!$N48=$B$2,月途中入退所情報!$Q48,"-")</f>
        <v>-</v>
      </c>
      <c r="Z98" s="61" t="str">
        <f>IF(月途中入退所情報!$N48=$B$2,月途中入退所情報!$R48,"-")</f>
        <v>-</v>
      </c>
      <c r="AA98" s="61" t="str">
        <f>IF(月途中入退所情報!$N48=$B$2,月途中入退所情報!$S48,"-")</f>
        <v>-</v>
      </c>
      <c r="AB98" s="61" t="str">
        <f>IF(月途中入退所情報!$N48=$B$2,月途中入退所情報!$T48,"-")</f>
        <v>-</v>
      </c>
      <c r="AC98" s="84">
        <f>IF($Z98="標準時間",HLOOKUP($Y98,$F$31:$I$54,24,FALSE)-SUM($F$10,$F$21:$F$24,$F$26)-HLOOKUP($Y98,$F$31:$I$54,17,FALSE)+HLOOKUP($Y98,$F$31:$I$56,26,FALSE),IF($Z98="短時間",HLOOKUP($Y98,$J$31:$M$54,24,FALSE)-SUM($F$10,$F$21:$F$24,$F$26)-HLOOKUP($Y98,$J$31:$M$54,17,FALSE)+HLOOKUP($Y98,$J$31:$M$56,26,FALSE),0))+IF(AA98="○",加算と減算!$AH$3,0)</f>
        <v>0</v>
      </c>
      <c r="AD98" s="85">
        <f t="shared" si="57"/>
        <v>0</v>
      </c>
      <c r="AE98" s="262">
        <f t="shared" si="58"/>
        <v>0</v>
      </c>
    </row>
    <row r="99" spans="15:31">
      <c r="O99" s="61" t="str">
        <f>IF(月途中入退所情報!$D49=$B$2,月途中入退所情報!F49,"-")</f>
        <v>-</v>
      </c>
      <c r="P99" s="61" t="str">
        <f>IF(月途中入退所情報!$D49=$B$2,月途中入退所情報!G49,"-")</f>
        <v>-</v>
      </c>
      <c r="Q99" s="61" t="str">
        <f>IF(月途中入退所情報!$D49=$B$2,月途中入退所情報!H49,"-")</f>
        <v>-</v>
      </c>
      <c r="R99" s="61" t="str">
        <f>IF(月途中入退所情報!$D49=$B$2,月途中入退所情報!I49,"-")</f>
        <v>-</v>
      </c>
      <c r="S99" s="61" t="str">
        <f>IF(月途中入退所情報!$D49=$B$2,月途中入退所情報!J49,"-")</f>
        <v>-</v>
      </c>
      <c r="T99" s="84">
        <f>IF($Q99="標準時間",HLOOKUP($P99,$F$31:$I$54,24,FALSE)-SUM($F$10,$F$21:$F$24,$F$26)-HLOOKUP($P99,$F$31:$I$54,17,FALSE)+HLOOKUP($P99,$F$31:$I$56,26,FALSE),IF($Q99="短時間",HLOOKUP($P99,$J$31:$M$54,24,FALSE)-SUM($F$10,$F$21:$F$24,$F$26)-HLOOKUP($P99,$J$31:$M$54,17,FALSE)+HLOOKUP($P99,$J$31:$M$56,26,FALSE),0))+IF(R99="○",加算と減算!$AH$3,0)</f>
        <v>0</v>
      </c>
      <c r="U99" s="85">
        <f t="shared" si="56"/>
        <v>0</v>
      </c>
      <c r="V99" s="262">
        <f t="shared" si="59"/>
        <v>0</v>
      </c>
      <c r="W99" s="262"/>
      <c r="X99" s="61" t="str">
        <f>IF(月途中入退所情報!$N49=$B$2,月途中入退所情報!$P49,"-")</f>
        <v>-</v>
      </c>
      <c r="Y99" s="61" t="str">
        <f>IF(月途中入退所情報!$N49=$B$2,月途中入退所情報!$Q49,"-")</f>
        <v>-</v>
      </c>
      <c r="Z99" s="61" t="str">
        <f>IF(月途中入退所情報!$N49=$B$2,月途中入退所情報!$R49,"-")</f>
        <v>-</v>
      </c>
      <c r="AA99" s="61" t="str">
        <f>IF(月途中入退所情報!$N49=$B$2,月途中入退所情報!$S49,"-")</f>
        <v>-</v>
      </c>
      <c r="AB99" s="61" t="str">
        <f>IF(月途中入退所情報!$N49=$B$2,月途中入退所情報!$T49,"-")</f>
        <v>-</v>
      </c>
      <c r="AC99" s="84">
        <f>IF($Z99="標準時間",HLOOKUP($Y99,$F$31:$I$54,24,FALSE)-SUM($F$10,$F$21:$F$24,$F$26)-HLOOKUP($Y99,$F$31:$I$54,17,FALSE)+HLOOKUP($Y99,$F$31:$I$56,26,FALSE),IF($Z99="短時間",HLOOKUP($Y99,$J$31:$M$54,24,FALSE)-SUM($F$10,$F$21:$F$24,$F$26)-HLOOKUP($Y99,$J$31:$M$54,17,FALSE)+HLOOKUP($Y99,$J$31:$M$56,26,FALSE),0))+IF(AA99="○",加算と減算!$AH$3,0)</f>
        <v>0</v>
      </c>
      <c r="AD99" s="85">
        <f t="shared" si="57"/>
        <v>0</v>
      </c>
      <c r="AE99" s="262">
        <f t="shared" si="58"/>
        <v>0</v>
      </c>
    </row>
    <row r="100" spans="15:31">
      <c r="O100" s="61" t="str">
        <f>IF(月途中入退所情報!$D50=$B$2,月途中入退所情報!F50,"-")</f>
        <v>-</v>
      </c>
      <c r="P100" s="61" t="str">
        <f>IF(月途中入退所情報!$D50=$B$2,月途中入退所情報!G50,"-")</f>
        <v>-</v>
      </c>
      <c r="Q100" s="61" t="str">
        <f>IF(月途中入退所情報!$D50=$B$2,月途中入退所情報!H50,"-")</f>
        <v>-</v>
      </c>
      <c r="R100" s="61" t="str">
        <f>IF(月途中入退所情報!$D50=$B$2,月途中入退所情報!I50,"-")</f>
        <v>-</v>
      </c>
      <c r="S100" s="61" t="str">
        <f>IF(月途中入退所情報!$D50=$B$2,月途中入退所情報!J50,"-")</f>
        <v>-</v>
      </c>
      <c r="T100" s="84">
        <f>IF($Q100="標準時間",HLOOKUP($P100,$F$31:$I$54,24,FALSE)-SUM($F$10,$F$21:$F$24,$F$26)-HLOOKUP($P100,$F$31:$I$54,17,FALSE)+HLOOKUP($P100,$F$31:$I$56,26,FALSE),IF($Q100="短時間",HLOOKUP($P100,$J$31:$M$54,24,FALSE)-SUM($F$10,$F$21:$F$24,$F$26)-HLOOKUP($P100,$J$31:$M$54,17,FALSE)+HLOOKUP($P100,$J$31:$M$56,26,FALSE),0))+IF(R100="○",加算と減算!$AH$3,0)</f>
        <v>0</v>
      </c>
      <c r="U100" s="85">
        <f t="shared" si="56"/>
        <v>0</v>
      </c>
      <c r="V100" s="262">
        <f t="shared" si="59"/>
        <v>0</v>
      </c>
      <c r="W100" s="262"/>
      <c r="X100" s="61" t="str">
        <f>IF(月途中入退所情報!$N50=$B$2,月途中入退所情報!$P50,"-")</f>
        <v>-</v>
      </c>
      <c r="Y100" s="61" t="str">
        <f>IF(月途中入退所情報!$N50=$B$2,月途中入退所情報!$Q50,"-")</f>
        <v>-</v>
      </c>
      <c r="Z100" s="61" t="str">
        <f>IF(月途中入退所情報!$N50=$B$2,月途中入退所情報!$R50,"-")</f>
        <v>-</v>
      </c>
      <c r="AA100" s="61" t="str">
        <f>IF(月途中入退所情報!$N50=$B$2,月途中入退所情報!$S50,"-")</f>
        <v>-</v>
      </c>
      <c r="AB100" s="61" t="str">
        <f>IF(月途中入退所情報!$N50=$B$2,月途中入退所情報!$T50,"-")</f>
        <v>-</v>
      </c>
      <c r="AC100" s="84">
        <f>IF($Z100="標準時間",HLOOKUP($Y100,$F$31:$I$54,24,FALSE)-SUM($F$10,$F$21:$F$24,$F$26)-HLOOKUP($Y100,$F$31:$I$54,17,FALSE)+HLOOKUP($Y100,$F$31:$I$56,26,FALSE),IF($Z100="短時間",HLOOKUP($Y100,$J$31:$M$54,24,FALSE)-SUM($F$10,$F$21:$F$24,$F$26)-HLOOKUP($Y100,$J$31:$M$54,17,FALSE)+HLOOKUP($Y100,$J$31:$M$56,26,FALSE),0))+IF(AA100="○",加算と減算!$AH$3,0)</f>
        <v>0</v>
      </c>
      <c r="AD100" s="85">
        <f t="shared" si="57"/>
        <v>0</v>
      </c>
      <c r="AE100" s="262">
        <f t="shared" si="58"/>
        <v>0</v>
      </c>
    </row>
    <row r="101" spans="15:31">
      <c r="T101" s="86" t="s">
        <v>36</v>
      </c>
      <c r="U101" s="85">
        <f>SUM(U81:U100)</f>
        <v>0</v>
      </c>
      <c r="V101" s="262">
        <f>SUM(V81:V100)</f>
        <v>0</v>
      </c>
      <c r="W101" s="262"/>
      <c r="AC101" s="86" t="s">
        <v>36</v>
      </c>
      <c r="AD101" s="85">
        <f>SUM(AD81:AD100)</f>
        <v>0</v>
      </c>
      <c r="AE101" s="264">
        <f>SUM(AE81:AE100)</f>
        <v>0</v>
      </c>
    </row>
  </sheetData>
  <sheetProtection algorithmName="SHA-512" hashValue="vDEKs7xBqUysWz25vm0ckSNNBOv9jPAlP6yyqvN6skOvSUKWo/r+qolk6u/4BoN1lPSt/Ka116ZU0b9Uk5EHtw==" saltValue="ukrwwnEHKU4OX59//EfjYw==" spinCount="100000" sheet="1" objects="1" scenarios="1"/>
  <mergeCells count="89">
    <mergeCell ref="B2:D2"/>
    <mergeCell ref="B4:B27"/>
    <mergeCell ref="C4:D5"/>
    <mergeCell ref="E4:E5"/>
    <mergeCell ref="F4:I4"/>
    <mergeCell ref="C17:C20"/>
    <mergeCell ref="C21:C26"/>
    <mergeCell ref="D15:D16"/>
    <mergeCell ref="D17:D18"/>
    <mergeCell ref="C8:C16"/>
    <mergeCell ref="U4:X4"/>
    <mergeCell ref="Y4:Y5"/>
    <mergeCell ref="C6:D7"/>
    <mergeCell ref="D8:D9"/>
    <mergeCell ref="D11:D12"/>
    <mergeCell ref="J4:M4"/>
    <mergeCell ref="O4:O11"/>
    <mergeCell ref="P4:P5"/>
    <mergeCell ref="Q4:T4"/>
    <mergeCell ref="O13:O20"/>
    <mergeCell ref="P13:P14"/>
    <mergeCell ref="Q13:T13"/>
    <mergeCell ref="U13:X13"/>
    <mergeCell ref="Y13:Y14"/>
    <mergeCell ref="O22:O28"/>
    <mergeCell ref="T22:T28"/>
    <mergeCell ref="C27:D27"/>
    <mergeCell ref="B30:B54"/>
    <mergeCell ref="C30:D31"/>
    <mergeCell ref="E30:E31"/>
    <mergeCell ref="F30:I30"/>
    <mergeCell ref="J30:M30"/>
    <mergeCell ref="O30:O37"/>
    <mergeCell ref="P30:P31"/>
    <mergeCell ref="Q30:T30"/>
    <mergeCell ref="C48:C53"/>
    <mergeCell ref="O48:O54"/>
    <mergeCell ref="T48:T54"/>
    <mergeCell ref="U30:X30"/>
    <mergeCell ref="Y30:Y31"/>
    <mergeCell ref="C32:D33"/>
    <mergeCell ref="C34:C42"/>
    <mergeCell ref="D34:D35"/>
    <mergeCell ref="D37:D38"/>
    <mergeCell ref="O39:O46"/>
    <mergeCell ref="P39:P40"/>
    <mergeCell ref="Q39:T39"/>
    <mergeCell ref="Y39:Y40"/>
    <mergeCell ref="D41:D42"/>
    <mergeCell ref="C43:C47"/>
    <mergeCell ref="D44:D45"/>
    <mergeCell ref="U39:X39"/>
    <mergeCell ref="O79:P79"/>
    <mergeCell ref="X48:Y48"/>
    <mergeCell ref="C54:D54"/>
    <mergeCell ref="O56:P56"/>
    <mergeCell ref="X56:Y56"/>
    <mergeCell ref="F59:I59"/>
    <mergeCell ref="J59:M59"/>
    <mergeCell ref="D61:D62"/>
    <mergeCell ref="D65:D66"/>
    <mergeCell ref="D68:E69"/>
    <mergeCell ref="F69:M69"/>
    <mergeCell ref="AM4:AM27"/>
    <mergeCell ref="AN4:AO5"/>
    <mergeCell ref="AP4:AP5"/>
    <mergeCell ref="AN6:AO7"/>
    <mergeCell ref="AN8:AN16"/>
    <mergeCell ref="AO8:AO9"/>
    <mergeCell ref="AO11:AO12"/>
    <mergeCell ref="AO15:AO16"/>
    <mergeCell ref="AN17:AN20"/>
    <mergeCell ref="AO17:AO18"/>
    <mergeCell ref="AN21:AN26"/>
    <mergeCell ref="AN27:AO27"/>
    <mergeCell ref="AN55:AO55"/>
    <mergeCell ref="AN28:AO28"/>
    <mergeCell ref="AM30:AM54"/>
    <mergeCell ref="AN30:AO31"/>
    <mergeCell ref="AP30:AP31"/>
    <mergeCell ref="AN32:AO33"/>
    <mergeCell ref="AN34:AN42"/>
    <mergeCell ref="AO34:AO35"/>
    <mergeCell ref="AO37:AO38"/>
    <mergeCell ref="AO41:AO42"/>
    <mergeCell ref="AN43:AN47"/>
    <mergeCell ref="AO44:AO45"/>
    <mergeCell ref="AN48:AN53"/>
    <mergeCell ref="AN54:AO54"/>
  </mergeCells>
  <phoneticPr fontId="2"/>
  <pageMargins left="0.7" right="0.7" top="0.75" bottom="0.75" header="0.3" footer="0.3"/>
  <pageSetup paperSize="9" orientation="portrait" horizont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8E3F7-1C43-48BB-A476-2DD423568002}">
  <sheetPr>
    <tabColor theme="1"/>
  </sheetPr>
  <dimension ref="B1:AQ101"/>
  <sheetViews>
    <sheetView view="pageBreakPreview" zoomScale="85" zoomScaleNormal="55" zoomScaleSheetLayoutView="85" workbookViewId="0">
      <pane ySplit="5" topLeftCell="A6" activePane="bottomLeft" state="frozen"/>
      <selection activeCell="V65" sqref="V65"/>
      <selection pane="bottomLeft" activeCell="A6" sqref="A6"/>
    </sheetView>
  </sheetViews>
  <sheetFormatPr defaultColWidth="8.75" defaultRowHeight="15"/>
  <cols>
    <col min="1" max="1" width="1" style="2" customWidth="1"/>
    <col min="2" max="3" width="2.75" style="2" customWidth="1"/>
    <col min="4" max="4" width="16.5" style="1" customWidth="1"/>
    <col min="5" max="5" width="8.25" style="57" customWidth="1"/>
    <col min="6" max="13" width="7.25" style="2" customWidth="1"/>
    <col min="14" max="14" width="1" style="2" customWidth="1"/>
    <col min="15" max="16" width="8.625" style="2" customWidth="1"/>
    <col min="17" max="25" width="9.75" style="2" customWidth="1"/>
    <col min="26" max="27" width="8.75" style="2" customWidth="1"/>
    <col min="28" max="31" width="8.875" style="2" customWidth="1"/>
    <col min="32" max="38" width="8.75" style="2"/>
    <col min="39" max="40" width="3.875" style="2" bestFit="1" customWidth="1"/>
    <col min="41" max="41" width="16.5" style="2" bestFit="1" customWidth="1"/>
    <col min="42" max="42" width="8.75" style="2"/>
    <col min="43" max="43" width="9.375" style="264" bestFit="1" customWidth="1"/>
    <col min="44" max="16384" width="8.75" style="2"/>
  </cols>
  <sheetData>
    <row r="1" spans="2:43" ht="4.9000000000000004" customHeight="1" thickBot="1">
      <c r="F1" s="57"/>
      <c r="G1" s="57"/>
      <c r="H1" s="57"/>
      <c r="I1" s="57"/>
      <c r="J1" s="57"/>
      <c r="K1" s="57"/>
      <c r="L1" s="57"/>
      <c r="M1" s="57"/>
    </row>
    <row r="2" spans="2:43" ht="15.75" thickBot="1">
      <c r="B2" s="1450">
        <v>12</v>
      </c>
      <c r="C2" s="1451"/>
      <c r="D2" s="1452"/>
      <c r="E2" s="2"/>
      <c r="F2" s="55" t="s">
        <v>183</v>
      </c>
      <c r="G2" s="72">
        <f>児童数!O16</f>
        <v>0</v>
      </c>
      <c r="H2" s="73" t="s">
        <v>184</v>
      </c>
      <c r="I2" s="72">
        <f>児童数!AB16</f>
        <v>0</v>
      </c>
      <c r="J2" s="73" t="s">
        <v>182</v>
      </c>
      <c r="K2" s="72">
        <f>G2+I2</f>
        <v>0</v>
      </c>
      <c r="L2" s="62"/>
      <c r="N2" s="1"/>
      <c r="O2" s="55" t="s">
        <v>192</v>
      </c>
      <c r="P2" s="78">
        <f>IF(基本情報!E5="",0,基本情報!G10)</f>
        <v>0</v>
      </c>
      <c r="Q2" s="77" t="s">
        <v>11</v>
      </c>
      <c r="R2" s="55" t="s">
        <v>202</v>
      </c>
      <c r="S2" s="257">
        <f>IF(基本情報!E12="１日",単価表!BB11,IF(基本情報!E12="２日",単価表!BC11,IF(基本情報!E12="３日",単価表!BD11,IF(基本情報!E12="全て",単価表!BE11,0))))*100</f>
        <v>0</v>
      </c>
      <c r="T2" s="258">
        <f>IF(基本情報!E12="１日",単価表!BB27,IF(基本情報!E12="２日",単価表!BC27,IF(基本情報!E12="３日",単価表!BD27,IF(基本情報!E12="全て",単価表!BE27,0))))*100</f>
        <v>0</v>
      </c>
      <c r="U2" s="55" t="s">
        <v>198</v>
      </c>
      <c r="V2" s="257">
        <f>IF(基本情報!E14="該当",定員超過減算率!C2,0)</f>
        <v>0</v>
      </c>
      <c r="W2" s="258">
        <f>IF(基本情報!E14="該当",定員超過減算率!C3,0)</f>
        <v>0</v>
      </c>
      <c r="X2" s="55"/>
      <c r="Y2" s="55"/>
      <c r="AC2" s="1" t="s">
        <v>206</v>
      </c>
      <c r="AD2" s="1" t="s">
        <v>207</v>
      </c>
    </row>
    <row r="3" spans="2:43" ht="6" customHeight="1">
      <c r="K3" s="1"/>
    </row>
    <row r="4" spans="2:43" ht="15" customHeight="1">
      <c r="B4" s="1426" t="s">
        <v>181</v>
      </c>
      <c r="C4" s="1429"/>
      <c r="D4" s="1429"/>
      <c r="E4" s="1416" t="s">
        <v>172</v>
      </c>
      <c r="F4" s="1418" t="s">
        <v>15</v>
      </c>
      <c r="G4" s="1418"/>
      <c r="H4" s="1418"/>
      <c r="I4" s="1418"/>
      <c r="J4" s="1418" t="s">
        <v>16</v>
      </c>
      <c r="K4" s="1418"/>
      <c r="L4" s="1418"/>
      <c r="M4" s="1418"/>
      <c r="O4" s="1449" t="s">
        <v>40</v>
      </c>
      <c r="P4" s="1446" t="s">
        <v>171</v>
      </c>
      <c r="Q4" s="1440" t="s">
        <v>15</v>
      </c>
      <c r="R4" s="1440"/>
      <c r="S4" s="1440"/>
      <c r="T4" s="1440"/>
      <c r="U4" s="1440" t="s">
        <v>16</v>
      </c>
      <c r="V4" s="1440"/>
      <c r="W4" s="1440"/>
      <c r="X4" s="1440"/>
      <c r="Y4" s="1441" t="s">
        <v>177</v>
      </c>
      <c r="Z4" s="11"/>
      <c r="AA4" s="1"/>
      <c r="AM4" s="1426" t="s">
        <v>181</v>
      </c>
      <c r="AN4" s="1429"/>
      <c r="AO4" s="1429"/>
      <c r="AP4" s="1416" t="s">
        <v>172</v>
      </c>
      <c r="AQ4" s="85"/>
    </row>
    <row r="5" spans="2:43" s="1" customFormat="1">
      <c r="B5" s="1427"/>
      <c r="C5" s="1429"/>
      <c r="D5" s="1429"/>
      <c r="E5" s="1417"/>
      <c r="F5" s="370" t="s">
        <v>6</v>
      </c>
      <c r="G5" s="370" t="s">
        <v>7</v>
      </c>
      <c r="H5" s="370" t="s">
        <v>8</v>
      </c>
      <c r="I5" s="370" t="s">
        <v>9</v>
      </c>
      <c r="J5" s="370" t="s">
        <v>6</v>
      </c>
      <c r="K5" s="370" t="s">
        <v>7</v>
      </c>
      <c r="L5" s="370" t="s">
        <v>8</v>
      </c>
      <c r="M5" s="370" t="s">
        <v>9</v>
      </c>
      <c r="O5" s="1444"/>
      <c r="P5" s="1446"/>
      <c r="Q5" s="368" t="s">
        <v>6</v>
      </c>
      <c r="R5" s="368" t="s">
        <v>7</v>
      </c>
      <c r="S5" s="368" t="s">
        <v>8</v>
      </c>
      <c r="T5" s="368" t="s">
        <v>9</v>
      </c>
      <c r="U5" s="368" t="s">
        <v>6</v>
      </c>
      <c r="V5" s="368" t="s">
        <v>7</v>
      </c>
      <c r="W5" s="368" t="s">
        <v>8</v>
      </c>
      <c r="X5" s="368" t="s">
        <v>9</v>
      </c>
      <c r="Y5" s="1442"/>
      <c r="Z5" s="11"/>
      <c r="AC5" s="1" t="s">
        <v>6</v>
      </c>
      <c r="AD5" s="1" t="s">
        <v>212</v>
      </c>
      <c r="AM5" s="1427"/>
      <c r="AN5" s="1429"/>
      <c r="AO5" s="1429"/>
      <c r="AP5" s="1417"/>
      <c r="AQ5" s="85"/>
    </row>
    <row r="6" spans="2:43" s="1" customFormat="1">
      <c r="B6" s="1427"/>
      <c r="C6" s="1418" t="s">
        <v>17</v>
      </c>
      <c r="D6" s="1418"/>
      <c r="E6" s="53" t="s">
        <v>169</v>
      </c>
      <c r="F6" s="3" t="e">
        <f>単価表!AV7</f>
        <v>#VALUE!</v>
      </c>
      <c r="G6" s="3" t="e">
        <f>単価表!AV9</f>
        <v>#VALUE!</v>
      </c>
      <c r="H6" s="3" t="e">
        <f>単価表!AV11</f>
        <v>#VALUE!</v>
      </c>
      <c r="I6" s="3" t="e">
        <f>単価表!AV13</f>
        <v>#VALUE!</v>
      </c>
      <c r="J6" s="3" t="e">
        <f>単価表!AW7</f>
        <v>#VALUE!</v>
      </c>
      <c r="K6" s="3" t="e">
        <f>単価表!AW9</f>
        <v>#VALUE!</v>
      </c>
      <c r="L6" s="3" t="e">
        <f>単価表!AW11</f>
        <v>#VALUE!</v>
      </c>
      <c r="M6" s="3" t="e">
        <f>単価表!AW13</f>
        <v>#VALUE!</v>
      </c>
      <c r="O6" s="1444"/>
      <c r="P6" s="630">
        <f>基本情報!E17</f>
        <v>0</v>
      </c>
      <c r="Q6" s="3">
        <f>児童数!E30</f>
        <v>0</v>
      </c>
      <c r="R6" s="3">
        <f>児童数!F30</f>
        <v>0</v>
      </c>
      <c r="S6" s="3">
        <f>児童数!G30</f>
        <v>0</v>
      </c>
      <c r="T6" s="3">
        <f>児童数!H30</f>
        <v>0</v>
      </c>
      <c r="U6" s="3">
        <f>児童数!J30</f>
        <v>0</v>
      </c>
      <c r="V6" s="3">
        <f>児童数!K30</f>
        <v>0</v>
      </c>
      <c r="W6" s="3">
        <f>児童数!L30</f>
        <v>0</v>
      </c>
      <c r="X6" s="3">
        <f>児童数!M30</f>
        <v>0</v>
      </c>
      <c r="Y6" s="64">
        <f>SUM(Q6:X6)</f>
        <v>0</v>
      </c>
      <c r="Z6" s="2"/>
      <c r="AC6" s="1" t="s">
        <v>7</v>
      </c>
      <c r="AD6" s="1" t="s">
        <v>16</v>
      </c>
      <c r="AM6" s="1427"/>
      <c r="AN6" s="1418" t="s">
        <v>17</v>
      </c>
      <c r="AO6" s="1418"/>
      <c r="AP6" s="53" t="s">
        <v>169</v>
      </c>
      <c r="AQ6" s="85" t="e">
        <f>SUMPRODUCT(F6:M6,$Q$11:$X$11)</f>
        <v>#VALUE!</v>
      </c>
    </row>
    <row r="7" spans="2:43" s="1" customFormat="1">
      <c r="B7" s="1427"/>
      <c r="C7" s="1418"/>
      <c r="D7" s="1418"/>
      <c r="E7" s="53" t="s">
        <v>167</v>
      </c>
      <c r="F7" s="3" t="e">
        <f>単価表!AX7*基本情報!G7</f>
        <v>#VALUE!</v>
      </c>
      <c r="G7" s="3" t="e">
        <f>単価表!AX9*基本情報!G7</f>
        <v>#VALUE!</v>
      </c>
      <c r="H7" s="3" t="e">
        <f>単価表!AX11*基本情報!G7</f>
        <v>#VALUE!</v>
      </c>
      <c r="I7" s="3" t="e">
        <f>単価表!AX13*基本情報!G7</f>
        <v>#VALUE!</v>
      </c>
      <c r="J7" s="3" t="e">
        <f>単価表!AY7*基本情報!G7</f>
        <v>#VALUE!</v>
      </c>
      <c r="K7" s="3" t="e">
        <f>単価表!AY9*基本情報!G7</f>
        <v>#VALUE!</v>
      </c>
      <c r="L7" s="3" t="e">
        <f>単価表!AY11*基本情報!G7</f>
        <v>#VALUE!</v>
      </c>
      <c r="M7" s="3" t="e">
        <f>単価表!AY13*基本情報!G7</f>
        <v>#VALUE!</v>
      </c>
      <c r="O7" s="1444"/>
      <c r="P7" s="631">
        <f>基本情報!E18</f>
        <v>0</v>
      </c>
      <c r="Q7" s="3">
        <f>児童数!E44</f>
        <v>0</v>
      </c>
      <c r="R7" s="3">
        <f>児童数!F44</f>
        <v>0</v>
      </c>
      <c r="S7" s="3">
        <f>児童数!G44</f>
        <v>0</v>
      </c>
      <c r="T7" s="3">
        <f>児童数!H44</f>
        <v>0</v>
      </c>
      <c r="U7" s="3">
        <f>児童数!J44</f>
        <v>0</v>
      </c>
      <c r="V7" s="3">
        <f>児童数!K44</f>
        <v>0</v>
      </c>
      <c r="W7" s="3">
        <f>児童数!L44</f>
        <v>0</v>
      </c>
      <c r="X7" s="3">
        <f>児童数!M44</f>
        <v>0</v>
      </c>
      <c r="Y7" s="64">
        <f t="shared" ref="Y7:Y10" si="0">SUM(Q7:X7)</f>
        <v>0</v>
      </c>
      <c r="Z7" s="2"/>
      <c r="AA7" s="2"/>
      <c r="AC7" s="1" t="s">
        <v>8</v>
      </c>
      <c r="AM7" s="1427"/>
      <c r="AN7" s="1418"/>
      <c r="AO7" s="1418"/>
      <c r="AP7" s="53" t="s">
        <v>167</v>
      </c>
      <c r="AQ7" s="85" t="e">
        <f t="shared" ref="AQ7:AQ26" si="1">SUMPRODUCT(F7:M7,$Q$11:$X$11)</f>
        <v>#VALUE!</v>
      </c>
    </row>
    <row r="8" spans="2:43" ht="15" customHeight="1">
      <c r="B8" s="1427"/>
      <c r="C8" s="1419" t="s">
        <v>203</v>
      </c>
      <c r="D8" s="1422" t="s">
        <v>37</v>
      </c>
      <c r="E8" s="53" t="s">
        <v>169</v>
      </c>
      <c r="F8" s="6"/>
      <c r="G8" s="3">
        <f>IF(加算と減算!M5="○",単価表!AV41,0)</f>
        <v>0</v>
      </c>
      <c r="H8" s="6"/>
      <c r="I8" s="6"/>
      <c r="J8" s="6"/>
      <c r="K8" s="3">
        <f>G8</f>
        <v>0</v>
      </c>
      <c r="L8" s="6"/>
      <c r="M8" s="6"/>
      <c r="O8" s="1444"/>
      <c r="P8" s="632">
        <f>基本情報!E19</f>
        <v>0</v>
      </c>
      <c r="Q8" s="3">
        <f>児童数!E58</f>
        <v>0</v>
      </c>
      <c r="R8" s="3">
        <f>児童数!F58</f>
        <v>0</v>
      </c>
      <c r="S8" s="3">
        <f>児童数!G58</f>
        <v>0</v>
      </c>
      <c r="T8" s="3">
        <f>児童数!H58</f>
        <v>0</v>
      </c>
      <c r="U8" s="3">
        <f>児童数!J58</f>
        <v>0</v>
      </c>
      <c r="V8" s="3">
        <f>児童数!K58</f>
        <v>0</v>
      </c>
      <c r="W8" s="3">
        <f>児童数!L58</f>
        <v>0</v>
      </c>
      <c r="X8" s="3">
        <f>児童数!M58</f>
        <v>0</v>
      </c>
      <c r="Y8" s="64">
        <f t="shared" si="0"/>
        <v>0</v>
      </c>
      <c r="AC8" s="1" t="s">
        <v>9</v>
      </c>
      <c r="AM8" s="1427"/>
      <c r="AN8" s="1419" t="s">
        <v>203</v>
      </c>
      <c r="AO8" s="1422" t="s">
        <v>37</v>
      </c>
      <c r="AP8" s="732" t="s">
        <v>559</v>
      </c>
      <c r="AQ8" s="85">
        <f t="shared" si="1"/>
        <v>0</v>
      </c>
    </row>
    <row r="9" spans="2:43">
      <c r="B9" s="1427"/>
      <c r="C9" s="1420"/>
      <c r="D9" s="1422"/>
      <c r="E9" s="53" t="s">
        <v>167</v>
      </c>
      <c r="F9" s="6"/>
      <c r="G9" s="3">
        <f>IF(加算と減算!M5="○",単価表!AW41*基本情報!G7,0)</f>
        <v>0</v>
      </c>
      <c r="H9" s="6"/>
      <c r="I9" s="6"/>
      <c r="J9" s="6"/>
      <c r="K9" s="3">
        <f>G9</f>
        <v>0</v>
      </c>
      <c r="L9" s="6"/>
      <c r="M9" s="6"/>
      <c r="O9" s="1444"/>
      <c r="P9" s="633">
        <f>基本情報!E20</f>
        <v>0</v>
      </c>
      <c r="Q9" s="3">
        <f>児童数!E72</f>
        <v>0</v>
      </c>
      <c r="R9" s="3">
        <f>児童数!F72</f>
        <v>0</v>
      </c>
      <c r="S9" s="3">
        <f>児童数!G72</f>
        <v>0</v>
      </c>
      <c r="T9" s="3">
        <f>児童数!H72</f>
        <v>0</v>
      </c>
      <c r="U9" s="3">
        <f>児童数!J72</f>
        <v>0</v>
      </c>
      <c r="V9" s="3">
        <f>児童数!K72</f>
        <v>0</v>
      </c>
      <c r="W9" s="3">
        <f>児童数!L72</f>
        <v>0</v>
      </c>
      <c r="X9" s="3">
        <f>児童数!M72</f>
        <v>0</v>
      </c>
      <c r="Y9" s="64">
        <f t="shared" si="0"/>
        <v>0</v>
      </c>
      <c r="AM9" s="1427"/>
      <c r="AN9" s="1420"/>
      <c r="AO9" s="1422"/>
      <c r="AP9" s="53" t="s">
        <v>167</v>
      </c>
      <c r="AQ9" s="85">
        <f t="shared" si="1"/>
        <v>0</v>
      </c>
    </row>
    <row r="10" spans="2:43">
      <c r="B10" s="1427"/>
      <c r="C10" s="1420"/>
      <c r="D10" s="383" t="s">
        <v>69</v>
      </c>
      <c r="E10" s="60"/>
      <c r="F10" s="3">
        <f>IF(K2=0,0,IF(加算と減算!M6="○",ROUNDDOWN((加算と減算!R6+(加算と減算!S6*基本情報!G7))/'12月'!K2,-1),0))</f>
        <v>0</v>
      </c>
      <c r="G10" s="3">
        <f t="shared" ref="G10:G18" si="2">F10</f>
        <v>0</v>
      </c>
      <c r="H10" s="3">
        <f>F10</f>
        <v>0</v>
      </c>
      <c r="I10" s="3">
        <f>F10</f>
        <v>0</v>
      </c>
      <c r="J10" s="3">
        <f t="shared" ref="J10:J18" si="3">F10</f>
        <v>0</v>
      </c>
      <c r="K10" s="3">
        <f t="shared" ref="K10:K18" si="4">F10</f>
        <v>0</v>
      </c>
      <c r="L10" s="3">
        <f>F10</f>
        <v>0</v>
      </c>
      <c r="M10" s="3">
        <f>F10</f>
        <v>0</v>
      </c>
      <c r="O10" s="1444"/>
      <c r="P10" s="634">
        <f>基本情報!E21</f>
        <v>0</v>
      </c>
      <c r="Q10" s="3">
        <f>児童数!E86</f>
        <v>0</v>
      </c>
      <c r="R10" s="3">
        <f>児童数!F86</f>
        <v>0</v>
      </c>
      <c r="S10" s="3">
        <f>児童数!G86</f>
        <v>0</v>
      </c>
      <c r="T10" s="3">
        <f>児童数!H86</f>
        <v>0</v>
      </c>
      <c r="U10" s="3">
        <f>児童数!J86</f>
        <v>0</v>
      </c>
      <c r="V10" s="3">
        <f>児童数!K86</f>
        <v>0</v>
      </c>
      <c r="W10" s="3">
        <f>児童数!L86</f>
        <v>0</v>
      </c>
      <c r="X10" s="3">
        <f>児童数!M86</f>
        <v>0</v>
      </c>
      <c r="Y10" s="64">
        <f t="shared" si="0"/>
        <v>0</v>
      </c>
      <c r="AM10" s="1427"/>
      <c r="AN10" s="1420"/>
      <c r="AO10" s="383" t="s">
        <v>69</v>
      </c>
      <c r="AP10" s="629"/>
      <c r="AQ10" s="85">
        <f t="shared" si="1"/>
        <v>0</v>
      </c>
    </row>
    <row r="11" spans="2:43">
      <c r="B11" s="1427"/>
      <c r="C11" s="1420"/>
      <c r="D11" s="1422" t="s">
        <v>161</v>
      </c>
      <c r="E11" s="53" t="s">
        <v>169</v>
      </c>
      <c r="F11" s="3">
        <f>IF(加算と減算!M7="○",単価表!AZ39,0)</f>
        <v>0</v>
      </c>
      <c r="G11" s="3">
        <f t="shared" si="2"/>
        <v>0</v>
      </c>
      <c r="H11" s="3">
        <f>IF(加算と減算!M7="○",単価表!AZ43,0)</f>
        <v>0</v>
      </c>
      <c r="I11" s="3">
        <f>H11</f>
        <v>0</v>
      </c>
      <c r="J11" s="3">
        <f t="shared" si="3"/>
        <v>0</v>
      </c>
      <c r="K11" s="3">
        <f t="shared" si="4"/>
        <v>0</v>
      </c>
      <c r="L11" s="3">
        <f>H11</f>
        <v>0</v>
      </c>
      <c r="M11" s="3">
        <f>H11</f>
        <v>0</v>
      </c>
      <c r="O11" s="1445"/>
      <c r="P11" s="635" t="s">
        <v>36</v>
      </c>
      <c r="Q11" s="3">
        <f>SUM(Q6:Q10)</f>
        <v>0</v>
      </c>
      <c r="R11" s="3">
        <f t="shared" ref="R11:Y11" si="5">SUM(R6:R10)</f>
        <v>0</v>
      </c>
      <c r="S11" s="3">
        <f t="shared" si="5"/>
        <v>0</v>
      </c>
      <c r="T11" s="3">
        <f t="shared" si="5"/>
        <v>0</v>
      </c>
      <c r="U11" s="3">
        <f t="shared" si="5"/>
        <v>0</v>
      </c>
      <c r="V11" s="3">
        <f t="shared" si="5"/>
        <v>0</v>
      </c>
      <c r="W11" s="3">
        <f t="shared" si="5"/>
        <v>0</v>
      </c>
      <c r="X11" s="3">
        <f t="shared" si="5"/>
        <v>0</v>
      </c>
      <c r="Y11" s="3">
        <f t="shared" si="5"/>
        <v>0</v>
      </c>
      <c r="Z11" s="55" t="s">
        <v>176</v>
      </c>
      <c r="AA11" s="71" t="str">
        <f>IF(SUM(Q11:X11)=G2,"OK",SUM(Q11:X11)-K2)</f>
        <v>OK</v>
      </c>
      <c r="AB11" s="62"/>
      <c r="AM11" s="1427"/>
      <c r="AN11" s="1420"/>
      <c r="AO11" s="1422" t="s">
        <v>161</v>
      </c>
      <c r="AP11" s="53" t="s">
        <v>169</v>
      </c>
      <c r="AQ11" s="85">
        <f t="shared" si="1"/>
        <v>0</v>
      </c>
    </row>
    <row r="12" spans="2:43" ht="15" customHeight="1">
      <c r="B12" s="1427"/>
      <c r="C12" s="1420"/>
      <c r="D12" s="1422"/>
      <c r="E12" s="53" t="s">
        <v>167</v>
      </c>
      <c r="F12" s="3">
        <f>IF(加算と減算!M7="○",単価表!BA39*基本情報!G7,0)</f>
        <v>0</v>
      </c>
      <c r="G12" s="3">
        <f t="shared" si="2"/>
        <v>0</v>
      </c>
      <c r="H12" s="3">
        <f>IF(加算と減算!M7="○",単価表!BA43*基本情報!G7,0)</f>
        <v>0</v>
      </c>
      <c r="I12" s="3">
        <f>H12</f>
        <v>0</v>
      </c>
      <c r="J12" s="3">
        <f t="shared" si="3"/>
        <v>0</v>
      </c>
      <c r="K12" s="3">
        <f t="shared" si="4"/>
        <v>0</v>
      </c>
      <c r="L12" s="3">
        <f>H12</f>
        <v>0</v>
      </c>
      <c r="M12" s="3">
        <f>H12</f>
        <v>0</v>
      </c>
      <c r="O12" s="75"/>
      <c r="P12" s="636"/>
      <c r="Q12" s="54"/>
      <c r="R12" s="54"/>
      <c r="S12" s="54"/>
      <c r="T12" s="54"/>
      <c r="U12" s="54"/>
      <c r="V12" s="54"/>
      <c r="W12" s="54"/>
      <c r="X12" s="54"/>
      <c r="Y12" s="54"/>
      <c r="AA12" s="62"/>
      <c r="AB12" s="62"/>
      <c r="AM12" s="1427"/>
      <c r="AN12" s="1420"/>
      <c r="AO12" s="1422"/>
      <c r="AP12" s="53" t="s">
        <v>167</v>
      </c>
      <c r="AQ12" s="85">
        <f t="shared" si="1"/>
        <v>0</v>
      </c>
    </row>
    <row r="13" spans="2:43" ht="16.5">
      <c r="B13" s="1427"/>
      <c r="C13" s="1420"/>
      <c r="D13" s="366" t="s">
        <v>162</v>
      </c>
      <c r="E13" s="59"/>
      <c r="F13" s="3">
        <f>IF(加算と減算!M8="○",加算と減算!R8,0)</f>
        <v>0</v>
      </c>
      <c r="G13" s="3">
        <f t="shared" si="2"/>
        <v>0</v>
      </c>
      <c r="H13" s="3">
        <f t="shared" ref="H13:H18" si="6">F13</f>
        <v>0</v>
      </c>
      <c r="I13" s="3">
        <f t="shared" ref="I13:I18" si="7">F13</f>
        <v>0</v>
      </c>
      <c r="J13" s="3">
        <f t="shared" si="3"/>
        <v>0</v>
      </c>
      <c r="K13" s="3">
        <f t="shared" si="4"/>
        <v>0</v>
      </c>
      <c r="L13" s="3">
        <f t="shared" ref="L13:L18" si="8">F13</f>
        <v>0</v>
      </c>
      <c r="M13" s="3">
        <f t="shared" ref="M13:M18" si="9">F13</f>
        <v>0</v>
      </c>
      <c r="O13" s="1443" t="s">
        <v>187</v>
      </c>
      <c r="P13" s="1449" t="s">
        <v>171</v>
      </c>
      <c r="Q13" s="1440" t="s">
        <v>15</v>
      </c>
      <c r="R13" s="1440"/>
      <c r="S13" s="1440"/>
      <c r="T13" s="1440"/>
      <c r="U13" s="1440" t="s">
        <v>16</v>
      </c>
      <c r="V13" s="1440"/>
      <c r="W13" s="1440"/>
      <c r="X13" s="1440"/>
      <c r="Y13" s="1449" t="s">
        <v>177</v>
      </c>
      <c r="AA13" s="62"/>
      <c r="AB13" s="62"/>
      <c r="AM13" s="1427"/>
      <c r="AN13" s="1420"/>
      <c r="AO13" s="720" t="s">
        <v>162</v>
      </c>
      <c r="AP13" s="731" t="s">
        <v>353</v>
      </c>
      <c r="AQ13" s="85">
        <f t="shared" si="1"/>
        <v>0</v>
      </c>
    </row>
    <row r="14" spans="2:43" ht="16.5">
      <c r="B14" s="1427"/>
      <c r="C14" s="1420"/>
      <c r="D14" s="366" t="s">
        <v>54</v>
      </c>
      <c r="E14" s="59"/>
      <c r="F14" s="3">
        <f>IF(加算と減算!M9="○",加算と減算!R9,0)</f>
        <v>0</v>
      </c>
      <c r="G14" s="3">
        <f t="shared" si="2"/>
        <v>0</v>
      </c>
      <c r="H14" s="3">
        <f t="shared" si="6"/>
        <v>0</v>
      </c>
      <c r="I14" s="3">
        <f t="shared" si="7"/>
        <v>0</v>
      </c>
      <c r="J14" s="3">
        <f t="shared" si="3"/>
        <v>0</v>
      </c>
      <c r="K14" s="3">
        <f t="shared" si="4"/>
        <v>0</v>
      </c>
      <c r="L14" s="3">
        <f t="shared" si="8"/>
        <v>0</v>
      </c>
      <c r="M14" s="3">
        <f t="shared" si="9"/>
        <v>0</v>
      </c>
      <c r="O14" s="1447"/>
      <c r="P14" s="1445"/>
      <c r="Q14" s="368" t="s">
        <v>6</v>
      </c>
      <c r="R14" s="368" t="s">
        <v>7</v>
      </c>
      <c r="S14" s="368" t="s">
        <v>8</v>
      </c>
      <c r="T14" s="368" t="s">
        <v>9</v>
      </c>
      <c r="U14" s="368" t="s">
        <v>6</v>
      </c>
      <c r="V14" s="368" t="s">
        <v>7</v>
      </c>
      <c r="W14" s="368" t="s">
        <v>8</v>
      </c>
      <c r="X14" s="368" t="s">
        <v>9</v>
      </c>
      <c r="Y14" s="1445"/>
      <c r="AA14" s="62"/>
      <c r="AB14" s="62"/>
      <c r="AM14" s="1427"/>
      <c r="AN14" s="1420"/>
      <c r="AO14" s="720" t="s">
        <v>54</v>
      </c>
      <c r="AP14" s="731" t="s">
        <v>353</v>
      </c>
      <c r="AQ14" s="85">
        <f t="shared" si="1"/>
        <v>0</v>
      </c>
    </row>
    <row r="15" spans="2:43" ht="16.5">
      <c r="B15" s="1427"/>
      <c r="C15" s="1420"/>
      <c r="D15" s="1422" t="s">
        <v>38</v>
      </c>
      <c r="E15" s="53" t="s">
        <v>169</v>
      </c>
      <c r="F15" s="3">
        <f>IF(加算と減算!M10="○",加算と減算!R10,0)</f>
        <v>0</v>
      </c>
      <c r="G15" s="3">
        <f t="shared" si="2"/>
        <v>0</v>
      </c>
      <c r="H15" s="3">
        <f t="shared" si="6"/>
        <v>0</v>
      </c>
      <c r="I15" s="3">
        <f t="shared" si="7"/>
        <v>0</v>
      </c>
      <c r="J15" s="3">
        <f t="shared" si="3"/>
        <v>0</v>
      </c>
      <c r="K15" s="3">
        <f t="shared" si="4"/>
        <v>0</v>
      </c>
      <c r="L15" s="3">
        <f t="shared" si="8"/>
        <v>0</v>
      </c>
      <c r="M15" s="3">
        <f t="shared" si="9"/>
        <v>0</v>
      </c>
      <c r="O15" s="1447"/>
      <c r="P15" s="630">
        <f>P6</f>
        <v>0</v>
      </c>
      <c r="Q15" s="3" t="e">
        <f>F27*Q6</f>
        <v>#VALUE!</v>
      </c>
      <c r="R15" s="3" t="e">
        <f t="shared" ref="R15:X15" si="10">G27*R6</f>
        <v>#VALUE!</v>
      </c>
      <c r="S15" s="3" t="e">
        <f t="shared" si="10"/>
        <v>#VALUE!</v>
      </c>
      <c r="T15" s="3" t="e">
        <f t="shared" si="10"/>
        <v>#VALUE!</v>
      </c>
      <c r="U15" s="3" t="e">
        <f t="shared" si="10"/>
        <v>#VALUE!</v>
      </c>
      <c r="V15" s="3" t="e">
        <f t="shared" si="10"/>
        <v>#VALUE!</v>
      </c>
      <c r="W15" s="3" t="e">
        <f t="shared" si="10"/>
        <v>#VALUE!</v>
      </c>
      <c r="X15" s="3" t="e">
        <f t="shared" si="10"/>
        <v>#VALUE!</v>
      </c>
      <c r="Y15" s="3" t="e">
        <f>SUM(Q15:X15)</f>
        <v>#VALUE!</v>
      </c>
      <c r="AA15" s="62"/>
      <c r="AB15" s="62"/>
      <c r="AM15" s="1427"/>
      <c r="AN15" s="1420"/>
      <c r="AO15" s="1422" t="s">
        <v>38</v>
      </c>
      <c r="AP15" s="732" t="s">
        <v>559</v>
      </c>
      <c r="AQ15" s="85">
        <f t="shared" si="1"/>
        <v>0</v>
      </c>
    </row>
    <row r="16" spans="2:43">
      <c r="B16" s="1427"/>
      <c r="C16" s="1421"/>
      <c r="D16" s="1422"/>
      <c r="E16" s="53" t="s">
        <v>167</v>
      </c>
      <c r="F16" s="3">
        <f>IF(加算と減算!M10="○",加算と減算!S10*基本情報!G7,0)</f>
        <v>0</v>
      </c>
      <c r="G16" s="3">
        <f t="shared" si="2"/>
        <v>0</v>
      </c>
      <c r="H16" s="3">
        <f t="shared" si="6"/>
        <v>0</v>
      </c>
      <c r="I16" s="3">
        <f t="shared" si="7"/>
        <v>0</v>
      </c>
      <c r="J16" s="3">
        <f t="shared" si="3"/>
        <v>0</v>
      </c>
      <c r="K16" s="3">
        <f t="shared" si="4"/>
        <v>0</v>
      </c>
      <c r="L16" s="3">
        <f t="shared" si="8"/>
        <v>0</v>
      </c>
      <c r="M16" s="3">
        <f t="shared" si="9"/>
        <v>0</v>
      </c>
      <c r="O16" s="1447"/>
      <c r="P16" s="631">
        <f>P7</f>
        <v>0</v>
      </c>
      <c r="Q16" s="3" t="e">
        <f>F27*Q7</f>
        <v>#VALUE!</v>
      </c>
      <c r="R16" s="3" t="e">
        <f t="shared" ref="R16:X16" si="11">G27*R7</f>
        <v>#VALUE!</v>
      </c>
      <c r="S16" s="3" t="e">
        <f t="shared" si="11"/>
        <v>#VALUE!</v>
      </c>
      <c r="T16" s="3" t="e">
        <f t="shared" si="11"/>
        <v>#VALUE!</v>
      </c>
      <c r="U16" s="3" t="e">
        <f t="shared" si="11"/>
        <v>#VALUE!</v>
      </c>
      <c r="V16" s="3" t="e">
        <f t="shared" si="11"/>
        <v>#VALUE!</v>
      </c>
      <c r="W16" s="3" t="e">
        <f t="shared" si="11"/>
        <v>#VALUE!</v>
      </c>
      <c r="X16" s="3" t="e">
        <f t="shared" si="11"/>
        <v>#VALUE!</v>
      </c>
      <c r="Y16" s="3" t="e">
        <f t="shared" ref="Y16:Y19" si="12">SUM(Q16:X16)</f>
        <v>#VALUE!</v>
      </c>
      <c r="AA16" s="62"/>
      <c r="AB16" s="62"/>
      <c r="AM16" s="1427"/>
      <c r="AN16" s="1421"/>
      <c r="AO16" s="1422"/>
      <c r="AP16" s="53" t="s">
        <v>167</v>
      </c>
      <c r="AQ16" s="85">
        <f t="shared" si="1"/>
        <v>0</v>
      </c>
    </row>
    <row r="17" spans="2:43">
      <c r="B17" s="1427"/>
      <c r="C17" s="1423" t="s">
        <v>205</v>
      </c>
      <c r="D17" s="1424" t="s">
        <v>43</v>
      </c>
      <c r="E17" s="53" t="s">
        <v>169</v>
      </c>
      <c r="F17" s="74">
        <f>-IF(加算と減算!M32="○",単価表!AZ7,0)</f>
        <v>0</v>
      </c>
      <c r="G17" s="74">
        <f t="shared" si="2"/>
        <v>0</v>
      </c>
      <c r="H17" s="74">
        <f t="shared" si="6"/>
        <v>0</v>
      </c>
      <c r="I17" s="74">
        <f t="shared" si="7"/>
        <v>0</v>
      </c>
      <c r="J17" s="74">
        <f t="shared" si="3"/>
        <v>0</v>
      </c>
      <c r="K17" s="74">
        <f t="shared" si="4"/>
        <v>0</v>
      </c>
      <c r="L17" s="74">
        <f t="shared" si="8"/>
        <v>0</v>
      </c>
      <c r="M17" s="74">
        <f t="shared" si="9"/>
        <v>0</v>
      </c>
      <c r="O17" s="1447"/>
      <c r="P17" s="632">
        <f>P8</f>
        <v>0</v>
      </c>
      <c r="Q17" s="3" t="e">
        <f>F27*Q8</f>
        <v>#VALUE!</v>
      </c>
      <c r="R17" s="3" t="e">
        <f t="shared" ref="R17:X17" si="13">G27*R8</f>
        <v>#VALUE!</v>
      </c>
      <c r="S17" s="3" t="e">
        <f t="shared" si="13"/>
        <v>#VALUE!</v>
      </c>
      <c r="T17" s="3" t="e">
        <f t="shared" si="13"/>
        <v>#VALUE!</v>
      </c>
      <c r="U17" s="3" t="e">
        <f t="shared" si="13"/>
        <v>#VALUE!</v>
      </c>
      <c r="V17" s="3" t="e">
        <f t="shared" si="13"/>
        <v>#VALUE!</v>
      </c>
      <c r="W17" s="3" t="e">
        <f t="shared" si="13"/>
        <v>#VALUE!</v>
      </c>
      <c r="X17" s="3" t="e">
        <f t="shared" si="13"/>
        <v>#VALUE!</v>
      </c>
      <c r="Y17" s="3" t="e">
        <f t="shared" si="12"/>
        <v>#VALUE!</v>
      </c>
      <c r="AA17" s="62"/>
      <c r="AB17" s="62"/>
      <c r="AM17" s="1427"/>
      <c r="AN17" s="1423" t="s">
        <v>205</v>
      </c>
      <c r="AO17" s="1424" t="s">
        <v>43</v>
      </c>
      <c r="AP17" s="53" t="s">
        <v>169</v>
      </c>
      <c r="AQ17" s="85">
        <f t="shared" si="1"/>
        <v>0</v>
      </c>
    </row>
    <row r="18" spans="2:43">
      <c r="B18" s="1427"/>
      <c r="C18" s="1423"/>
      <c r="D18" s="1424"/>
      <c r="E18" s="53" t="s">
        <v>167</v>
      </c>
      <c r="F18" s="74">
        <f>-IF(加算と減算!M32="○",単価表!BA7*基本情報!G7,0)</f>
        <v>0</v>
      </c>
      <c r="G18" s="74">
        <f t="shared" si="2"/>
        <v>0</v>
      </c>
      <c r="H18" s="74">
        <f t="shared" si="6"/>
        <v>0</v>
      </c>
      <c r="I18" s="74">
        <f t="shared" si="7"/>
        <v>0</v>
      </c>
      <c r="J18" s="74">
        <f t="shared" si="3"/>
        <v>0</v>
      </c>
      <c r="K18" s="74">
        <f t="shared" si="4"/>
        <v>0</v>
      </c>
      <c r="L18" s="74">
        <f t="shared" si="8"/>
        <v>0</v>
      </c>
      <c r="M18" s="74">
        <f t="shared" si="9"/>
        <v>0</v>
      </c>
      <c r="O18" s="1447"/>
      <c r="P18" s="633">
        <f>P9</f>
        <v>0</v>
      </c>
      <c r="Q18" s="3" t="e">
        <f>F27*Q9</f>
        <v>#VALUE!</v>
      </c>
      <c r="R18" s="3" t="e">
        <f t="shared" ref="R18:X18" si="14">G27*R9</f>
        <v>#VALUE!</v>
      </c>
      <c r="S18" s="3" t="e">
        <f t="shared" si="14"/>
        <v>#VALUE!</v>
      </c>
      <c r="T18" s="3" t="e">
        <f t="shared" si="14"/>
        <v>#VALUE!</v>
      </c>
      <c r="U18" s="3" t="e">
        <f t="shared" si="14"/>
        <v>#VALUE!</v>
      </c>
      <c r="V18" s="3" t="e">
        <f t="shared" si="14"/>
        <v>#VALUE!</v>
      </c>
      <c r="W18" s="3" t="e">
        <f t="shared" si="14"/>
        <v>#VALUE!</v>
      </c>
      <c r="X18" s="3" t="e">
        <f t="shared" si="14"/>
        <v>#VALUE!</v>
      </c>
      <c r="Y18" s="3" t="e">
        <f t="shared" si="12"/>
        <v>#VALUE!</v>
      </c>
      <c r="AA18" s="62"/>
      <c r="AB18" s="62"/>
      <c r="AM18" s="1427"/>
      <c r="AN18" s="1423"/>
      <c r="AO18" s="1424"/>
      <c r="AP18" s="53" t="s">
        <v>167</v>
      </c>
      <c r="AQ18" s="85">
        <f t="shared" si="1"/>
        <v>0</v>
      </c>
    </row>
    <row r="19" spans="2:43">
      <c r="B19" s="1427"/>
      <c r="C19" s="1423"/>
      <c r="D19" s="371" t="s">
        <v>165</v>
      </c>
      <c r="E19" s="60"/>
      <c r="F19" s="74" t="e">
        <f t="shared" ref="F19:M19" si="15">-ROUNDDOWN((F6+F7+F11+F12+F8+F9)*$S$2/100,-1)</f>
        <v>#VALUE!</v>
      </c>
      <c r="G19" s="74" t="e">
        <f t="shared" si="15"/>
        <v>#VALUE!</v>
      </c>
      <c r="H19" s="74" t="e">
        <f t="shared" si="15"/>
        <v>#VALUE!</v>
      </c>
      <c r="I19" s="74" t="e">
        <f t="shared" si="15"/>
        <v>#VALUE!</v>
      </c>
      <c r="J19" s="74" t="e">
        <f t="shared" si="15"/>
        <v>#VALUE!</v>
      </c>
      <c r="K19" s="74" t="e">
        <f t="shared" si="15"/>
        <v>#VALUE!</v>
      </c>
      <c r="L19" s="74" t="e">
        <f t="shared" si="15"/>
        <v>#VALUE!</v>
      </c>
      <c r="M19" s="74" t="e">
        <f t="shared" si="15"/>
        <v>#VALUE!</v>
      </c>
      <c r="O19" s="1447"/>
      <c r="P19" s="634">
        <f>P10</f>
        <v>0</v>
      </c>
      <c r="Q19" s="3" t="e">
        <f>F27*Q10</f>
        <v>#VALUE!</v>
      </c>
      <c r="R19" s="3" t="e">
        <f t="shared" ref="R19:X19" si="16">G27*R10</f>
        <v>#VALUE!</v>
      </c>
      <c r="S19" s="3" t="e">
        <f t="shared" si="16"/>
        <v>#VALUE!</v>
      </c>
      <c r="T19" s="3" t="e">
        <f t="shared" si="16"/>
        <v>#VALUE!</v>
      </c>
      <c r="U19" s="3" t="e">
        <f t="shared" si="16"/>
        <v>#VALUE!</v>
      </c>
      <c r="V19" s="3" t="e">
        <f t="shared" si="16"/>
        <v>#VALUE!</v>
      </c>
      <c r="W19" s="3" t="e">
        <f t="shared" si="16"/>
        <v>#VALUE!</v>
      </c>
      <c r="X19" s="3" t="e">
        <f t="shared" si="16"/>
        <v>#VALUE!</v>
      </c>
      <c r="Y19" s="3" t="e">
        <f t="shared" si="12"/>
        <v>#VALUE!</v>
      </c>
      <c r="AA19" s="62"/>
      <c r="AB19" s="62"/>
      <c r="AM19" s="1427"/>
      <c r="AN19" s="1423"/>
      <c r="AO19" s="717" t="s">
        <v>165</v>
      </c>
      <c r="AP19" s="60"/>
      <c r="AQ19" s="85" t="e">
        <f t="shared" si="1"/>
        <v>#VALUE!</v>
      </c>
    </row>
    <row r="20" spans="2:43">
      <c r="B20" s="1427"/>
      <c r="C20" s="1423"/>
      <c r="D20" s="371" t="s">
        <v>166</v>
      </c>
      <c r="E20" s="60"/>
      <c r="F20" s="74" t="e">
        <f t="shared" ref="F20:M20" si="17">-ROUNDUP(SUM(F6:F19)*$V$2/100,-1)</f>
        <v>#VALUE!</v>
      </c>
      <c r="G20" s="74" t="e">
        <f t="shared" si="17"/>
        <v>#VALUE!</v>
      </c>
      <c r="H20" s="74" t="e">
        <f t="shared" si="17"/>
        <v>#VALUE!</v>
      </c>
      <c r="I20" s="74" t="e">
        <f t="shared" si="17"/>
        <v>#VALUE!</v>
      </c>
      <c r="J20" s="74" t="e">
        <f t="shared" si="17"/>
        <v>#VALUE!</v>
      </c>
      <c r="K20" s="74" t="e">
        <f t="shared" si="17"/>
        <v>#VALUE!</v>
      </c>
      <c r="L20" s="74" t="e">
        <f t="shared" si="17"/>
        <v>#VALUE!</v>
      </c>
      <c r="M20" s="74" t="e">
        <f t="shared" si="17"/>
        <v>#VALUE!</v>
      </c>
      <c r="O20" s="1448"/>
      <c r="P20" s="635" t="s">
        <v>36</v>
      </c>
      <c r="Q20" s="3" t="e">
        <f>SUM(Q15:Q19)</f>
        <v>#VALUE!</v>
      </c>
      <c r="R20" s="3" t="e">
        <f t="shared" ref="R20:Y20" si="18">SUM(R15:R19)</f>
        <v>#VALUE!</v>
      </c>
      <c r="S20" s="3" t="e">
        <f t="shared" si="18"/>
        <v>#VALUE!</v>
      </c>
      <c r="T20" s="3" t="e">
        <f t="shared" si="18"/>
        <v>#VALUE!</v>
      </c>
      <c r="U20" s="3" t="e">
        <f t="shared" si="18"/>
        <v>#VALUE!</v>
      </c>
      <c r="V20" s="3" t="e">
        <f t="shared" si="18"/>
        <v>#VALUE!</v>
      </c>
      <c r="W20" s="3" t="e">
        <f t="shared" si="18"/>
        <v>#VALUE!</v>
      </c>
      <c r="X20" s="3" t="e">
        <f t="shared" si="18"/>
        <v>#VALUE!</v>
      </c>
      <c r="Y20" s="3" t="e">
        <f t="shared" si="18"/>
        <v>#VALUE!</v>
      </c>
      <c r="AA20" s="62"/>
      <c r="AB20" s="62"/>
      <c r="AM20" s="1427"/>
      <c r="AN20" s="1423"/>
      <c r="AO20" s="717" t="s">
        <v>166</v>
      </c>
      <c r="AP20" s="60"/>
      <c r="AQ20" s="85" t="e">
        <f t="shared" si="1"/>
        <v>#VALUE!</v>
      </c>
    </row>
    <row r="21" spans="2:43" ht="15" customHeight="1">
      <c r="B21" s="1427"/>
      <c r="C21" s="1419" t="s">
        <v>204</v>
      </c>
      <c r="D21" s="366" t="s">
        <v>18</v>
      </c>
      <c r="E21" s="59"/>
      <c r="F21" s="3">
        <f>IF(K2=0,0,IF(加算と減算!M13="",0,ROUNDDOWN(加算と減算!U13/'12月'!$K$2,-1)))</f>
        <v>0</v>
      </c>
      <c r="G21" s="3">
        <f>F21</f>
        <v>0</v>
      </c>
      <c r="H21" s="3">
        <f t="shared" ref="H21:M21" si="19">G21</f>
        <v>0</v>
      </c>
      <c r="I21" s="3">
        <f t="shared" si="19"/>
        <v>0</v>
      </c>
      <c r="J21" s="3">
        <f t="shared" si="19"/>
        <v>0</v>
      </c>
      <c r="K21" s="3">
        <f t="shared" si="19"/>
        <v>0</v>
      </c>
      <c r="L21" s="3">
        <f t="shared" si="19"/>
        <v>0</v>
      </c>
      <c r="M21" s="3">
        <f t="shared" si="19"/>
        <v>0</v>
      </c>
      <c r="O21" s="76"/>
      <c r="P21" s="636"/>
      <c r="Q21" s="54"/>
      <c r="R21" s="54"/>
      <c r="S21" s="9"/>
      <c r="T21" s="9"/>
      <c r="U21" s="54"/>
      <c r="V21" s="54"/>
      <c r="W21" s="10"/>
      <c r="X21" s="10"/>
      <c r="Y21" s="10"/>
      <c r="AA21" s="62"/>
      <c r="AB21" s="62"/>
      <c r="AM21" s="1427"/>
      <c r="AN21" s="1419" t="s">
        <v>204</v>
      </c>
      <c r="AO21" s="720" t="s">
        <v>18</v>
      </c>
      <c r="AP21" s="732" t="s">
        <v>559</v>
      </c>
      <c r="AQ21" s="85">
        <f t="shared" si="1"/>
        <v>0</v>
      </c>
    </row>
    <row r="22" spans="2:43" ht="15" customHeight="1">
      <c r="B22" s="1427"/>
      <c r="C22" s="1420"/>
      <c r="D22" s="366" t="s">
        <v>62</v>
      </c>
      <c r="E22" s="59"/>
      <c r="F22" s="3">
        <f>IF(K2=0,0,ROUNDDOWN(IF(加算と減算!M14="○",加算と減算!U14,IF(加算と減算!M15="○",加算と減算!U15,0))/K2,-1))</f>
        <v>0</v>
      </c>
      <c r="G22" s="3">
        <f t="shared" ref="G22:M26" si="20">F22</f>
        <v>0</v>
      </c>
      <c r="H22" s="3">
        <f t="shared" si="20"/>
        <v>0</v>
      </c>
      <c r="I22" s="3">
        <f t="shared" si="20"/>
        <v>0</v>
      </c>
      <c r="J22" s="3">
        <f t="shared" si="20"/>
        <v>0</v>
      </c>
      <c r="K22" s="3">
        <f t="shared" si="20"/>
        <v>0</v>
      </c>
      <c r="L22" s="3">
        <f t="shared" si="20"/>
        <v>0</v>
      </c>
      <c r="M22" s="3">
        <f>L22</f>
        <v>0</v>
      </c>
      <c r="O22" s="1443" t="s">
        <v>180</v>
      </c>
      <c r="P22" s="367" t="s">
        <v>171</v>
      </c>
      <c r="Q22" s="368" t="s">
        <v>178</v>
      </c>
      <c r="R22" s="367" t="s">
        <v>179</v>
      </c>
      <c r="S22" s="4"/>
      <c r="T22" s="1443" t="s">
        <v>188</v>
      </c>
      <c r="U22" s="367" t="s">
        <v>171</v>
      </c>
      <c r="V22" s="40" t="s">
        <v>179</v>
      </c>
      <c r="AA22" s="62"/>
      <c r="AB22" s="62"/>
      <c r="AM22" s="1427"/>
      <c r="AN22" s="1420"/>
      <c r="AO22" s="720" t="s">
        <v>62</v>
      </c>
      <c r="AP22" s="732" t="s">
        <v>559</v>
      </c>
      <c r="AQ22" s="85">
        <f t="shared" si="1"/>
        <v>0</v>
      </c>
    </row>
    <row r="23" spans="2:43" ht="16.5">
      <c r="B23" s="1427"/>
      <c r="C23" s="1420"/>
      <c r="D23" s="366" t="s">
        <v>19</v>
      </c>
      <c r="E23" s="59"/>
      <c r="F23" s="3">
        <f>IF(K2=0,0,IF(加算と減算!M16="",0,ROUNDDOWN(加算と減算!U16/'12月'!$K$2,-1)))</f>
        <v>0</v>
      </c>
      <c r="G23" s="3">
        <f t="shared" si="20"/>
        <v>0</v>
      </c>
      <c r="H23" s="3">
        <f t="shared" si="20"/>
        <v>0</v>
      </c>
      <c r="I23" s="3">
        <f t="shared" si="20"/>
        <v>0</v>
      </c>
      <c r="J23" s="3">
        <f t="shared" si="20"/>
        <v>0</v>
      </c>
      <c r="K23" s="3">
        <f t="shared" si="20"/>
        <v>0</v>
      </c>
      <c r="L23" s="3">
        <f t="shared" si="20"/>
        <v>0</v>
      </c>
      <c r="M23" s="3">
        <f t="shared" si="20"/>
        <v>0</v>
      </c>
      <c r="O23" s="1447"/>
      <c r="P23" s="630">
        <f>P6</f>
        <v>0</v>
      </c>
      <c r="Q23" s="3">
        <f>児童数!AE30</f>
        <v>0</v>
      </c>
      <c r="R23" s="64">
        <f>4500*Q23</f>
        <v>0</v>
      </c>
      <c r="S23" s="4"/>
      <c r="T23" s="1447"/>
      <c r="U23" s="630">
        <f>P6</f>
        <v>0</v>
      </c>
      <c r="V23" s="65" t="e">
        <f>Y15+R23</f>
        <v>#VALUE!</v>
      </c>
      <c r="AA23" s="62"/>
      <c r="AB23" s="62"/>
      <c r="AM23" s="1427"/>
      <c r="AN23" s="1420"/>
      <c r="AO23" s="720" t="s">
        <v>19</v>
      </c>
      <c r="AP23" s="732" t="s">
        <v>559</v>
      </c>
      <c r="AQ23" s="85">
        <f t="shared" si="1"/>
        <v>0</v>
      </c>
    </row>
    <row r="24" spans="2:43" ht="16.5">
      <c r="B24" s="1427"/>
      <c r="C24" s="1420"/>
      <c r="D24" s="366" t="s">
        <v>41</v>
      </c>
      <c r="E24" s="59"/>
      <c r="F24" s="3">
        <f>IF(K2=0,0,IF(加算と減算!D17="",0,ROUNDDOWN(加算と減算!U17/'12月'!$K$2,-1)))</f>
        <v>0</v>
      </c>
      <c r="G24" s="3">
        <f t="shared" si="20"/>
        <v>0</v>
      </c>
      <c r="H24" s="3">
        <f t="shared" si="20"/>
        <v>0</v>
      </c>
      <c r="I24" s="3">
        <f t="shared" si="20"/>
        <v>0</v>
      </c>
      <c r="J24" s="3">
        <f t="shared" si="20"/>
        <v>0</v>
      </c>
      <c r="K24" s="3">
        <f t="shared" si="20"/>
        <v>0</v>
      </c>
      <c r="L24" s="3">
        <f t="shared" si="20"/>
        <v>0</v>
      </c>
      <c r="M24" s="3">
        <f t="shared" si="20"/>
        <v>0</v>
      </c>
      <c r="O24" s="1447"/>
      <c r="P24" s="631">
        <f>P7</f>
        <v>0</v>
      </c>
      <c r="Q24" s="3">
        <f>児童数!AE44</f>
        <v>0</v>
      </c>
      <c r="R24" s="64">
        <f t="shared" ref="R24:R27" si="21">4500*Q24</f>
        <v>0</v>
      </c>
      <c r="S24" s="4"/>
      <c r="T24" s="1447"/>
      <c r="U24" s="631">
        <f>P7</f>
        <v>0</v>
      </c>
      <c r="V24" s="66" t="e">
        <f>Y16+R24</f>
        <v>#VALUE!</v>
      </c>
      <c r="AA24" s="62"/>
      <c r="AB24" s="62"/>
      <c r="AM24" s="1427"/>
      <c r="AN24" s="1420"/>
      <c r="AO24" s="720" t="s">
        <v>41</v>
      </c>
      <c r="AP24" s="732" t="s">
        <v>559</v>
      </c>
      <c r="AQ24" s="85">
        <f t="shared" si="1"/>
        <v>0</v>
      </c>
    </row>
    <row r="25" spans="2:43" ht="16.5">
      <c r="B25" s="1427"/>
      <c r="C25" s="1420"/>
      <c r="D25" s="366" t="s">
        <v>42</v>
      </c>
      <c r="E25" s="59"/>
      <c r="F25" s="3" t="str">
        <f>加算と減算!U18</f>
        <v/>
      </c>
      <c r="G25" s="3" t="str">
        <f t="shared" si="20"/>
        <v/>
      </c>
      <c r="H25" s="3" t="str">
        <f t="shared" si="20"/>
        <v/>
      </c>
      <c r="I25" s="3" t="str">
        <f t="shared" si="20"/>
        <v/>
      </c>
      <c r="J25" s="3" t="str">
        <f t="shared" si="20"/>
        <v/>
      </c>
      <c r="K25" s="3" t="str">
        <f t="shared" si="20"/>
        <v/>
      </c>
      <c r="L25" s="3" t="str">
        <f t="shared" si="20"/>
        <v/>
      </c>
      <c r="M25" s="3" t="str">
        <f t="shared" si="20"/>
        <v/>
      </c>
      <c r="O25" s="1447"/>
      <c r="P25" s="632">
        <f>P8</f>
        <v>0</v>
      </c>
      <c r="Q25" s="3">
        <f>児童数!AE58</f>
        <v>0</v>
      </c>
      <c r="R25" s="64">
        <f t="shared" si="21"/>
        <v>0</v>
      </c>
      <c r="S25" s="4"/>
      <c r="T25" s="1447"/>
      <c r="U25" s="632">
        <f>P8</f>
        <v>0</v>
      </c>
      <c r="V25" s="67" t="e">
        <f>Y17+R25</f>
        <v>#VALUE!</v>
      </c>
      <c r="AA25" s="62"/>
      <c r="AB25" s="62"/>
      <c r="AM25" s="1427"/>
      <c r="AN25" s="1420"/>
      <c r="AO25" s="718" t="s">
        <v>42</v>
      </c>
      <c r="AP25" s="731" t="s">
        <v>353</v>
      </c>
      <c r="AQ25" s="85">
        <f t="shared" si="1"/>
        <v>0</v>
      </c>
    </row>
    <row r="26" spans="2:43" ht="16.5">
      <c r="B26" s="1427"/>
      <c r="C26" s="1421"/>
      <c r="D26" s="366" t="s">
        <v>80</v>
      </c>
      <c r="E26" s="59"/>
      <c r="F26" s="3">
        <f>IF(K2=0,0,ROUNDDOWN(IF(加算と減算!M26="○",加算と減算!U26,IF(加算と減算!M27="○",加算と減算!U27,IF(加算と減算!M28="○",加算と減算!U28,0)))/K2,-1))</f>
        <v>0</v>
      </c>
      <c r="G26" s="3">
        <f t="shared" si="20"/>
        <v>0</v>
      </c>
      <c r="H26" s="3">
        <f t="shared" si="20"/>
        <v>0</v>
      </c>
      <c r="I26" s="3">
        <f t="shared" si="20"/>
        <v>0</v>
      </c>
      <c r="J26" s="3">
        <f t="shared" si="20"/>
        <v>0</v>
      </c>
      <c r="K26" s="3">
        <f t="shared" si="20"/>
        <v>0</v>
      </c>
      <c r="L26" s="3">
        <f t="shared" si="20"/>
        <v>0</v>
      </c>
      <c r="M26" s="3">
        <f t="shared" si="20"/>
        <v>0</v>
      </c>
      <c r="O26" s="1447"/>
      <c r="P26" s="633">
        <f>P9</f>
        <v>0</v>
      </c>
      <c r="Q26" s="3">
        <f>児童数!AE72</f>
        <v>0</v>
      </c>
      <c r="R26" s="64">
        <f t="shared" si="21"/>
        <v>0</v>
      </c>
      <c r="S26" s="4"/>
      <c r="T26" s="1447"/>
      <c r="U26" s="633">
        <f>P9</f>
        <v>0</v>
      </c>
      <c r="V26" s="68" t="e">
        <f>Y18+R26</f>
        <v>#VALUE!</v>
      </c>
      <c r="AA26" s="62"/>
      <c r="AB26" s="62"/>
      <c r="AM26" s="1427"/>
      <c r="AN26" s="1421"/>
      <c r="AO26" s="720" t="s">
        <v>80</v>
      </c>
      <c r="AP26" s="731" t="s">
        <v>353</v>
      </c>
      <c r="AQ26" s="85">
        <f t="shared" si="1"/>
        <v>0</v>
      </c>
    </row>
    <row r="27" spans="2:43" ht="18.75" customHeight="1" thickBot="1">
      <c r="B27" s="1428"/>
      <c r="C27" s="1410" t="s">
        <v>44</v>
      </c>
      <c r="D27" s="1411"/>
      <c r="E27" s="53"/>
      <c r="F27" s="5" t="e">
        <f t="shared" ref="F27:M27" si="22">SUM(F6:F26)</f>
        <v>#VALUE!</v>
      </c>
      <c r="G27" s="5" t="e">
        <f t="shared" si="22"/>
        <v>#VALUE!</v>
      </c>
      <c r="H27" s="5" t="e">
        <f t="shared" si="22"/>
        <v>#VALUE!</v>
      </c>
      <c r="I27" s="5" t="e">
        <f t="shared" si="22"/>
        <v>#VALUE!</v>
      </c>
      <c r="J27" s="5" t="e">
        <f t="shared" si="22"/>
        <v>#VALUE!</v>
      </c>
      <c r="K27" s="5" t="e">
        <f t="shared" si="22"/>
        <v>#VALUE!</v>
      </c>
      <c r="L27" s="5" t="e">
        <f t="shared" si="22"/>
        <v>#VALUE!</v>
      </c>
      <c r="M27" s="5" t="e">
        <f t="shared" si="22"/>
        <v>#VALUE!</v>
      </c>
      <c r="O27" s="1447"/>
      <c r="P27" s="634">
        <f>P10</f>
        <v>0</v>
      </c>
      <c r="Q27" s="3">
        <f>児童数!AE86</f>
        <v>0</v>
      </c>
      <c r="R27" s="64">
        <f t="shared" si="21"/>
        <v>0</v>
      </c>
      <c r="S27" s="4"/>
      <c r="T27" s="1447"/>
      <c r="U27" s="634">
        <f>P10</f>
        <v>0</v>
      </c>
      <c r="V27" s="69" t="e">
        <f>Y19+R27</f>
        <v>#VALUE!</v>
      </c>
      <c r="AA27" s="62"/>
      <c r="AB27" s="62"/>
      <c r="AM27" s="1428"/>
      <c r="AN27" s="1425" t="s">
        <v>562</v>
      </c>
      <c r="AO27" s="1425"/>
      <c r="AP27" s="733" t="s">
        <v>376</v>
      </c>
      <c r="AQ27" s="85">
        <f>R28</f>
        <v>0</v>
      </c>
    </row>
    <row r="28" spans="2:43" ht="15.75" thickBot="1">
      <c r="B28" s="263"/>
      <c r="C28" s="58"/>
      <c r="D28" s="58"/>
      <c r="E28" s="58" t="s">
        <v>167</v>
      </c>
      <c r="F28" s="7" t="e">
        <f>F7+F9+F12+F16+F18</f>
        <v>#VALUE!</v>
      </c>
      <c r="G28" s="7" t="e">
        <f t="shared" ref="G28:M28" si="23">G7+G9+G12+G16+G18</f>
        <v>#VALUE!</v>
      </c>
      <c r="H28" s="7" t="e">
        <f t="shared" si="23"/>
        <v>#VALUE!</v>
      </c>
      <c r="I28" s="7" t="e">
        <f t="shared" si="23"/>
        <v>#VALUE!</v>
      </c>
      <c r="J28" s="7" t="e">
        <f t="shared" si="23"/>
        <v>#VALUE!</v>
      </c>
      <c r="K28" s="7" t="e">
        <f>K7+K9+K12+K16+K18</f>
        <v>#VALUE!</v>
      </c>
      <c r="L28" s="7" t="e">
        <f>L7+L9+L12+L16+L18</f>
        <v>#VALUE!</v>
      </c>
      <c r="M28" s="7" t="e">
        <f t="shared" si="23"/>
        <v>#VALUE!</v>
      </c>
      <c r="O28" s="1448"/>
      <c r="P28" s="635" t="s">
        <v>36</v>
      </c>
      <c r="Q28" s="3">
        <f>SUM(Q23:Q27)</f>
        <v>0</v>
      </c>
      <c r="R28" s="3">
        <f>SUM(R23:R27)</f>
        <v>0</v>
      </c>
      <c r="S28" s="4"/>
      <c r="T28" s="1448"/>
      <c r="U28" s="635" t="s">
        <v>36</v>
      </c>
      <c r="V28" s="70" t="e">
        <f>SUM(V23:V27)</f>
        <v>#VALUE!</v>
      </c>
      <c r="AA28" s="62"/>
      <c r="AB28" s="62"/>
      <c r="AG28" s="288" t="e">
        <f>SUMPRODUCT(F28:M28,Q11:X11)</f>
        <v>#VALUE!</v>
      </c>
      <c r="AM28" s="263"/>
      <c r="AN28" s="1410" t="s">
        <v>44</v>
      </c>
      <c r="AO28" s="1411"/>
      <c r="AP28" s="53"/>
      <c r="AQ28" s="85" t="e">
        <f>SUM(AQ6:AQ27)</f>
        <v>#VALUE!</v>
      </c>
    </row>
    <row r="29" spans="2:43" ht="15" customHeight="1">
      <c r="E29" s="1020" t="s">
        <v>703</v>
      </c>
      <c r="F29" s="264" t="e">
        <f>-ROUNDUP(SUM(F6:F9,F11:F19)*$V$2/100,-1)</f>
        <v>#VALUE!</v>
      </c>
      <c r="G29" s="264" t="e">
        <f t="shared" ref="G29:M29" si="24">-ROUNDUP(SUM(G6:G9,G11:G19)*$V$2/100,-1)</f>
        <v>#VALUE!</v>
      </c>
      <c r="H29" s="264" t="e">
        <f t="shared" si="24"/>
        <v>#VALUE!</v>
      </c>
      <c r="I29" s="264" t="e">
        <f t="shared" si="24"/>
        <v>#VALUE!</v>
      </c>
      <c r="J29" s="264" t="e">
        <f t="shared" si="24"/>
        <v>#VALUE!</v>
      </c>
      <c r="K29" s="264" t="e">
        <f t="shared" si="24"/>
        <v>#VALUE!</v>
      </c>
      <c r="L29" s="264" t="e">
        <f t="shared" si="24"/>
        <v>#VALUE!</v>
      </c>
      <c r="M29" s="264" t="e">
        <f t="shared" si="24"/>
        <v>#VALUE!</v>
      </c>
      <c r="O29" s="637"/>
      <c r="P29" s="637"/>
      <c r="Q29" s="637"/>
      <c r="R29" s="637"/>
      <c r="S29" s="637"/>
      <c r="T29" s="637"/>
      <c r="U29" s="637"/>
      <c r="V29" s="63"/>
      <c r="AA29" s="62"/>
      <c r="AB29" s="62"/>
      <c r="AO29" s="1"/>
      <c r="AP29" s="57"/>
    </row>
    <row r="30" spans="2:43" ht="15" customHeight="1">
      <c r="B30" s="1412" t="s">
        <v>3</v>
      </c>
      <c r="C30" s="1415"/>
      <c r="D30" s="1415"/>
      <c r="E30" s="1416" t="s">
        <v>172</v>
      </c>
      <c r="F30" s="1418" t="s">
        <v>15</v>
      </c>
      <c r="G30" s="1418"/>
      <c r="H30" s="1418"/>
      <c r="I30" s="1418"/>
      <c r="J30" s="1418" t="s">
        <v>16</v>
      </c>
      <c r="K30" s="1418"/>
      <c r="L30" s="1418"/>
      <c r="M30" s="1418"/>
      <c r="O30" s="1449" t="s">
        <v>40</v>
      </c>
      <c r="P30" s="1446" t="s">
        <v>171</v>
      </c>
      <c r="Q30" s="1440" t="s">
        <v>15</v>
      </c>
      <c r="R30" s="1440"/>
      <c r="S30" s="1440"/>
      <c r="T30" s="1440"/>
      <c r="U30" s="1440" t="s">
        <v>16</v>
      </c>
      <c r="V30" s="1440"/>
      <c r="W30" s="1440"/>
      <c r="X30" s="1440"/>
      <c r="Y30" s="1441" t="s">
        <v>177</v>
      </c>
      <c r="Z30" s="11"/>
      <c r="AA30" s="57"/>
      <c r="AB30" s="62"/>
      <c r="AM30" s="1412" t="s">
        <v>3</v>
      </c>
      <c r="AN30" s="1415"/>
      <c r="AO30" s="1415"/>
      <c r="AP30" s="1416" t="s">
        <v>172</v>
      </c>
      <c r="AQ30" s="85"/>
    </row>
    <row r="31" spans="2:43" s="1" customFormat="1">
      <c r="B31" s="1413"/>
      <c r="C31" s="1415"/>
      <c r="D31" s="1415"/>
      <c r="E31" s="1417"/>
      <c r="F31" s="370" t="s">
        <v>6</v>
      </c>
      <c r="G31" s="370" t="s">
        <v>7</v>
      </c>
      <c r="H31" s="370" t="s">
        <v>8</v>
      </c>
      <c r="I31" s="370" t="s">
        <v>9</v>
      </c>
      <c r="J31" s="370" t="s">
        <v>6</v>
      </c>
      <c r="K31" s="370" t="s">
        <v>7</v>
      </c>
      <c r="L31" s="370" t="s">
        <v>8</v>
      </c>
      <c r="M31" s="370" t="s">
        <v>9</v>
      </c>
      <c r="N31" s="2"/>
      <c r="O31" s="1444"/>
      <c r="P31" s="1446"/>
      <c r="Q31" s="368" t="s">
        <v>6</v>
      </c>
      <c r="R31" s="368" t="s">
        <v>7</v>
      </c>
      <c r="S31" s="368" t="s">
        <v>8</v>
      </c>
      <c r="T31" s="368" t="s">
        <v>9</v>
      </c>
      <c r="U31" s="368" t="s">
        <v>6</v>
      </c>
      <c r="V31" s="368" t="s">
        <v>7</v>
      </c>
      <c r="W31" s="368" t="s">
        <v>8</v>
      </c>
      <c r="X31" s="368" t="s">
        <v>9</v>
      </c>
      <c r="Y31" s="1442"/>
      <c r="Z31" s="11"/>
      <c r="AA31" s="57"/>
      <c r="AB31" s="57"/>
      <c r="AE31" s="2"/>
      <c r="AM31" s="1413"/>
      <c r="AN31" s="1415"/>
      <c r="AO31" s="1415"/>
      <c r="AP31" s="1417"/>
      <c r="AQ31" s="85"/>
    </row>
    <row r="32" spans="2:43" s="1" customFormat="1">
      <c r="B32" s="1413"/>
      <c r="C32" s="1418" t="s">
        <v>17</v>
      </c>
      <c r="D32" s="1418"/>
      <c r="E32" s="53" t="s">
        <v>169</v>
      </c>
      <c r="F32" s="3">
        <f>単価表!AV23</f>
        <v>0</v>
      </c>
      <c r="G32" s="3">
        <f>単価表!AV25</f>
        <v>0</v>
      </c>
      <c r="H32" s="3">
        <f>単価表!AV27</f>
        <v>0</v>
      </c>
      <c r="I32" s="3">
        <f>単価表!AV29</f>
        <v>0</v>
      </c>
      <c r="J32" s="3">
        <f>単価表!AW23</f>
        <v>0</v>
      </c>
      <c r="K32" s="3">
        <f>単価表!AW25</f>
        <v>0</v>
      </c>
      <c r="L32" s="3">
        <f>単価表!AW27</f>
        <v>0</v>
      </c>
      <c r="M32" s="3">
        <f>単価表!AW29</f>
        <v>0</v>
      </c>
      <c r="O32" s="1444"/>
      <c r="P32" s="630">
        <f>P6</f>
        <v>0</v>
      </c>
      <c r="Q32" s="3">
        <f>児童数!R30</f>
        <v>0</v>
      </c>
      <c r="R32" s="3">
        <f>児童数!S30</f>
        <v>0</v>
      </c>
      <c r="S32" s="3">
        <f>児童数!T30</f>
        <v>0</v>
      </c>
      <c r="T32" s="3">
        <f>児童数!U30</f>
        <v>0</v>
      </c>
      <c r="U32" s="3">
        <f>児童数!W30</f>
        <v>0</v>
      </c>
      <c r="V32" s="3">
        <f>児童数!X30</f>
        <v>0</v>
      </c>
      <c r="W32" s="3">
        <f>児童数!Y30</f>
        <v>0</v>
      </c>
      <c r="X32" s="3">
        <f>児童数!Z30</f>
        <v>0</v>
      </c>
      <c r="Y32" s="64">
        <f>SUM(Q32:X32)</f>
        <v>0</v>
      </c>
      <c r="Z32" s="2"/>
      <c r="AA32" s="57"/>
      <c r="AB32" s="57"/>
      <c r="AM32" s="1413"/>
      <c r="AN32" s="1418" t="s">
        <v>17</v>
      </c>
      <c r="AO32" s="1418"/>
      <c r="AP32" s="53" t="s">
        <v>169</v>
      </c>
      <c r="AQ32" s="85">
        <f>SUMPRODUCT(F32:M32,$Q$37:$X$37)</f>
        <v>0</v>
      </c>
    </row>
    <row r="33" spans="2:43" s="1" customFormat="1" ht="15" customHeight="1">
      <c r="B33" s="1413"/>
      <c r="C33" s="1418"/>
      <c r="D33" s="1418"/>
      <c r="E33" s="53" t="s">
        <v>167</v>
      </c>
      <c r="F33" s="3">
        <f>単価表!AX23*基本情報!G7</f>
        <v>0</v>
      </c>
      <c r="G33" s="3">
        <f>単価表!AX25*基本情報!G7</f>
        <v>0</v>
      </c>
      <c r="H33" s="3">
        <f>単価表!AX27*基本情報!G7</f>
        <v>0</v>
      </c>
      <c r="I33" s="3">
        <f>単価表!AX29*基本情報!G7</f>
        <v>0</v>
      </c>
      <c r="J33" s="3">
        <f>単価表!AY23*基本情報!G7</f>
        <v>0</v>
      </c>
      <c r="K33" s="3">
        <f>単価表!AY25*基本情報!G7</f>
        <v>0</v>
      </c>
      <c r="L33" s="3">
        <f>単価表!AY27*基本情報!G7</f>
        <v>0</v>
      </c>
      <c r="M33" s="3">
        <f>単価表!AY29*基本情報!G7</f>
        <v>0</v>
      </c>
      <c r="O33" s="1444"/>
      <c r="P33" s="631">
        <f>P7</f>
        <v>0</v>
      </c>
      <c r="Q33" s="3">
        <f>児童数!R44</f>
        <v>0</v>
      </c>
      <c r="R33" s="3">
        <f>児童数!S44</f>
        <v>0</v>
      </c>
      <c r="S33" s="3">
        <f>児童数!T44</f>
        <v>0</v>
      </c>
      <c r="T33" s="3">
        <f>児童数!U44</f>
        <v>0</v>
      </c>
      <c r="U33" s="3">
        <f>児童数!W44</f>
        <v>0</v>
      </c>
      <c r="V33" s="3">
        <f>児童数!X44</f>
        <v>0</v>
      </c>
      <c r="W33" s="3">
        <f>児童数!Y44</f>
        <v>0</v>
      </c>
      <c r="X33" s="3">
        <f>児童数!Z44</f>
        <v>0</v>
      </c>
      <c r="Y33" s="64">
        <f t="shared" ref="Y33:Y36" si="25">SUM(Q33:X33)</f>
        <v>0</v>
      </c>
      <c r="Z33" s="2"/>
      <c r="AA33" s="62"/>
      <c r="AB33" s="57"/>
      <c r="AM33" s="1413"/>
      <c r="AN33" s="1418"/>
      <c r="AO33" s="1418"/>
      <c r="AP33" s="53" t="s">
        <v>167</v>
      </c>
      <c r="AQ33" s="85">
        <f t="shared" ref="AQ33:AQ53" si="26">SUMPRODUCT(F33:M33,$Q$37:$X$37)</f>
        <v>0</v>
      </c>
    </row>
    <row r="34" spans="2:43" ht="16.5">
      <c r="B34" s="1413"/>
      <c r="C34" s="1419" t="s">
        <v>203</v>
      </c>
      <c r="D34" s="1422" t="s">
        <v>37</v>
      </c>
      <c r="E34" s="53" t="s">
        <v>169</v>
      </c>
      <c r="F34" s="6"/>
      <c r="G34" s="3">
        <f>IF(基本情報!E5="",0,G8)</f>
        <v>0</v>
      </c>
      <c r="H34" s="6"/>
      <c r="I34" s="6"/>
      <c r="J34" s="6"/>
      <c r="K34" s="3">
        <f>IF(基本情報!E5="",0,K8)</f>
        <v>0</v>
      </c>
      <c r="L34" s="6"/>
      <c r="M34" s="6"/>
      <c r="N34" s="1"/>
      <c r="O34" s="1444"/>
      <c r="P34" s="632">
        <f>P8</f>
        <v>0</v>
      </c>
      <c r="Q34" s="3">
        <f>児童数!R58</f>
        <v>0</v>
      </c>
      <c r="R34" s="3">
        <f>児童数!S58</f>
        <v>0</v>
      </c>
      <c r="S34" s="3">
        <f>児童数!T58</f>
        <v>0</v>
      </c>
      <c r="T34" s="3">
        <f>児童数!U58</f>
        <v>0</v>
      </c>
      <c r="U34" s="3">
        <f>児童数!W58</f>
        <v>0</v>
      </c>
      <c r="V34" s="3">
        <f>児童数!X58</f>
        <v>0</v>
      </c>
      <c r="W34" s="3">
        <f>児童数!Y58</f>
        <v>0</v>
      </c>
      <c r="X34" s="3">
        <f>児童数!Z58</f>
        <v>0</v>
      </c>
      <c r="Y34" s="64">
        <f t="shared" si="25"/>
        <v>0</v>
      </c>
      <c r="AA34" s="62"/>
      <c r="AB34" s="62"/>
      <c r="AE34" s="1"/>
      <c r="AM34" s="1413"/>
      <c r="AN34" s="1419" t="s">
        <v>203</v>
      </c>
      <c r="AO34" s="1422" t="s">
        <v>37</v>
      </c>
      <c r="AP34" s="732" t="s">
        <v>559</v>
      </c>
      <c r="AQ34" s="85">
        <f t="shared" si="26"/>
        <v>0</v>
      </c>
    </row>
    <row r="35" spans="2:43">
      <c r="B35" s="1413"/>
      <c r="C35" s="1420"/>
      <c r="D35" s="1422"/>
      <c r="E35" s="53" t="s">
        <v>167</v>
      </c>
      <c r="F35" s="6"/>
      <c r="G35" s="3">
        <f>IF(基本情報!E5="",0,G9)</f>
        <v>0</v>
      </c>
      <c r="H35" s="6"/>
      <c r="I35" s="6"/>
      <c r="J35" s="6"/>
      <c r="K35" s="3">
        <f>IF(基本情報!E5="",0,K9)</f>
        <v>0</v>
      </c>
      <c r="L35" s="6"/>
      <c r="M35" s="6"/>
      <c r="O35" s="1444"/>
      <c r="P35" s="633">
        <f>P9</f>
        <v>0</v>
      </c>
      <c r="Q35" s="3">
        <f>児童数!R72</f>
        <v>0</v>
      </c>
      <c r="R35" s="3">
        <f>児童数!S72</f>
        <v>0</v>
      </c>
      <c r="S35" s="3">
        <f>児童数!T72</f>
        <v>0</v>
      </c>
      <c r="T35" s="3">
        <f>児童数!U72</f>
        <v>0</v>
      </c>
      <c r="U35" s="3">
        <f>児童数!W72</f>
        <v>0</v>
      </c>
      <c r="V35" s="3">
        <f>児童数!X72</f>
        <v>0</v>
      </c>
      <c r="W35" s="3">
        <f>児童数!Y72</f>
        <v>0</v>
      </c>
      <c r="X35" s="3">
        <f>児童数!Z72</f>
        <v>0</v>
      </c>
      <c r="Y35" s="64">
        <f t="shared" si="25"/>
        <v>0</v>
      </c>
      <c r="AA35" s="62"/>
      <c r="AB35" s="62"/>
      <c r="AM35" s="1413"/>
      <c r="AN35" s="1420"/>
      <c r="AO35" s="1422"/>
      <c r="AP35" s="53" t="s">
        <v>167</v>
      </c>
      <c r="AQ35" s="85">
        <f t="shared" si="26"/>
        <v>0</v>
      </c>
    </row>
    <row r="36" spans="2:43">
      <c r="B36" s="1413"/>
      <c r="C36" s="1420"/>
      <c r="D36" s="383" t="s">
        <v>69</v>
      </c>
      <c r="E36" s="60"/>
      <c r="F36" s="3">
        <f>IF(基本情報!E5="",0,F10)</f>
        <v>0</v>
      </c>
      <c r="G36" s="3">
        <f>$F36</f>
        <v>0</v>
      </c>
      <c r="H36" s="3">
        <f t="shared" ref="H36:L36" si="27">$F36</f>
        <v>0</v>
      </c>
      <c r="I36" s="3">
        <f t="shared" si="27"/>
        <v>0</v>
      </c>
      <c r="J36" s="3">
        <f t="shared" si="27"/>
        <v>0</v>
      </c>
      <c r="K36" s="3">
        <f t="shared" si="27"/>
        <v>0</v>
      </c>
      <c r="L36" s="3">
        <f t="shared" si="27"/>
        <v>0</v>
      </c>
      <c r="M36" s="3">
        <f>$F36</f>
        <v>0</v>
      </c>
      <c r="O36" s="1444"/>
      <c r="P36" s="634">
        <f>P10</f>
        <v>0</v>
      </c>
      <c r="Q36" s="3">
        <f>児童数!R86</f>
        <v>0</v>
      </c>
      <c r="R36" s="3">
        <f>児童数!S86</f>
        <v>0</v>
      </c>
      <c r="S36" s="3">
        <f>児童数!T86</f>
        <v>0</v>
      </c>
      <c r="T36" s="3">
        <f>児童数!U86</f>
        <v>0</v>
      </c>
      <c r="U36" s="3">
        <f>児童数!W86</f>
        <v>0</v>
      </c>
      <c r="V36" s="3">
        <f>児童数!X86</f>
        <v>0</v>
      </c>
      <c r="W36" s="3">
        <f>児童数!Y86</f>
        <v>0</v>
      </c>
      <c r="X36" s="3">
        <f>児童数!Z86</f>
        <v>0</v>
      </c>
      <c r="Y36" s="64">
        <f t="shared" si="25"/>
        <v>0</v>
      </c>
      <c r="AA36" s="62"/>
      <c r="AB36" s="62"/>
      <c r="AM36" s="1413"/>
      <c r="AN36" s="1420"/>
      <c r="AO36" s="383" t="s">
        <v>69</v>
      </c>
      <c r="AP36" s="629"/>
      <c r="AQ36" s="85">
        <f t="shared" si="26"/>
        <v>0</v>
      </c>
    </row>
    <row r="37" spans="2:43">
      <c r="B37" s="1413"/>
      <c r="C37" s="1420"/>
      <c r="D37" s="1422" t="s">
        <v>161</v>
      </c>
      <c r="E37" s="53" t="s">
        <v>169</v>
      </c>
      <c r="F37" s="3">
        <f>IF(基本情報!E5="",0,F11)</f>
        <v>0</v>
      </c>
      <c r="G37" s="3">
        <f>F37</f>
        <v>0</v>
      </c>
      <c r="H37" s="3">
        <f>IF(基本情報!E5="",0,H11)</f>
        <v>0</v>
      </c>
      <c r="I37" s="3">
        <f>H37</f>
        <v>0</v>
      </c>
      <c r="J37" s="3">
        <f>F37</f>
        <v>0</v>
      </c>
      <c r="K37" s="3">
        <f>F37</f>
        <v>0</v>
      </c>
      <c r="L37" s="3">
        <f>H37</f>
        <v>0</v>
      </c>
      <c r="M37" s="3">
        <f>H37</f>
        <v>0</v>
      </c>
      <c r="O37" s="1445"/>
      <c r="P37" s="635" t="s">
        <v>36</v>
      </c>
      <c r="Q37" s="3">
        <f>SUM(Q32:Q36)</f>
        <v>0</v>
      </c>
      <c r="R37" s="3">
        <f t="shared" ref="R37:Y37" si="28">SUM(R32:R36)</f>
        <v>0</v>
      </c>
      <c r="S37" s="3">
        <f t="shared" si="28"/>
        <v>0</v>
      </c>
      <c r="T37" s="3">
        <f t="shared" si="28"/>
        <v>0</v>
      </c>
      <c r="U37" s="3">
        <f t="shared" si="28"/>
        <v>0</v>
      </c>
      <c r="V37" s="3">
        <f t="shared" si="28"/>
        <v>0</v>
      </c>
      <c r="W37" s="3">
        <f t="shared" si="28"/>
        <v>0</v>
      </c>
      <c r="X37" s="3">
        <f t="shared" si="28"/>
        <v>0</v>
      </c>
      <c r="Y37" s="3">
        <f t="shared" si="28"/>
        <v>0</v>
      </c>
      <c r="Z37" s="55" t="s">
        <v>176</v>
      </c>
      <c r="AA37" s="71" t="str">
        <f>IF(SUM(Q37:X37)=I2,"OK",SUM(Q37:X37)-G27)</f>
        <v>OK</v>
      </c>
      <c r="AM37" s="1413"/>
      <c r="AN37" s="1420"/>
      <c r="AO37" s="1422" t="s">
        <v>161</v>
      </c>
      <c r="AP37" s="53" t="s">
        <v>169</v>
      </c>
      <c r="AQ37" s="85">
        <f t="shared" si="26"/>
        <v>0</v>
      </c>
    </row>
    <row r="38" spans="2:43">
      <c r="B38" s="1413"/>
      <c r="C38" s="1420"/>
      <c r="D38" s="1422"/>
      <c r="E38" s="53" t="s">
        <v>167</v>
      </c>
      <c r="F38" s="3">
        <f>IF(基本情報!E5="",0,F12)</f>
        <v>0</v>
      </c>
      <c r="G38" s="3">
        <f t="shared" ref="G38:M42" si="29">$F38</f>
        <v>0</v>
      </c>
      <c r="H38" s="3">
        <f t="shared" si="29"/>
        <v>0</v>
      </c>
      <c r="I38" s="3">
        <f t="shared" si="29"/>
        <v>0</v>
      </c>
      <c r="J38" s="3">
        <f t="shared" si="29"/>
        <v>0</v>
      </c>
      <c r="K38" s="3">
        <f t="shared" si="29"/>
        <v>0</v>
      </c>
      <c r="L38" s="3">
        <f t="shared" si="29"/>
        <v>0</v>
      </c>
      <c r="M38" s="3">
        <f t="shared" si="29"/>
        <v>0</v>
      </c>
      <c r="O38" s="58"/>
      <c r="P38" s="58"/>
      <c r="Q38" s="10"/>
      <c r="R38" s="10"/>
      <c r="S38" s="10"/>
      <c r="T38" s="10"/>
      <c r="U38" s="10"/>
      <c r="V38" s="10"/>
      <c r="W38" s="10"/>
      <c r="X38" s="10"/>
      <c r="Y38" s="11"/>
      <c r="Z38" s="11"/>
      <c r="AM38" s="1413"/>
      <c r="AN38" s="1420"/>
      <c r="AO38" s="1422"/>
      <c r="AP38" s="53" t="s">
        <v>167</v>
      </c>
      <c r="AQ38" s="85">
        <f t="shared" si="26"/>
        <v>0</v>
      </c>
    </row>
    <row r="39" spans="2:43" ht="16.5">
      <c r="B39" s="1413"/>
      <c r="C39" s="1420"/>
      <c r="D39" s="366" t="s">
        <v>162</v>
      </c>
      <c r="E39" s="59"/>
      <c r="F39" s="3">
        <f>IF(基本情報!E5="",0,F13)</f>
        <v>0</v>
      </c>
      <c r="G39" s="3">
        <f t="shared" si="29"/>
        <v>0</v>
      </c>
      <c r="H39" s="3">
        <f t="shared" si="29"/>
        <v>0</v>
      </c>
      <c r="I39" s="3">
        <f t="shared" si="29"/>
        <v>0</v>
      </c>
      <c r="J39" s="3">
        <f t="shared" si="29"/>
        <v>0</v>
      </c>
      <c r="K39" s="3">
        <f t="shared" si="29"/>
        <v>0</v>
      </c>
      <c r="L39" s="3">
        <f t="shared" si="29"/>
        <v>0</v>
      </c>
      <c r="M39" s="3">
        <f t="shared" si="29"/>
        <v>0</v>
      </c>
      <c r="O39" s="1443" t="s">
        <v>189</v>
      </c>
      <c r="P39" s="1446" t="s">
        <v>171</v>
      </c>
      <c r="Q39" s="1440" t="s">
        <v>15</v>
      </c>
      <c r="R39" s="1440"/>
      <c r="S39" s="1440"/>
      <c r="T39" s="1440"/>
      <c r="U39" s="1440" t="s">
        <v>16</v>
      </c>
      <c r="V39" s="1440"/>
      <c r="W39" s="1440"/>
      <c r="X39" s="1440"/>
      <c r="Y39" s="1441" t="s">
        <v>177</v>
      </c>
      <c r="AM39" s="1413"/>
      <c r="AN39" s="1420"/>
      <c r="AO39" s="720" t="s">
        <v>162</v>
      </c>
      <c r="AP39" s="731" t="s">
        <v>353</v>
      </c>
      <c r="AQ39" s="85">
        <f t="shared" si="26"/>
        <v>0</v>
      </c>
    </row>
    <row r="40" spans="2:43" ht="16.5">
      <c r="B40" s="1413"/>
      <c r="C40" s="1420"/>
      <c r="D40" s="366" t="s">
        <v>54</v>
      </c>
      <c r="E40" s="59"/>
      <c r="F40" s="3">
        <f>IF(基本情報!E5="",0,F14)</f>
        <v>0</v>
      </c>
      <c r="G40" s="3">
        <f t="shared" si="29"/>
        <v>0</v>
      </c>
      <c r="H40" s="3">
        <f t="shared" si="29"/>
        <v>0</v>
      </c>
      <c r="I40" s="3">
        <f t="shared" si="29"/>
        <v>0</v>
      </c>
      <c r="J40" s="3">
        <f t="shared" si="29"/>
        <v>0</v>
      </c>
      <c r="K40" s="3">
        <f t="shared" si="29"/>
        <v>0</v>
      </c>
      <c r="L40" s="3">
        <f t="shared" si="29"/>
        <v>0</v>
      </c>
      <c r="M40" s="3">
        <f t="shared" si="29"/>
        <v>0</v>
      </c>
      <c r="O40" s="1444"/>
      <c r="P40" s="1446"/>
      <c r="Q40" s="368" t="s">
        <v>6</v>
      </c>
      <c r="R40" s="368" t="s">
        <v>7</v>
      </c>
      <c r="S40" s="368" t="s">
        <v>8</v>
      </c>
      <c r="T40" s="368" t="s">
        <v>9</v>
      </c>
      <c r="U40" s="368" t="s">
        <v>6</v>
      </c>
      <c r="V40" s="368" t="s">
        <v>7</v>
      </c>
      <c r="W40" s="368" t="s">
        <v>8</v>
      </c>
      <c r="X40" s="368" t="s">
        <v>9</v>
      </c>
      <c r="Y40" s="1442"/>
      <c r="AM40" s="1413"/>
      <c r="AN40" s="1420"/>
      <c r="AO40" s="720" t="s">
        <v>54</v>
      </c>
      <c r="AP40" s="731" t="s">
        <v>353</v>
      </c>
      <c r="AQ40" s="85">
        <f t="shared" si="26"/>
        <v>0</v>
      </c>
    </row>
    <row r="41" spans="2:43" ht="16.5">
      <c r="B41" s="1413"/>
      <c r="C41" s="1420"/>
      <c r="D41" s="1422" t="s">
        <v>38</v>
      </c>
      <c r="E41" s="53" t="s">
        <v>169</v>
      </c>
      <c r="F41" s="3">
        <f>IF(基本情報!E5="",0,F15)</f>
        <v>0</v>
      </c>
      <c r="G41" s="3">
        <f t="shared" si="29"/>
        <v>0</v>
      </c>
      <c r="H41" s="3">
        <f t="shared" si="29"/>
        <v>0</v>
      </c>
      <c r="I41" s="3">
        <f t="shared" si="29"/>
        <v>0</v>
      </c>
      <c r="J41" s="3">
        <f t="shared" si="29"/>
        <v>0</v>
      </c>
      <c r="K41" s="3">
        <f t="shared" si="29"/>
        <v>0</v>
      </c>
      <c r="L41" s="3">
        <f t="shared" si="29"/>
        <v>0</v>
      </c>
      <c r="M41" s="3">
        <f t="shared" si="29"/>
        <v>0</v>
      </c>
      <c r="O41" s="1444"/>
      <c r="P41" s="630">
        <f>P32</f>
        <v>0</v>
      </c>
      <c r="Q41" s="3">
        <f t="shared" ref="Q41:X41" si="30">F54*Q32</f>
        <v>0</v>
      </c>
      <c r="R41" s="3">
        <f t="shared" si="30"/>
        <v>0</v>
      </c>
      <c r="S41" s="3">
        <f t="shared" si="30"/>
        <v>0</v>
      </c>
      <c r="T41" s="3">
        <f t="shared" si="30"/>
        <v>0</v>
      </c>
      <c r="U41" s="3">
        <f t="shared" si="30"/>
        <v>0</v>
      </c>
      <c r="V41" s="3">
        <f t="shared" si="30"/>
        <v>0</v>
      </c>
      <c r="W41" s="3">
        <f t="shared" si="30"/>
        <v>0</v>
      </c>
      <c r="X41" s="3">
        <f t="shared" si="30"/>
        <v>0</v>
      </c>
      <c r="Y41" s="3">
        <f>SUM(Q41:X41)</f>
        <v>0</v>
      </c>
      <c r="AM41" s="1413"/>
      <c r="AN41" s="1420"/>
      <c r="AO41" s="1422" t="s">
        <v>38</v>
      </c>
      <c r="AP41" s="732" t="s">
        <v>559</v>
      </c>
      <c r="AQ41" s="85">
        <f t="shared" si="26"/>
        <v>0</v>
      </c>
    </row>
    <row r="42" spans="2:43">
      <c r="B42" s="1413"/>
      <c r="C42" s="1421"/>
      <c r="D42" s="1422"/>
      <c r="E42" s="53" t="s">
        <v>167</v>
      </c>
      <c r="F42" s="3">
        <f>IF(基本情報!E5="",0,F16)</f>
        <v>0</v>
      </c>
      <c r="G42" s="3">
        <f>$F42</f>
        <v>0</v>
      </c>
      <c r="H42" s="3">
        <f t="shared" si="29"/>
        <v>0</v>
      </c>
      <c r="I42" s="3">
        <f t="shared" si="29"/>
        <v>0</v>
      </c>
      <c r="J42" s="3">
        <f t="shared" si="29"/>
        <v>0</v>
      </c>
      <c r="K42" s="3">
        <f t="shared" si="29"/>
        <v>0</v>
      </c>
      <c r="L42" s="3">
        <f t="shared" si="29"/>
        <v>0</v>
      </c>
      <c r="M42" s="3">
        <f t="shared" si="29"/>
        <v>0</v>
      </c>
      <c r="O42" s="1444"/>
      <c r="P42" s="631">
        <f>P33</f>
        <v>0</v>
      </c>
      <c r="Q42" s="3">
        <f t="shared" ref="Q42:X42" si="31">F54*Q33</f>
        <v>0</v>
      </c>
      <c r="R42" s="3">
        <f t="shared" si="31"/>
        <v>0</v>
      </c>
      <c r="S42" s="3">
        <f t="shared" si="31"/>
        <v>0</v>
      </c>
      <c r="T42" s="3">
        <f t="shared" si="31"/>
        <v>0</v>
      </c>
      <c r="U42" s="3">
        <f t="shared" si="31"/>
        <v>0</v>
      </c>
      <c r="V42" s="3">
        <f t="shared" si="31"/>
        <v>0</v>
      </c>
      <c r="W42" s="3">
        <f t="shared" si="31"/>
        <v>0</v>
      </c>
      <c r="X42" s="3">
        <f t="shared" si="31"/>
        <v>0</v>
      </c>
      <c r="Y42" s="3">
        <f t="shared" ref="Y42:Y45" si="32">SUM(Q42:X42)</f>
        <v>0</v>
      </c>
      <c r="AM42" s="1413"/>
      <c r="AN42" s="1421"/>
      <c r="AO42" s="1422"/>
      <c r="AP42" s="53" t="s">
        <v>167</v>
      </c>
      <c r="AQ42" s="85">
        <f t="shared" si="26"/>
        <v>0</v>
      </c>
    </row>
    <row r="43" spans="2:43">
      <c r="B43" s="1413"/>
      <c r="C43" s="1423" t="s">
        <v>205</v>
      </c>
      <c r="D43" s="371" t="s">
        <v>164</v>
      </c>
      <c r="E43" s="60"/>
      <c r="F43" s="3">
        <f t="shared" ref="F43:M43" si="33">-ROUNDDOWN((F32+F33)*$P$2%,-1)</f>
        <v>0</v>
      </c>
      <c r="G43" s="3">
        <f t="shared" si="33"/>
        <v>0</v>
      </c>
      <c r="H43" s="3">
        <f t="shared" si="33"/>
        <v>0</v>
      </c>
      <c r="I43" s="3">
        <f t="shared" si="33"/>
        <v>0</v>
      </c>
      <c r="J43" s="3">
        <f t="shared" si="33"/>
        <v>0</v>
      </c>
      <c r="K43" s="3">
        <f t="shared" si="33"/>
        <v>0</v>
      </c>
      <c r="L43" s="3">
        <f t="shared" si="33"/>
        <v>0</v>
      </c>
      <c r="M43" s="3">
        <f t="shared" si="33"/>
        <v>0</v>
      </c>
      <c r="O43" s="1444"/>
      <c r="P43" s="632">
        <f>P34</f>
        <v>0</v>
      </c>
      <c r="Q43" s="3">
        <f t="shared" ref="Q43:X43" si="34">F54*Q34</f>
        <v>0</v>
      </c>
      <c r="R43" s="3">
        <f t="shared" si="34"/>
        <v>0</v>
      </c>
      <c r="S43" s="3">
        <f t="shared" si="34"/>
        <v>0</v>
      </c>
      <c r="T43" s="3">
        <f t="shared" si="34"/>
        <v>0</v>
      </c>
      <c r="U43" s="3">
        <f t="shared" si="34"/>
        <v>0</v>
      </c>
      <c r="V43" s="3">
        <f t="shared" si="34"/>
        <v>0</v>
      </c>
      <c r="W43" s="3">
        <f t="shared" si="34"/>
        <v>0</v>
      </c>
      <c r="X43" s="3">
        <f t="shared" si="34"/>
        <v>0</v>
      </c>
      <c r="Y43" s="3">
        <f t="shared" si="32"/>
        <v>0</v>
      </c>
      <c r="AM43" s="1413"/>
      <c r="AN43" s="1423" t="s">
        <v>205</v>
      </c>
      <c r="AO43" s="717" t="s">
        <v>164</v>
      </c>
      <c r="AP43" s="60"/>
      <c r="AQ43" s="85">
        <f t="shared" si="26"/>
        <v>0</v>
      </c>
    </row>
    <row r="44" spans="2:43">
      <c r="B44" s="1413"/>
      <c r="C44" s="1423"/>
      <c r="D44" s="1424" t="s">
        <v>43</v>
      </c>
      <c r="E44" s="53" t="s">
        <v>169</v>
      </c>
      <c r="F44" s="74">
        <f>IF(基本情報!E5="",0,-IF(加算と減算!M32="○",単価表!AZ23,0))</f>
        <v>0</v>
      </c>
      <c r="G44" s="74">
        <f>F44</f>
        <v>0</v>
      </c>
      <c r="H44" s="74">
        <f>F44</f>
        <v>0</v>
      </c>
      <c r="I44" s="74">
        <f>F44</f>
        <v>0</v>
      </c>
      <c r="J44" s="74">
        <f>F44</f>
        <v>0</v>
      </c>
      <c r="K44" s="74">
        <f>F44</f>
        <v>0</v>
      </c>
      <c r="L44" s="74">
        <f>F44</f>
        <v>0</v>
      </c>
      <c r="M44" s="74">
        <f>F44</f>
        <v>0</v>
      </c>
      <c r="O44" s="1444"/>
      <c r="P44" s="633">
        <f>P35</f>
        <v>0</v>
      </c>
      <c r="Q44" s="3">
        <f t="shared" ref="Q44:X44" si="35">F54*Q35</f>
        <v>0</v>
      </c>
      <c r="R44" s="3">
        <f t="shared" si="35"/>
        <v>0</v>
      </c>
      <c r="S44" s="3">
        <f t="shared" si="35"/>
        <v>0</v>
      </c>
      <c r="T44" s="3">
        <f t="shared" si="35"/>
        <v>0</v>
      </c>
      <c r="U44" s="3">
        <f t="shared" si="35"/>
        <v>0</v>
      </c>
      <c r="V44" s="3">
        <f t="shared" si="35"/>
        <v>0</v>
      </c>
      <c r="W44" s="3">
        <f t="shared" si="35"/>
        <v>0</v>
      </c>
      <c r="X44" s="3">
        <f t="shared" si="35"/>
        <v>0</v>
      </c>
      <c r="Y44" s="3">
        <f t="shared" si="32"/>
        <v>0</v>
      </c>
      <c r="AM44" s="1413"/>
      <c r="AN44" s="1423"/>
      <c r="AO44" s="1424" t="s">
        <v>43</v>
      </c>
      <c r="AP44" s="53" t="s">
        <v>169</v>
      </c>
      <c r="AQ44" s="85">
        <f t="shared" si="26"/>
        <v>0</v>
      </c>
    </row>
    <row r="45" spans="2:43">
      <c r="B45" s="1413"/>
      <c r="C45" s="1423"/>
      <c r="D45" s="1424"/>
      <c r="E45" s="53" t="s">
        <v>167</v>
      </c>
      <c r="F45" s="74">
        <f>IF(基本情報!E5="",0,-IF(加算と減算!M32="○",単価表!BA23*基本情報!G7,0))</f>
        <v>0</v>
      </c>
      <c r="G45" s="74">
        <f>F45</f>
        <v>0</v>
      </c>
      <c r="H45" s="74">
        <f>F45</f>
        <v>0</v>
      </c>
      <c r="I45" s="74">
        <f>F45</f>
        <v>0</v>
      </c>
      <c r="J45" s="74">
        <f>F45</f>
        <v>0</v>
      </c>
      <c r="K45" s="74">
        <f>F45</f>
        <v>0</v>
      </c>
      <c r="L45" s="74">
        <f>F45</f>
        <v>0</v>
      </c>
      <c r="M45" s="74">
        <f>F45</f>
        <v>0</v>
      </c>
      <c r="O45" s="1444"/>
      <c r="P45" s="634">
        <f>P36</f>
        <v>0</v>
      </c>
      <c r="Q45" s="3">
        <f t="shared" ref="Q45:X45" si="36">F54*Q36</f>
        <v>0</v>
      </c>
      <c r="R45" s="3">
        <f t="shared" si="36"/>
        <v>0</v>
      </c>
      <c r="S45" s="3">
        <f t="shared" si="36"/>
        <v>0</v>
      </c>
      <c r="T45" s="3">
        <f t="shared" si="36"/>
        <v>0</v>
      </c>
      <c r="U45" s="3">
        <f t="shared" si="36"/>
        <v>0</v>
      </c>
      <c r="V45" s="3">
        <f t="shared" si="36"/>
        <v>0</v>
      </c>
      <c r="W45" s="3">
        <f t="shared" si="36"/>
        <v>0</v>
      </c>
      <c r="X45" s="3">
        <f t="shared" si="36"/>
        <v>0</v>
      </c>
      <c r="Y45" s="3">
        <f t="shared" si="32"/>
        <v>0</v>
      </c>
      <c r="AM45" s="1413"/>
      <c r="AN45" s="1423"/>
      <c r="AO45" s="1424"/>
      <c r="AP45" s="53" t="s">
        <v>167</v>
      </c>
      <c r="AQ45" s="85">
        <f t="shared" si="26"/>
        <v>0</v>
      </c>
    </row>
    <row r="46" spans="2:43">
      <c r="B46" s="1413"/>
      <c r="C46" s="1423"/>
      <c r="D46" s="371" t="s">
        <v>165</v>
      </c>
      <c r="E46" s="60"/>
      <c r="F46" s="74">
        <f t="shared" ref="F46:M46" si="37">-ROUNDDOWN((F32+F33+F37+F38+F34+F35)*$T$2/100,-1)</f>
        <v>0</v>
      </c>
      <c r="G46" s="74">
        <f t="shared" si="37"/>
        <v>0</v>
      </c>
      <c r="H46" s="74">
        <f t="shared" si="37"/>
        <v>0</v>
      </c>
      <c r="I46" s="74">
        <f t="shared" si="37"/>
        <v>0</v>
      </c>
      <c r="J46" s="74">
        <f t="shared" si="37"/>
        <v>0</v>
      </c>
      <c r="K46" s="74">
        <f t="shared" si="37"/>
        <v>0</v>
      </c>
      <c r="L46" s="74">
        <f t="shared" si="37"/>
        <v>0</v>
      </c>
      <c r="M46" s="74">
        <f t="shared" si="37"/>
        <v>0</v>
      </c>
      <c r="O46" s="1445"/>
      <c r="P46" s="635" t="s">
        <v>36</v>
      </c>
      <c r="Q46" s="3">
        <f>SUM(Q41:Q45)</f>
        <v>0</v>
      </c>
      <c r="R46" s="3">
        <f t="shared" ref="R46:Y46" si="38">SUM(R41:R45)</f>
        <v>0</v>
      </c>
      <c r="S46" s="3">
        <f t="shared" si="38"/>
        <v>0</v>
      </c>
      <c r="T46" s="3">
        <f t="shared" si="38"/>
        <v>0</v>
      </c>
      <c r="U46" s="3">
        <f t="shared" si="38"/>
        <v>0</v>
      </c>
      <c r="V46" s="3">
        <f t="shared" si="38"/>
        <v>0</v>
      </c>
      <c r="W46" s="3">
        <f t="shared" si="38"/>
        <v>0</v>
      </c>
      <c r="X46" s="3">
        <f t="shared" si="38"/>
        <v>0</v>
      </c>
      <c r="Y46" s="3">
        <f t="shared" si="38"/>
        <v>0</v>
      </c>
      <c r="AM46" s="1413"/>
      <c r="AN46" s="1423"/>
      <c r="AO46" s="717" t="s">
        <v>165</v>
      </c>
      <c r="AP46" s="60"/>
      <c r="AQ46" s="85">
        <f t="shared" si="26"/>
        <v>0</v>
      </c>
    </row>
    <row r="47" spans="2:43" ht="15" customHeight="1">
      <c r="B47" s="1413"/>
      <c r="C47" s="1423"/>
      <c r="D47" s="371" t="s">
        <v>166</v>
      </c>
      <c r="E47" s="60"/>
      <c r="F47" s="74">
        <f>IF(基本情報!E5="",0,-ROUNDUP(SUM(F32:F46)*$W$2/100,-1))</f>
        <v>0</v>
      </c>
      <c r="G47" s="74">
        <f t="shared" ref="G47:M47" si="39">-ROUNDUP(SUM(G32:G46)*$W$2/100,-1)</f>
        <v>0</v>
      </c>
      <c r="H47" s="74">
        <f t="shared" si="39"/>
        <v>0</v>
      </c>
      <c r="I47" s="74">
        <f t="shared" si="39"/>
        <v>0</v>
      </c>
      <c r="J47" s="74">
        <f t="shared" si="39"/>
        <v>0</v>
      </c>
      <c r="K47" s="74">
        <f t="shared" si="39"/>
        <v>0</v>
      </c>
      <c r="L47" s="74">
        <f t="shared" si="39"/>
        <v>0</v>
      </c>
      <c r="M47" s="74">
        <f t="shared" si="39"/>
        <v>0</v>
      </c>
      <c r="O47" s="8"/>
      <c r="P47" s="58"/>
      <c r="Q47" s="7"/>
      <c r="R47" s="7"/>
      <c r="S47" s="7"/>
      <c r="T47" s="7"/>
      <c r="U47" s="7"/>
      <c r="V47" s="7"/>
      <c r="W47" s="7"/>
      <c r="X47" s="7"/>
      <c r="Y47" s="4"/>
      <c r="Z47" s="4"/>
      <c r="AM47" s="1413"/>
      <c r="AN47" s="1423"/>
      <c r="AO47" s="717" t="s">
        <v>166</v>
      </c>
      <c r="AP47" s="60"/>
      <c r="AQ47" s="85">
        <f t="shared" si="26"/>
        <v>0</v>
      </c>
    </row>
    <row r="48" spans="2:43" ht="15" customHeight="1">
      <c r="B48" s="1413"/>
      <c r="C48" s="1419" t="s">
        <v>204</v>
      </c>
      <c r="D48" s="366" t="s">
        <v>18</v>
      </c>
      <c r="E48" s="59"/>
      <c r="F48" s="3">
        <f>IF(基本情報!E5="",0,F21)</f>
        <v>0</v>
      </c>
      <c r="G48" s="3">
        <f t="shared" ref="G48:M53" si="40">$F48</f>
        <v>0</v>
      </c>
      <c r="H48" s="3">
        <f t="shared" si="40"/>
        <v>0</v>
      </c>
      <c r="I48" s="3">
        <f t="shared" si="40"/>
        <v>0</v>
      </c>
      <c r="J48" s="3">
        <f t="shared" si="40"/>
        <v>0</v>
      </c>
      <c r="K48" s="3">
        <f t="shared" si="40"/>
        <v>0</v>
      </c>
      <c r="L48" s="3">
        <f t="shared" si="40"/>
        <v>0</v>
      </c>
      <c r="M48" s="3">
        <f t="shared" si="40"/>
        <v>0</v>
      </c>
      <c r="O48" s="1443" t="s">
        <v>180</v>
      </c>
      <c r="P48" s="367" t="s">
        <v>171</v>
      </c>
      <c r="Q48" s="61" t="s">
        <v>178</v>
      </c>
      <c r="R48" s="40" t="s">
        <v>179</v>
      </c>
      <c r="S48" s="4"/>
      <c r="T48" s="1443" t="s">
        <v>190</v>
      </c>
      <c r="U48" s="367" t="s">
        <v>171</v>
      </c>
      <c r="V48" s="40" t="s">
        <v>179</v>
      </c>
      <c r="X48" s="1431" t="s">
        <v>186</v>
      </c>
      <c r="Y48" s="1431"/>
      <c r="AM48" s="1413"/>
      <c r="AN48" s="1419" t="s">
        <v>204</v>
      </c>
      <c r="AO48" s="720" t="s">
        <v>18</v>
      </c>
      <c r="AP48" s="732" t="s">
        <v>559</v>
      </c>
      <c r="AQ48" s="85">
        <f t="shared" si="26"/>
        <v>0</v>
      </c>
    </row>
    <row r="49" spans="2:43" ht="16.5">
      <c r="B49" s="1413"/>
      <c r="C49" s="1420"/>
      <c r="D49" s="366" t="s">
        <v>62</v>
      </c>
      <c r="E49" s="59"/>
      <c r="F49" s="3">
        <f>IF(基本情報!E5="",0,F22)</f>
        <v>0</v>
      </c>
      <c r="G49" s="3">
        <f t="shared" si="40"/>
        <v>0</v>
      </c>
      <c r="H49" s="3">
        <f t="shared" si="40"/>
        <v>0</v>
      </c>
      <c r="I49" s="3">
        <f t="shared" si="40"/>
        <v>0</v>
      </c>
      <c r="J49" s="3">
        <f t="shared" si="40"/>
        <v>0</v>
      </c>
      <c r="K49" s="3">
        <f t="shared" si="40"/>
        <v>0</v>
      </c>
      <c r="L49" s="3">
        <f t="shared" si="40"/>
        <v>0</v>
      </c>
      <c r="M49" s="3">
        <f t="shared" si="40"/>
        <v>0</v>
      </c>
      <c r="O49" s="1444"/>
      <c r="P49" s="630">
        <f>P32</f>
        <v>0</v>
      </c>
      <c r="Q49" s="3">
        <f>児童数!AF30</f>
        <v>0</v>
      </c>
      <c r="R49" s="64">
        <f>4500*Q49</f>
        <v>0</v>
      </c>
      <c r="S49" s="4"/>
      <c r="T49" s="1444"/>
      <c r="U49" s="630">
        <f>P32</f>
        <v>0</v>
      </c>
      <c r="V49" s="65">
        <f>Y41+R49</f>
        <v>0</v>
      </c>
      <c r="X49" s="630">
        <f>P32</f>
        <v>0</v>
      </c>
      <c r="Y49" s="65" t="e">
        <f>V23+V49</f>
        <v>#VALUE!</v>
      </c>
      <c r="AM49" s="1413"/>
      <c r="AN49" s="1420"/>
      <c r="AO49" s="720" t="s">
        <v>62</v>
      </c>
      <c r="AP49" s="732" t="s">
        <v>559</v>
      </c>
      <c r="AQ49" s="85">
        <f t="shared" si="26"/>
        <v>0</v>
      </c>
    </row>
    <row r="50" spans="2:43" ht="16.5">
      <c r="B50" s="1413"/>
      <c r="C50" s="1420"/>
      <c r="D50" s="366" t="s">
        <v>19</v>
      </c>
      <c r="E50" s="59"/>
      <c r="F50" s="3">
        <f>IF(基本情報!E5="",0,F23)</f>
        <v>0</v>
      </c>
      <c r="G50" s="3">
        <f t="shared" si="40"/>
        <v>0</v>
      </c>
      <c r="H50" s="3">
        <f t="shared" si="40"/>
        <v>0</v>
      </c>
      <c r="I50" s="3">
        <f t="shared" si="40"/>
        <v>0</v>
      </c>
      <c r="J50" s="3">
        <f t="shared" si="40"/>
        <v>0</v>
      </c>
      <c r="K50" s="3">
        <f t="shared" si="40"/>
        <v>0</v>
      </c>
      <c r="L50" s="3">
        <f t="shared" si="40"/>
        <v>0</v>
      </c>
      <c r="M50" s="3">
        <f t="shared" si="40"/>
        <v>0</v>
      </c>
      <c r="O50" s="1444"/>
      <c r="P50" s="631">
        <f>P33</f>
        <v>0</v>
      </c>
      <c r="Q50" s="3">
        <f>児童数!AF44</f>
        <v>0</v>
      </c>
      <c r="R50" s="64">
        <f t="shared" ref="R50:R53" si="41">4500*Q50</f>
        <v>0</v>
      </c>
      <c r="S50" s="4"/>
      <c r="T50" s="1444"/>
      <c r="U50" s="631">
        <f>P33</f>
        <v>0</v>
      </c>
      <c r="V50" s="66">
        <f>Y42+R50</f>
        <v>0</v>
      </c>
      <c r="X50" s="631">
        <f>P33</f>
        <v>0</v>
      </c>
      <c r="Y50" s="66" t="e">
        <f>V24+V50</f>
        <v>#VALUE!</v>
      </c>
      <c r="AM50" s="1413"/>
      <c r="AN50" s="1420"/>
      <c r="AO50" s="720" t="s">
        <v>19</v>
      </c>
      <c r="AP50" s="732" t="s">
        <v>559</v>
      </c>
      <c r="AQ50" s="85">
        <f t="shared" si="26"/>
        <v>0</v>
      </c>
    </row>
    <row r="51" spans="2:43" ht="16.5">
      <c r="B51" s="1413"/>
      <c r="C51" s="1420"/>
      <c r="D51" s="366" t="s">
        <v>41</v>
      </c>
      <c r="E51" s="59"/>
      <c r="F51" s="3">
        <f>IF(基本情報!E5="",0,F24)</f>
        <v>0</v>
      </c>
      <c r="G51" s="3">
        <f t="shared" si="40"/>
        <v>0</v>
      </c>
      <c r="H51" s="3">
        <f t="shared" si="40"/>
        <v>0</v>
      </c>
      <c r="I51" s="3">
        <f t="shared" si="40"/>
        <v>0</v>
      </c>
      <c r="J51" s="3">
        <f t="shared" si="40"/>
        <v>0</v>
      </c>
      <c r="K51" s="3">
        <f t="shared" si="40"/>
        <v>0</v>
      </c>
      <c r="L51" s="3">
        <f t="shared" si="40"/>
        <v>0</v>
      </c>
      <c r="M51" s="3">
        <f t="shared" si="40"/>
        <v>0</v>
      </c>
      <c r="O51" s="1444"/>
      <c r="P51" s="632">
        <f>P34</f>
        <v>0</v>
      </c>
      <c r="Q51" s="3">
        <f>児童数!AF58</f>
        <v>0</v>
      </c>
      <c r="R51" s="64">
        <f t="shared" si="41"/>
        <v>0</v>
      </c>
      <c r="S51" s="4"/>
      <c r="T51" s="1444"/>
      <c r="U51" s="632">
        <f>P34</f>
        <v>0</v>
      </c>
      <c r="V51" s="67">
        <f>Y43+R51</f>
        <v>0</v>
      </c>
      <c r="X51" s="632">
        <f>P34</f>
        <v>0</v>
      </c>
      <c r="Y51" s="67" t="e">
        <f>V25+V51</f>
        <v>#VALUE!</v>
      </c>
      <c r="AM51" s="1413"/>
      <c r="AN51" s="1420"/>
      <c r="AO51" s="720" t="s">
        <v>41</v>
      </c>
      <c r="AP51" s="732" t="s">
        <v>559</v>
      </c>
      <c r="AQ51" s="85">
        <f t="shared" si="26"/>
        <v>0</v>
      </c>
    </row>
    <row r="52" spans="2:43" ht="16.5">
      <c r="B52" s="1413"/>
      <c r="C52" s="1420"/>
      <c r="D52" s="366" t="s">
        <v>42</v>
      </c>
      <c r="E52" s="59"/>
      <c r="F52" s="3">
        <f>IF(基本情報!E5="",0,F25)</f>
        <v>0</v>
      </c>
      <c r="G52" s="3">
        <f t="shared" si="40"/>
        <v>0</v>
      </c>
      <c r="H52" s="3">
        <f t="shared" si="40"/>
        <v>0</v>
      </c>
      <c r="I52" s="3">
        <f t="shared" si="40"/>
        <v>0</v>
      </c>
      <c r="J52" s="3">
        <f t="shared" si="40"/>
        <v>0</v>
      </c>
      <c r="K52" s="3">
        <f t="shared" si="40"/>
        <v>0</v>
      </c>
      <c r="L52" s="3">
        <f t="shared" si="40"/>
        <v>0</v>
      </c>
      <c r="M52" s="3">
        <f t="shared" si="40"/>
        <v>0</v>
      </c>
      <c r="O52" s="1444"/>
      <c r="P52" s="633">
        <f>P35</f>
        <v>0</v>
      </c>
      <c r="Q52" s="3">
        <f>児童数!AF72</f>
        <v>0</v>
      </c>
      <c r="R52" s="64">
        <f t="shared" si="41"/>
        <v>0</v>
      </c>
      <c r="S52" s="4"/>
      <c r="T52" s="1444"/>
      <c r="U52" s="633">
        <f>P35</f>
        <v>0</v>
      </c>
      <c r="V52" s="68">
        <f>Y44+R52</f>
        <v>0</v>
      </c>
      <c r="X52" s="633">
        <f>P35</f>
        <v>0</v>
      </c>
      <c r="Y52" s="68" t="e">
        <f>V26+V52</f>
        <v>#VALUE!</v>
      </c>
      <c r="AM52" s="1413"/>
      <c r="AN52" s="1420"/>
      <c r="AO52" s="720" t="s">
        <v>42</v>
      </c>
      <c r="AP52" s="731" t="s">
        <v>353</v>
      </c>
      <c r="AQ52" s="85">
        <f t="shared" si="26"/>
        <v>0</v>
      </c>
    </row>
    <row r="53" spans="2:43" ht="16.5">
      <c r="B53" s="1413"/>
      <c r="C53" s="1421"/>
      <c r="D53" s="366" t="s">
        <v>80</v>
      </c>
      <c r="E53" s="59"/>
      <c r="F53" s="3">
        <f>IF(基本情報!E5="",0,F26)</f>
        <v>0</v>
      </c>
      <c r="G53" s="3">
        <f t="shared" si="40"/>
        <v>0</v>
      </c>
      <c r="H53" s="3">
        <f t="shared" si="40"/>
        <v>0</v>
      </c>
      <c r="I53" s="3">
        <f t="shared" si="40"/>
        <v>0</v>
      </c>
      <c r="J53" s="3">
        <f t="shared" si="40"/>
        <v>0</v>
      </c>
      <c r="K53" s="3">
        <f t="shared" si="40"/>
        <v>0</v>
      </c>
      <c r="L53" s="3">
        <f t="shared" si="40"/>
        <v>0</v>
      </c>
      <c r="M53" s="3">
        <f>$F53</f>
        <v>0</v>
      </c>
      <c r="O53" s="1444"/>
      <c r="P53" s="634">
        <f>P36</f>
        <v>0</v>
      </c>
      <c r="Q53" s="3">
        <f>児童数!AF86</f>
        <v>0</v>
      </c>
      <c r="R53" s="64">
        <f t="shared" si="41"/>
        <v>0</v>
      </c>
      <c r="S53" s="4"/>
      <c r="T53" s="1444"/>
      <c r="U53" s="634">
        <f>P36</f>
        <v>0</v>
      </c>
      <c r="V53" s="69">
        <f>Y45+R53</f>
        <v>0</v>
      </c>
      <c r="X53" s="634">
        <f>P36</f>
        <v>0</v>
      </c>
      <c r="Y53" s="69" t="e">
        <f>V27+V53</f>
        <v>#VALUE!</v>
      </c>
      <c r="AM53" s="1413"/>
      <c r="AN53" s="1421"/>
      <c r="AO53" s="720" t="s">
        <v>80</v>
      </c>
      <c r="AP53" s="731" t="s">
        <v>353</v>
      </c>
      <c r="AQ53" s="85">
        <f t="shared" si="26"/>
        <v>0</v>
      </c>
    </row>
    <row r="54" spans="2:43" ht="17.25" thickBot="1">
      <c r="B54" s="1414"/>
      <c r="C54" s="1410" t="s">
        <v>44</v>
      </c>
      <c r="D54" s="1411"/>
      <c r="E54" s="53"/>
      <c r="F54" s="5">
        <f t="shared" ref="F54:M54" si="42">SUM(F32:F53)</f>
        <v>0</v>
      </c>
      <c r="G54" s="5">
        <f t="shared" si="42"/>
        <v>0</v>
      </c>
      <c r="H54" s="5">
        <f t="shared" si="42"/>
        <v>0</v>
      </c>
      <c r="I54" s="5">
        <f t="shared" si="42"/>
        <v>0</v>
      </c>
      <c r="J54" s="5">
        <f t="shared" si="42"/>
        <v>0</v>
      </c>
      <c r="K54" s="5">
        <f t="shared" si="42"/>
        <v>0</v>
      </c>
      <c r="L54" s="5">
        <f t="shared" si="42"/>
        <v>0</v>
      </c>
      <c r="M54" s="5">
        <f t="shared" si="42"/>
        <v>0</v>
      </c>
      <c r="O54" s="1445"/>
      <c r="P54" s="635" t="s">
        <v>36</v>
      </c>
      <c r="Q54" s="3">
        <f>SUM(Q49:Q53)</f>
        <v>0</v>
      </c>
      <c r="R54" s="3">
        <f>SUM(R49:R53)</f>
        <v>0</v>
      </c>
      <c r="S54" s="4"/>
      <c r="T54" s="1445"/>
      <c r="U54" s="635" t="s">
        <v>36</v>
      </c>
      <c r="V54" s="70">
        <f>SUM(V49:V53)</f>
        <v>0</v>
      </c>
      <c r="X54" s="635" t="s">
        <v>36</v>
      </c>
      <c r="Y54" s="70" t="e">
        <f>SUM(Y49:Y53)</f>
        <v>#VALUE!</v>
      </c>
      <c r="AM54" s="1414"/>
      <c r="AN54" s="1425" t="s">
        <v>562</v>
      </c>
      <c r="AO54" s="1425"/>
      <c r="AP54" s="733" t="s">
        <v>376</v>
      </c>
      <c r="AQ54" s="85">
        <f>R54</f>
        <v>0</v>
      </c>
    </row>
    <row r="55" spans="2:43" ht="15.75" thickBot="1">
      <c r="C55" s="57"/>
      <c r="D55" s="57"/>
      <c r="E55" s="58" t="s">
        <v>167</v>
      </c>
      <c r="F55" s="264">
        <f>F33+F35+F38+F42+F45</f>
        <v>0</v>
      </c>
      <c r="G55" s="264">
        <f t="shared" ref="G55:M55" si="43">G33+G35+G38+G42+G45</f>
        <v>0</v>
      </c>
      <c r="H55" s="264">
        <f t="shared" si="43"/>
        <v>0</v>
      </c>
      <c r="I55" s="264">
        <f t="shared" si="43"/>
        <v>0</v>
      </c>
      <c r="J55" s="264">
        <f t="shared" si="43"/>
        <v>0</v>
      </c>
      <c r="K55" s="264">
        <f t="shared" si="43"/>
        <v>0</v>
      </c>
      <c r="L55" s="264">
        <f t="shared" si="43"/>
        <v>0</v>
      </c>
      <c r="M55" s="264">
        <f t="shared" si="43"/>
        <v>0</v>
      </c>
      <c r="AG55" s="288">
        <f>ROUNDUP(SUMPRODUCT(F55:M55,Q37:X37)*90%,-1)</f>
        <v>0</v>
      </c>
      <c r="AN55" s="1410" t="s">
        <v>44</v>
      </c>
      <c r="AO55" s="1411"/>
      <c r="AP55" s="53"/>
      <c r="AQ55" s="85">
        <f>SUM(AQ32:AQ54)</f>
        <v>0</v>
      </c>
    </row>
    <row r="56" spans="2:43">
      <c r="E56" s="1020" t="s">
        <v>703</v>
      </c>
      <c r="F56" s="264">
        <f>-ROUNDUP(SUM(F32:F35,F37:F46)*$W$2/100,-1)</f>
        <v>0</v>
      </c>
      <c r="G56" s="264">
        <f>-ROUNDUP(SUM(G32:G35,G37:G46)*$W$2/100,-1)</f>
        <v>0</v>
      </c>
      <c r="H56" s="264">
        <f t="shared" ref="H56:K56" si="44">-ROUNDUP(SUM(H32:H35,H37:H46)*$W$2/100,-1)</f>
        <v>0</v>
      </c>
      <c r="I56" s="264">
        <f t="shared" si="44"/>
        <v>0</v>
      </c>
      <c r="J56" s="264">
        <f t="shared" si="44"/>
        <v>0</v>
      </c>
      <c r="K56" s="264">
        <f t="shared" si="44"/>
        <v>0</v>
      </c>
      <c r="L56" s="264">
        <f>-ROUNDUP(SUM(L32:L35,L37:L46)*$W$2/100,-1)</f>
        <v>0</v>
      </c>
      <c r="M56" s="264">
        <f>-ROUNDUP(SUM(M32:M35,M37:M46)*$W$2/100,-1)</f>
        <v>0</v>
      </c>
      <c r="O56" s="1430" t="s">
        <v>428</v>
      </c>
      <c r="P56" s="1430"/>
      <c r="X56" s="1430" t="s">
        <v>427</v>
      </c>
      <c r="Y56" s="1430"/>
      <c r="AO56" s="1"/>
      <c r="AP56" s="57"/>
    </row>
    <row r="57" spans="2:43" ht="15.75" thickBot="1">
      <c r="O57" s="83" t="s">
        <v>429</v>
      </c>
      <c r="P57" s="83" t="s">
        <v>206</v>
      </c>
      <c r="Q57" s="83" t="s">
        <v>207</v>
      </c>
      <c r="R57" s="83" t="s">
        <v>448</v>
      </c>
      <c r="S57" s="83" t="s">
        <v>214</v>
      </c>
      <c r="T57" s="83" t="s">
        <v>215</v>
      </c>
      <c r="U57" s="83" t="s">
        <v>216</v>
      </c>
      <c r="V57" s="282" t="s">
        <v>455</v>
      </c>
      <c r="W57" s="261"/>
      <c r="X57" s="83" t="s">
        <v>429</v>
      </c>
      <c r="Y57" s="83" t="s">
        <v>206</v>
      </c>
      <c r="Z57" s="83" t="s">
        <v>207</v>
      </c>
      <c r="AA57" s="83" t="s">
        <v>448</v>
      </c>
      <c r="AB57" s="83" t="s">
        <v>218</v>
      </c>
      <c r="AC57" s="83" t="s">
        <v>215</v>
      </c>
      <c r="AD57" s="280" t="s">
        <v>453</v>
      </c>
      <c r="AE57" s="282" t="s">
        <v>455</v>
      </c>
    </row>
    <row r="58" spans="2:43" ht="15.75" thickBot="1">
      <c r="C58" s="310" t="s">
        <v>479</v>
      </c>
      <c r="D58" s="311"/>
      <c r="E58" s="312"/>
      <c r="F58" s="313"/>
      <c r="G58" s="313"/>
      <c r="H58" s="313"/>
      <c r="I58" s="313"/>
      <c r="J58" s="313"/>
      <c r="K58" s="313"/>
      <c r="L58" s="313"/>
      <c r="M58" s="314"/>
      <c r="O58" s="61" t="str">
        <f>IF(月途中入退所情報!$D8=$B$2,月途中入退所情報!F8,"-")</f>
        <v>-</v>
      </c>
      <c r="P58" s="61" t="str">
        <f>IF(月途中入退所情報!$D8=$B$2,月途中入退所情報!G8,"-")</f>
        <v>-</v>
      </c>
      <c r="Q58" s="61" t="str">
        <f>IF(月途中入退所情報!$D8=$B$2,月途中入退所情報!H8,"-")</f>
        <v>-</v>
      </c>
      <c r="R58" s="61" t="str">
        <f>IF(月途中入退所情報!$D8=$B$2,月途中入退所情報!I8,"-")</f>
        <v>-</v>
      </c>
      <c r="S58" s="61" t="str">
        <f>IF(月途中入退所情報!$D8=$B$2,月途中入退所情報!J8,"-")</f>
        <v>-</v>
      </c>
      <c r="T58" s="84">
        <f>IF($Q58="標準時間",HLOOKUP($P58,$F$5:$I$27,23,FALSE)-SUM($F$10,$F$21:$F$24,$F$26)-HLOOKUP($P58,$F$5:$I$27,16,FALSE)+HLOOKUP($P58,$F$5:$I$29,25,FALSE),IF($Q58="短時間",HLOOKUP($P58,$J$5:$M$27,23,FALSE)-SUM($F$10,$F$21:$F$24,$F$26)-HLOOKUP($P58,$J$5:$M$27,16,FALSE)+HLOOKUP($P58,$J$5:$M$29,25,FALSE),0))+IF(R58="○",加算と減算!$AH$3,0)</f>
        <v>0</v>
      </c>
      <c r="U58" s="85">
        <f t="shared" ref="U58:U77" si="45">IFERROR(ROUNDDOWN(T58*S58/25,-1),0)</f>
        <v>0</v>
      </c>
      <c r="V58" s="262">
        <f>IFERROR(ROUNDDOWN(IF($Q58="標準時間",HLOOKUP($P58,$F$5:$I$28,24,FALSE),IF($Q58="短時間",HLOOKUP($P58,$J$5:$M$28,24,FALSE),0))*S58/25,-1),0)</f>
        <v>0</v>
      </c>
      <c r="W58" s="262"/>
      <c r="X58" s="61" t="str">
        <f>IF(月途中入退所情報!$N8=$B$2,月途中入退所情報!$P8,"-")</f>
        <v>-</v>
      </c>
      <c r="Y58" s="61" t="str">
        <f>IF(月途中入退所情報!$N8=$B$2,月途中入退所情報!$Q8,"-")</f>
        <v>-</v>
      </c>
      <c r="Z58" s="61" t="str">
        <f>IF(月途中入退所情報!$N8=$B$2,月途中入退所情報!$R8,"-")</f>
        <v>-</v>
      </c>
      <c r="AA58" s="61" t="str">
        <f>IF(月途中入退所情報!$N8=$B$2,月途中入退所情報!$S8,"-")</f>
        <v>-</v>
      </c>
      <c r="AB58" s="61" t="str">
        <f>IF(月途中入退所情報!$N8=$B$2,月途中入退所情報!$T8,"-")</f>
        <v>-</v>
      </c>
      <c r="AC58" s="84">
        <f>IF($Z58="標準時間",HLOOKUP($Y58,$F$5:$I$27,23,FALSE)-SUM($F$10,$F$21:$F$24,$F$26)-HLOOKUP($Y58,$F$5:$I$27,16,FALSE)+HLOOKUP($Y58,$F$5:$I$29,25,FALSE),IF($Z58="短時間",HLOOKUP($Y58,$J$5:$M$27,23,FALSE)-SUM($F$10,$F$21:$F$24,$F$26)-HLOOKUP($Y58,$J$5:$M$27,16,FALSE)+HLOOKUP($Y58,$J$5:$M$29,25,FALSE),0))+IF(AA58="○",加算と減算!$AH$3,0)</f>
        <v>0</v>
      </c>
      <c r="AD58" s="85">
        <f t="shared" ref="AD58:AD77" si="46">IFERROR(-ROUNDUP(AC58*AB58/25,-1),0)</f>
        <v>0</v>
      </c>
      <c r="AE58" s="262">
        <f t="shared" ref="AE58:AE77" si="47">IFERROR(-ROUNDUP(IF($Z58="標準時間",HLOOKUP($Y58,$F$5:$I$28,24,FALSE),IF($Z58="短時間",HLOOKUP($Y58,$J$5:$M$28,24,FALSE),0))*AB58/25,-1),0)</f>
        <v>0</v>
      </c>
    </row>
    <row r="59" spans="2:43">
      <c r="C59" s="307"/>
      <c r="D59" s="308"/>
      <c r="E59" s="309"/>
      <c r="F59" s="1417" t="s">
        <v>15</v>
      </c>
      <c r="G59" s="1417"/>
      <c r="H59" s="1417"/>
      <c r="I59" s="1417"/>
      <c r="J59" s="1417" t="s">
        <v>16</v>
      </c>
      <c r="K59" s="1417"/>
      <c r="L59" s="1417"/>
      <c r="M59" s="1417"/>
      <c r="O59" s="61" t="str">
        <f>IF(月途中入退所情報!$D9=$B$2,月途中入退所情報!F9,"-")</f>
        <v>-</v>
      </c>
      <c r="P59" s="61" t="str">
        <f>IF(月途中入退所情報!$D9=$B$2,月途中入退所情報!G9,"-")</f>
        <v>-</v>
      </c>
      <c r="Q59" s="61" t="str">
        <f>IF(月途中入退所情報!$D9=$B$2,月途中入退所情報!H9,"-")</f>
        <v>-</v>
      </c>
      <c r="R59" s="61" t="str">
        <f>IF(月途中入退所情報!$D9=$B$2,月途中入退所情報!I9,"-")</f>
        <v>-</v>
      </c>
      <c r="S59" s="61" t="str">
        <f>IF(月途中入退所情報!$D9=$B$2,月途中入退所情報!J9,"-")</f>
        <v>-</v>
      </c>
      <c r="T59" s="84">
        <f>IF($Q59="標準時間",HLOOKUP($P59,$F$5:$I$27,23,FALSE)-SUM($F$10,$F$21:$F$24,$F$26)-HLOOKUP($P59,$F$5:$I$27,16,FALSE)+HLOOKUP($P59,$F$5:$I$29,25,FALSE),IF($Q59="短時間",HLOOKUP($P59,$J$5:$M$27,23,FALSE)-SUM($F$10,$F$21:$F$24,$F$26)-HLOOKUP($P59,$J$5:$M$27,16,FALSE)+HLOOKUP($P59,$J$5:$M$29,25,FALSE),0))+IF(R59="○",加算と減算!$AH$3,0)</f>
        <v>0</v>
      </c>
      <c r="U59" s="85">
        <f t="shared" si="45"/>
        <v>0</v>
      </c>
      <c r="V59" s="262">
        <f t="shared" ref="V59:V77" si="48">IFERROR(ROUNDDOWN(IF($Q59="標準時間",HLOOKUP($P59,$F$5:$I$28,24,FALSE),IF($Q59="短時間",HLOOKUP($P59,$J$5:$M$28,24,FALSE),0))*S59/25,-1),0)</f>
        <v>0</v>
      </c>
      <c r="W59" s="262"/>
      <c r="X59" s="61" t="str">
        <f>IF(月途中入退所情報!$N9=$B$2,月途中入退所情報!$P9,"-")</f>
        <v>-</v>
      </c>
      <c r="Y59" s="61" t="str">
        <f>IF(月途中入退所情報!$N9=$B$2,月途中入退所情報!$Q9,"-")</f>
        <v>-</v>
      </c>
      <c r="Z59" s="61" t="str">
        <f>IF(月途中入退所情報!$N9=$B$2,月途中入退所情報!$R9,"-")</f>
        <v>-</v>
      </c>
      <c r="AA59" s="61" t="str">
        <f>IF(月途中入退所情報!$N9=$B$2,月途中入退所情報!$S9,"-")</f>
        <v>-</v>
      </c>
      <c r="AB59" s="61" t="str">
        <f>IF(月途中入退所情報!$N9=$B$2,月途中入退所情報!$T9,"-")</f>
        <v>-</v>
      </c>
      <c r="AC59" s="84">
        <f>IF($Z59="標準時間",HLOOKUP($Y59,$F$5:$I$27,23,FALSE)-SUM($F$10,$F$21:$F$24,$F$26)-HLOOKUP($Y59,$F$5:$I$27,16,FALSE)+HLOOKUP($Y59,$F$5:$I$29,25,FALSE),IF($Z59="短時間",HLOOKUP($Y59,$J$5:$M$27,23,FALSE)-SUM($F$10,$F$21:$F$24,$F$26)-HLOOKUP($Y59,$J$5:$M$27,16,FALSE)+HLOOKUP($Y59,$J$5:$M$29,25,FALSE),0))+IF(AA59="○",加算と減算!$AH$3,0)</f>
        <v>0</v>
      </c>
      <c r="AD59" s="85">
        <f t="shared" si="46"/>
        <v>0</v>
      </c>
      <c r="AE59" s="262">
        <f t="shared" si="47"/>
        <v>0</v>
      </c>
    </row>
    <row r="60" spans="2:43">
      <c r="C60" s="307"/>
      <c r="D60" s="308"/>
      <c r="E60" s="309"/>
      <c r="F60" s="369" t="s">
        <v>6</v>
      </c>
      <c r="G60" s="369" t="s">
        <v>7</v>
      </c>
      <c r="H60" s="369" t="s">
        <v>8</v>
      </c>
      <c r="I60" s="369" t="s">
        <v>9</v>
      </c>
      <c r="J60" s="369" t="s">
        <v>6</v>
      </c>
      <c r="K60" s="369" t="s">
        <v>7</v>
      </c>
      <c r="L60" s="369" t="s">
        <v>8</v>
      </c>
      <c r="M60" s="369" t="s">
        <v>9</v>
      </c>
      <c r="O60" s="61" t="str">
        <f>IF(月途中入退所情報!$D10=$B$2,月途中入退所情報!F10,"-")</f>
        <v>-</v>
      </c>
      <c r="P60" s="61" t="str">
        <f>IF(月途中入退所情報!$D10=$B$2,月途中入退所情報!G10,"-")</f>
        <v>-</v>
      </c>
      <c r="Q60" s="61" t="str">
        <f>IF(月途中入退所情報!$D10=$B$2,月途中入退所情報!H10,"-")</f>
        <v>-</v>
      </c>
      <c r="R60" s="61" t="str">
        <f>IF(月途中入退所情報!$D10=$B$2,月途中入退所情報!I10,"-")</f>
        <v>-</v>
      </c>
      <c r="S60" s="61" t="str">
        <f>IF(月途中入退所情報!$D10=$B$2,月途中入退所情報!J10,"-")</f>
        <v>-</v>
      </c>
      <c r="T60" s="84">
        <f>IF($Q60="標準時間",HLOOKUP($P60,$F$5:$I$27,23,FALSE)-SUM($F$10,$F$21:$F$24,$F$26)-HLOOKUP($P60,$F$5:$I$27,16,FALSE)+HLOOKUP($P60,$F$5:$I$29,25,FALSE),IF($Q60="短時間",HLOOKUP($P60,$J$5:$M$27,23,FALSE)-SUM($F$10,$F$21:$F$24,$F$26)-HLOOKUP($P60,$J$5:$M$27,16,FALSE)+HLOOKUP($P60,$J$5:$M$29,25,FALSE),0))+IF(R60="○",加算と減算!$AH$3,0)</f>
        <v>0</v>
      </c>
      <c r="U60" s="85">
        <f t="shared" si="45"/>
        <v>0</v>
      </c>
      <c r="V60" s="262">
        <f t="shared" si="48"/>
        <v>0</v>
      </c>
      <c r="W60" s="262"/>
      <c r="X60" s="61" t="str">
        <f>IF(月途中入退所情報!$N10=$B$2,月途中入退所情報!$P10,"-")</f>
        <v>-</v>
      </c>
      <c r="Y60" s="61" t="str">
        <f>IF(月途中入退所情報!$N10=$B$2,月途中入退所情報!$Q10,"-")</f>
        <v>-</v>
      </c>
      <c r="Z60" s="61" t="str">
        <f>IF(月途中入退所情報!$N10=$B$2,月途中入退所情報!$R10,"-")</f>
        <v>-</v>
      </c>
      <c r="AA60" s="61" t="str">
        <f>IF(月途中入退所情報!$N10=$B$2,月途中入退所情報!$S10,"-")</f>
        <v>-</v>
      </c>
      <c r="AB60" s="61" t="str">
        <f>IF(月途中入退所情報!$N10=$B$2,月途中入退所情報!$T10,"-")</f>
        <v>-</v>
      </c>
      <c r="AC60" s="84">
        <f>IF($Z60="標準時間",HLOOKUP($Y60,$F$5:$I$27,23,FALSE)-SUM($F$10,$F$21:$F$24,$F$26)-HLOOKUP($Y60,$F$5:$I$27,16,FALSE)+HLOOKUP($Y60,$F$5:$I$29,25,FALSE),IF($Z60="短時間",HLOOKUP($Y60,$J$5:$M$27,23,FALSE)-SUM($F$10,$F$21:$F$24,$F$26)-HLOOKUP($Y60,$J$5:$M$27,16,FALSE)+HLOOKUP($Y60,$J$5:$M$29,25,FALSE),0))+IF(AA60="○",加算と減算!$AH$3,0)</f>
        <v>0</v>
      </c>
      <c r="AD60" s="85">
        <f t="shared" si="46"/>
        <v>0</v>
      </c>
      <c r="AE60" s="262">
        <f t="shared" si="47"/>
        <v>0</v>
      </c>
    </row>
    <row r="61" spans="2:43">
      <c r="C61" s="307"/>
      <c r="D61" s="1432" t="s">
        <v>482</v>
      </c>
      <c r="E61" s="320" t="s">
        <v>480</v>
      </c>
      <c r="F61" s="85" t="e">
        <f t="shared" ref="F61:M61" si="49">-ROUNDDOWN((F7+F9+F1)*$S$2%,-1)</f>
        <v>#VALUE!</v>
      </c>
      <c r="G61" s="85" t="e">
        <f t="shared" si="49"/>
        <v>#VALUE!</v>
      </c>
      <c r="H61" s="85" t="e">
        <f t="shared" si="49"/>
        <v>#VALUE!</v>
      </c>
      <c r="I61" s="85" t="e">
        <f t="shared" si="49"/>
        <v>#VALUE!</v>
      </c>
      <c r="J61" s="85" t="e">
        <f t="shared" si="49"/>
        <v>#VALUE!</v>
      </c>
      <c r="K61" s="85" t="e">
        <f t="shared" si="49"/>
        <v>#VALUE!</v>
      </c>
      <c r="L61" s="85" t="e">
        <f t="shared" si="49"/>
        <v>#VALUE!</v>
      </c>
      <c r="M61" s="85" t="e">
        <f t="shared" si="49"/>
        <v>#VALUE!</v>
      </c>
      <c r="O61" s="61" t="str">
        <f>IF(月途中入退所情報!$D11=$B$2,月途中入退所情報!F11,"-")</f>
        <v>-</v>
      </c>
      <c r="P61" s="61" t="str">
        <f>IF(月途中入退所情報!$D11=$B$2,月途中入退所情報!G11,"-")</f>
        <v>-</v>
      </c>
      <c r="Q61" s="61" t="str">
        <f>IF(月途中入退所情報!$D11=$B$2,月途中入退所情報!H11,"-")</f>
        <v>-</v>
      </c>
      <c r="R61" s="61" t="str">
        <f>IF(月途中入退所情報!$D11=$B$2,月途中入退所情報!I11,"-")</f>
        <v>-</v>
      </c>
      <c r="S61" s="61" t="str">
        <f>IF(月途中入退所情報!$D11=$B$2,月途中入退所情報!J11,"-")</f>
        <v>-</v>
      </c>
      <c r="T61" s="84">
        <f>IF($Q61="標準時間",HLOOKUP($P61,$F$5:$I$27,23,FALSE)-SUM($F$10,$F$21:$F$24,$F$26)-HLOOKUP($P61,$F$5:$I$27,16,FALSE)+HLOOKUP($P61,$F$5:$I$29,25,FALSE),IF($Q61="短時間",HLOOKUP($P61,$J$5:$M$27,23,FALSE)-SUM($F$10,$F$21:$F$24,$F$26)-HLOOKUP($P61,$J$5:$M$27,16,FALSE)+HLOOKUP($P61,$J$5:$M$29,25,FALSE),0))+IF(R61="○",加算と減算!$AH$3,0)</f>
        <v>0</v>
      </c>
      <c r="U61" s="85">
        <f t="shared" si="45"/>
        <v>0</v>
      </c>
      <c r="V61" s="262">
        <f t="shared" si="48"/>
        <v>0</v>
      </c>
      <c r="W61" s="262"/>
      <c r="X61" s="61" t="str">
        <f>IF(月途中入退所情報!$N11=$B$2,月途中入退所情報!$P11,"-")</f>
        <v>-</v>
      </c>
      <c r="Y61" s="61" t="str">
        <f>IF(月途中入退所情報!$N11=$B$2,月途中入退所情報!$Q11,"-")</f>
        <v>-</v>
      </c>
      <c r="Z61" s="61" t="str">
        <f>IF(月途中入退所情報!$N11=$B$2,月途中入退所情報!$R11,"-")</f>
        <v>-</v>
      </c>
      <c r="AA61" s="61" t="str">
        <f>IF(月途中入退所情報!$N11=$B$2,月途中入退所情報!$S11,"-")</f>
        <v>-</v>
      </c>
      <c r="AB61" s="61" t="str">
        <f>IF(月途中入退所情報!$N11=$B$2,月途中入退所情報!$T11,"-")</f>
        <v>-</v>
      </c>
      <c r="AC61" s="84">
        <f>IF($Z61="標準時間",HLOOKUP($Y61,$F$5:$I$27,23,FALSE)-SUM($F$10,$F$21:$F$24,$F$26)-HLOOKUP($Y61,$F$5:$I$27,16,FALSE)+HLOOKUP($Y61,$F$5:$I$29,25,FALSE),IF($Z61="短時間",HLOOKUP($Y61,$J$5:$M$27,23,FALSE)-SUM($F$10,$F$21:$F$24,$F$26)-HLOOKUP($Y61,$J$5:$M$27,16,FALSE)+HLOOKUP($Y61,$J$5:$M$29,25,FALSE),0))+IF(AA61="○",加算と減算!$AH$3,0)</f>
        <v>0</v>
      </c>
      <c r="AD61" s="85">
        <f t="shared" si="46"/>
        <v>0</v>
      </c>
      <c r="AE61" s="262">
        <f t="shared" si="47"/>
        <v>0</v>
      </c>
    </row>
    <row r="62" spans="2:43">
      <c r="C62" s="307"/>
      <c r="D62" s="1432"/>
      <c r="E62" s="320" t="s">
        <v>481</v>
      </c>
      <c r="F62" s="85" t="e">
        <f>F61*Q11</f>
        <v>#VALUE!</v>
      </c>
      <c r="G62" s="85" t="e">
        <f t="shared" ref="G62:M62" si="50">G61*R11</f>
        <v>#VALUE!</v>
      </c>
      <c r="H62" s="85" t="e">
        <f t="shared" si="50"/>
        <v>#VALUE!</v>
      </c>
      <c r="I62" s="85" t="e">
        <f t="shared" si="50"/>
        <v>#VALUE!</v>
      </c>
      <c r="J62" s="85" t="e">
        <f t="shared" si="50"/>
        <v>#VALUE!</v>
      </c>
      <c r="K62" s="85" t="e">
        <f t="shared" si="50"/>
        <v>#VALUE!</v>
      </c>
      <c r="L62" s="85" t="e">
        <f t="shared" si="50"/>
        <v>#VALUE!</v>
      </c>
      <c r="M62" s="85" t="e">
        <f t="shared" si="50"/>
        <v>#VALUE!</v>
      </c>
      <c r="O62" s="61" t="str">
        <f>IF(月途中入退所情報!$D12=$B$2,月途中入退所情報!F12,"-")</f>
        <v>-</v>
      </c>
      <c r="P62" s="61" t="str">
        <f>IF(月途中入退所情報!$D12=$B$2,月途中入退所情報!G12,"-")</f>
        <v>-</v>
      </c>
      <c r="Q62" s="61" t="str">
        <f>IF(月途中入退所情報!$D12=$B$2,月途中入退所情報!H12,"-")</f>
        <v>-</v>
      </c>
      <c r="R62" s="61" t="str">
        <f>IF(月途中入退所情報!$D12=$B$2,月途中入退所情報!I12,"-")</f>
        <v>-</v>
      </c>
      <c r="S62" s="61" t="str">
        <f>IF(月途中入退所情報!$D12=$B$2,月途中入退所情報!J12,"-")</f>
        <v>-</v>
      </c>
      <c r="T62" s="84">
        <f>IF($Q62="標準時間",HLOOKUP($P62,$F$5:$I$27,23,FALSE)-SUM($F$10,$F$21:$F$24,$F$26)-HLOOKUP($P62,$F$5:$I$27,16,FALSE)+HLOOKUP($P62,$F$5:$I$29,25,FALSE),IF($Q62="短時間",HLOOKUP($P62,$J$5:$M$27,23,FALSE)-SUM($F$10,$F$21:$F$24,$F$26)-HLOOKUP($P62,$J$5:$M$27,16,FALSE)+HLOOKUP($P62,$J$5:$M$29,25,FALSE),0))+IF(R62="○",加算と減算!$AH$3,0)</f>
        <v>0</v>
      </c>
      <c r="U62" s="85">
        <f t="shared" si="45"/>
        <v>0</v>
      </c>
      <c r="V62" s="262">
        <f t="shared" si="48"/>
        <v>0</v>
      </c>
      <c r="W62" s="262"/>
      <c r="X62" s="61" t="str">
        <f>IF(月途中入退所情報!$N12=$B$2,月途中入退所情報!$P12,"-")</f>
        <v>-</v>
      </c>
      <c r="Y62" s="61" t="str">
        <f>IF(月途中入退所情報!$N12=$B$2,月途中入退所情報!$Q12,"-")</f>
        <v>-</v>
      </c>
      <c r="Z62" s="61" t="str">
        <f>IF(月途中入退所情報!$N12=$B$2,月途中入退所情報!$R12,"-")</f>
        <v>-</v>
      </c>
      <c r="AA62" s="61" t="str">
        <f>IF(月途中入退所情報!$N12=$B$2,月途中入退所情報!$S12,"-")</f>
        <v>-</v>
      </c>
      <c r="AB62" s="61" t="str">
        <f>IF(月途中入退所情報!$N12=$B$2,月途中入退所情報!$T12,"-")</f>
        <v>-</v>
      </c>
      <c r="AC62" s="84">
        <f>IF($Z62="標準時間",HLOOKUP($Y62,$F$5:$I$27,23,FALSE)-SUM($F$10,$F$21:$F$24,$F$26)-HLOOKUP($Y62,$F$5:$I$27,16,FALSE)+HLOOKUP($Y62,$F$5:$I$29,25,FALSE),IF($Z62="短時間",HLOOKUP($Y62,$J$5:$M$27,23,FALSE)-SUM($F$10,$F$21:$F$24,$F$26)-HLOOKUP($Y62,$J$5:$M$27,16,FALSE)+HLOOKUP($Y62,$J$5:$M$29,25,FALSE),0))+IF(AA62="○",加算と減算!$AH$3,0)</f>
        <v>0</v>
      </c>
      <c r="AD62" s="85">
        <f t="shared" si="46"/>
        <v>0</v>
      </c>
      <c r="AE62" s="262">
        <f t="shared" si="47"/>
        <v>0</v>
      </c>
    </row>
    <row r="63" spans="2:43">
      <c r="C63" s="307"/>
      <c r="D63" s="317"/>
      <c r="E63" s="315"/>
      <c r="F63" s="316"/>
      <c r="G63" s="316"/>
      <c r="H63" s="316"/>
      <c r="I63" s="316"/>
      <c r="J63" s="316"/>
      <c r="K63" s="316"/>
      <c r="L63" s="316"/>
      <c r="M63" s="316"/>
      <c r="O63" s="61" t="str">
        <f>IF(月途中入退所情報!$D13=$B$2,月途中入退所情報!F13,"-")</f>
        <v>-</v>
      </c>
      <c r="P63" s="61" t="str">
        <f>IF(月途中入退所情報!$D13=$B$2,月途中入退所情報!G13,"-")</f>
        <v>-</v>
      </c>
      <c r="Q63" s="61" t="str">
        <f>IF(月途中入退所情報!$D13=$B$2,月途中入退所情報!H13,"-")</f>
        <v>-</v>
      </c>
      <c r="R63" s="61" t="str">
        <f>IF(月途中入退所情報!$D13=$B$2,月途中入退所情報!I13,"-")</f>
        <v>-</v>
      </c>
      <c r="S63" s="61" t="str">
        <f>IF(月途中入退所情報!$D13=$B$2,月途中入退所情報!J13,"-")</f>
        <v>-</v>
      </c>
      <c r="T63" s="84">
        <f>IF($Q63="標準時間",HLOOKUP($P63,$F$5:$I$27,23,FALSE)-SUM($F$10,$F$21:$F$24,$F$26)-HLOOKUP($P63,$F$5:$I$27,16,FALSE)+HLOOKUP($P63,$F$5:$I$29,25,FALSE),IF($Q63="短時間",HLOOKUP($P63,$J$5:$M$27,23,FALSE)-SUM($F$10,$F$21:$F$24,$F$26)-HLOOKUP($P63,$J$5:$M$27,16,FALSE)+HLOOKUP($P63,$J$5:$M$29,25,FALSE),0))+IF(R63="○",加算と減算!$AH$3,0)</f>
        <v>0</v>
      </c>
      <c r="U63" s="85">
        <f t="shared" si="45"/>
        <v>0</v>
      </c>
      <c r="V63" s="262">
        <f t="shared" si="48"/>
        <v>0</v>
      </c>
      <c r="W63" s="262"/>
      <c r="X63" s="61" t="str">
        <f>IF(月途中入退所情報!$N13=$B$2,月途中入退所情報!$P13,"-")</f>
        <v>-</v>
      </c>
      <c r="Y63" s="61" t="str">
        <f>IF(月途中入退所情報!$N13=$B$2,月途中入退所情報!$Q13,"-")</f>
        <v>-</v>
      </c>
      <c r="Z63" s="61" t="str">
        <f>IF(月途中入退所情報!$N13=$B$2,月途中入退所情報!$R13,"-")</f>
        <v>-</v>
      </c>
      <c r="AA63" s="61" t="str">
        <f>IF(月途中入退所情報!$N13=$B$2,月途中入退所情報!$S13,"-")</f>
        <v>-</v>
      </c>
      <c r="AB63" s="61" t="str">
        <f>IF(月途中入退所情報!$N13=$B$2,月途中入退所情報!$T13,"-")</f>
        <v>-</v>
      </c>
      <c r="AC63" s="84">
        <f>IF($Z63="標準時間",HLOOKUP($Y63,$F$5:$I$27,23,FALSE)-SUM($F$10,$F$21:$F$24,$F$26)-HLOOKUP($Y63,$F$5:$I$27,16,FALSE)+HLOOKUP($Y63,$F$5:$I$29,25,FALSE),IF($Z63="短時間",HLOOKUP($Y63,$J$5:$M$27,23,FALSE)-SUM($F$10,$F$21:$F$24,$F$26)-HLOOKUP($Y63,$J$5:$M$27,16,FALSE)+HLOOKUP($Y63,$J$5:$M$29,25,FALSE),0))+IF(AA63="○",加算と減算!$AH$3,0)</f>
        <v>0</v>
      </c>
      <c r="AD63" s="85">
        <f t="shared" si="46"/>
        <v>0</v>
      </c>
      <c r="AE63" s="262">
        <f t="shared" si="47"/>
        <v>0</v>
      </c>
    </row>
    <row r="64" spans="2:43">
      <c r="C64" s="307"/>
      <c r="D64" s="308"/>
      <c r="E64" s="309"/>
      <c r="F64" s="369" t="s">
        <v>6</v>
      </c>
      <c r="G64" s="369" t="s">
        <v>7</v>
      </c>
      <c r="H64" s="369" t="s">
        <v>8</v>
      </c>
      <c r="I64" s="369" t="s">
        <v>9</v>
      </c>
      <c r="J64" s="369" t="s">
        <v>6</v>
      </c>
      <c r="K64" s="369" t="s">
        <v>7</v>
      </c>
      <c r="L64" s="369" t="s">
        <v>8</v>
      </c>
      <c r="M64" s="369" t="s">
        <v>9</v>
      </c>
      <c r="O64" s="61" t="str">
        <f>IF(月途中入退所情報!$D14=$B$2,月途中入退所情報!F14,"-")</f>
        <v>-</v>
      </c>
      <c r="P64" s="61" t="str">
        <f>IF(月途中入退所情報!$D14=$B$2,月途中入退所情報!G14,"-")</f>
        <v>-</v>
      </c>
      <c r="Q64" s="61" t="str">
        <f>IF(月途中入退所情報!$D14=$B$2,月途中入退所情報!H14,"-")</f>
        <v>-</v>
      </c>
      <c r="R64" s="61" t="str">
        <f>IF(月途中入退所情報!$D14=$B$2,月途中入退所情報!I14,"-")</f>
        <v>-</v>
      </c>
      <c r="S64" s="61" t="str">
        <f>IF(月途中入退所情報!$D14=$B$2,月途中入退所情報!J14,"-")</f>
        <v>-</v>
      </c>
      <c r="T64" s="84">
        <f>IF($Q64="標準時間",HLOOKUP($P64,$F$5:$I$27,23,FALSE)-SUM($F$10,$F$21:$F$24,$F$26)-HLOOKUP($P64,$F$5:$I$27,16,FALSE)+HLOOKUP($P64,$F$5:$I$29,25,FALSE),IF($Q64="短時間",HLOOKUP($P64,$J$5:$M$27,23,FALSE)-SUM($F$10,$F$21:$F$24,$F$26)-HLOOKUP($P64,$J$5:$M$27,16,FALSE)+HLOOKUP($P64,$J$5:$M$29,25,FALSE),0))+IF(R64="○",加算と減算!$AH$3,0)</f>
        <v>0</v>
      </c>
      <c r="U64" s="85">
        <f t="shared" si="45"/>
        <v>0</v>
      </c>
      <c r="V64" s="262">
        <f t="shared" si="48"/>
        <v>0</v>
      </c>
      <c r="W64" s="262"/>
      <c r="X64" s="61" t="str">
        <f>IF(月途中入退所情報!$N14=$B$2,月途中入退所情報!$P14,"-")</f>
        <v>-</v>
      </c>
      <c r="Y64" s="61" t="str">
        <f>IF(月途中入退所情報!$N14=$B$2,月途中入退所情報!$Q14,"-")</f>
        <v>-</v>
      </c>
      <c r="Z64" s="61" t="str">
        <f>IF(月途中入退所情報!$N14=$B$2,月途中入退所情報!$R14,"-")</f>
        <v>-</v>
      </c>
      <c r="AA64" s="61" t="str">
        <f>IF(月途中入退所情報!$N14=$B$2,月途中入退所情報!$S14,"-")</f>
        <v>-</v>
      </c>
      <c r="AB64" s="61" t="str">
        <f>IF(月途中入退所情報!$N14=$B$2,月途中入退所情報!$T14,"-")</f>
        <v>-</v>
      </c>
      <c r="AC64" s="84">
        <f>IF($Z64="標準時間",HLOOKUP($Y64,$F$5:$I$27,23,FALSE)-SUM($F$10,$F$21:$F$24,$F$26)-HLOOKUP($Y64,$F$5:$I$27,16,FALSE)+HLOOKUP($Y64,$F$5:$I$29,25,FALSE),IF($Z64="短時間",HLOOKUP($Y64,$J$5:$M$27,23,FALSE)-SUM($F$10,$F$21:$F$24,$F$26)-HLOOKUP($Y64,$J$5:$M$27,16,FALSE)+HLOOKUP($Y64,$J$5:$M$29,25,FALSE),0))+IF(AA64="○",加算と減算!$AH$3,0)</f>
        <v>0</v>
      </c>
      <c r="AD64" s="85">
        <f t="shared" si="46"/>
        <v>0</v>
      </c>
      <c r="AE64" s="262">
        <f t="shared" si="47"/>
        <v>0</v>
      </c>
    </row>
    <row r="65" spans="3:31">
      <c r="C65" s="307"/>
      <c r="D65" s="1432" t="s">
        <v>483</v>
      </c>
      <c r="E65" s="320" t="s">
        <v>480</v>
      </c>
      <c r="F65" s="85">
        <f t="shared" ref="F65:M65" si="51">-ROUNDDOWN((F33+F35+F38)*$T$2%,-1)</f>
        <v>0</v>
      </c>
      <c r="G65" s="85">
        <f t="shared" si="51"/>
        <v>0</v>
      </c>
      <c r="H65" s="85">
        <f t="shared" si="51"/>
        <v>0</v>
      </c>
      <c r="I65" s="85">
        <f t="shared" si="51"/>
        <v>0</v>
      </c>
      <c r="J65" s="85">
        <f t="shared" si="51"/>
        <v>0</v>
      </c>
      <c r="K65" s="85">
        <f t="shared" si="51"/>
        <v>0</v>
      </c>
      <c r="L65" s="85">
        <f t="shared" si="51"/>
        <v>0</v>
      </c>
      <c r="M65" s="85">
        <f t="shared" si="51"/>
        <v>0</v>
      </c>
      <c r="O65" s="61" t="str">
        <f>IF(月途中入退所情報!$D15=$B$2,月途中入退所情報!F15,"-")</f>
        <v>-</v>
      </c>
      <c r="P65" s="61" t="str">
        <f>IF(月途中入退所情報!$D15=$B$2,月途中入退所情報!G15,"-")</f>
        <v>-</v>
      </c>
      <c r="Q65" s="61" t="str">
        <f>IF(月途中入退所情報!$D15=$B$2,月途中入退所情報!H15,"-")</f>
        <v>-</v>
      </c>
      <c r="R65" s="61" t="str">
        <f>IF(月途中入退所情報!$D15=$B$2,月途中入退所情報!I15,"-")</f>
        <v>-</v>
      </c>
      <c r="S65" s="61" t="str">
        <f>IF(月途中入退所情報!$D15=$B$2,月途中入退所情報!J15,"-")</f>
        <v>-</v>
      </c>
      <c r="T65" s="84">
        <f>IF($Q65="標準時間",HLOOKUP($P65,$F$5:$I$27,23,FALSE)-SUM($F$10,$F$21:$F$24,$F$26)-HLOOKUP($P65,$F$5:$I$27,16,FALSE)+HLOOKUP($P65,$F$5:$I$29,25,FALSE),IF($Q65="短時間",HLOOKUP($P65,$J$5:$M$27,23,FALSE)-SUM($F$10,$F$21:$F$24,$F$26)-HLOOKUP($P65,$J$5:$M$27,16,FALSE)+HLOOKUP($P65,$J$5:$M$29,25,FALSE),0))+IF(R65="○",加算と減算!$AH$3,0)</f>
        <v>0</v>
      </c>
      <c r="U65" s="85">
        <f t="shared" si="45"/>
        <v>0</v>
      </c>
      <c r="V65" s="262">
        <f t="shared" si="48"/>
        <v>0</v>
      </c>
      <c r="W65" s="262"/>
      <c r="X65" s="61" t="str">
        <f>IF(月途中入退所情報!$N15=$B$2,月途中入退所情報!$P15,"-")</f>
        <v>-</v>
      </c>
      <c r="Y65" s="61" t="str">
        <f>IF(月途中入退所情報!$N15=$B$2,月途中入退所情報!$Q15,"-")</f>
        <v>-</v>
      </c>
      <c r="Z65" s="61" t="str">
        <f>IF(月途中入退所情報!$N15=$B$2,月途中入退所情報!$R15,"-")</f>
        <v>-</v>
      </c>
      <c r="AA65" s="61" t="str">
        <f>IF(月途中入退所情報!$N15=$B$2,月途中入退所情報!$S15,"-")</f>
        <v>-</v>
      </c>
      <c r="AB65" s="61" t="str">
        <f>IF(月途中入退所情報!$N15=$B$2,月途中入退所情報!$T15,"-")</f>
        <v>-</v>
      </c>
      <c r="AC65" s="84">
        <f>IF($Z65="標準時間",HLOOKUP($Y65,$F$5:$I$27,23,FALSE)-SUM($F$10,$F$21:$F$24,$F$26)-HLOOKUP($Y65,$F$5:$I$27,16,FALSE)+HLOOKUP($Y65,$F$5:$I$29,25,FALSE),IF($Z65="短時間",HLOOKUP($Y65,$J$5:$M$27,23,FALSE)-SUM($F$10,$F$21:$F$24,$F$26)-HLOOKUP($Y65,$J$5:$M$27,16,FALSE)+HLOOKUP($Y65,$J$5:$M$29,25,FALSE),0))+IF(AA65="○",加算と減算!$AH$3,0)</f>
        <v>0</v>
      </c>
      <c r="AD65" s="85">
        <f t="shared" si="46"/>
        <v>0</v>
      </c>
      <c r="AE65" s="262">
        <f t="shared" si="47"/>
        <v>0</v>
      </c>
    </row>
    <row r="66" spans="3:31">
      <c r="C66" s="307"/>
      <c r="D66" s="1432"/>
      <c r="E66" s="320" t="s">
        <v>481</v>
      </c>
      <c r="F66" s="85">
        <f>F65*Q37</f>
        <v>0</v>
      </c>
      <c r="G66" s="85">
        <f t="shared" ref="G66:M66" si="52">G65*R37</f>
        <v>0</v>
      </c>
      <c r="H66" s="85">
        <f t="shared" si="52"/>
        <v>0</v>
      </c>
      <c r="I66" s="85">
        <f t="shared" si="52"/>
        <v>0</v>
      </c>
      <c r="J66" s="85">
        <f t="shared" si="52"/>
        <v>0</v>
      </c>
      <c r="K66" s="85">
        <f t="shared" si="52"/>
        <v>0</v>
      </c>
      <c r="L66" s="85">
        <f t="shared" si="52"/>
        <v>0</v>
      </c>
      <c r="M66" s="85">
        <f t="shared" si="52"/>
        <v>0</v>
      </c>
      <c r="O66" s="61" t="str">
        <f>IF(月途中入退所情報!$D16=$B$2,月途中入退所情報!F16,"-")</f>
        <v>-</v>
      </c>
      <c r="P66" s="61" t="str">
        <f>IF(月途中入退所情報!$D16=$B$2,月途中入退所情報!G16,"-")</f>
        <v>-</v>
      </c>
      <c r="Q66" s="61" t="str">
        <f>IF(月途中入退所情報!$D16=$B$2,月途中入退所情報!H16,"-")</f>
        <v>-</v>
      </c>
      <c r="R66" s="61" t="str">
        <f>IF(月途中入退所情報!$D16=$B$2,月途中入退所情報!I16,"-")</f>
        <v>-</v>
      </c>
      <c r="S66" s="61" t="str">
        <f>IF(月途中入退所情報!$D16=$B$2,月途中入退所情報!J16,"-")</f>
        <v>-</v>
      </c>
      <c r="T66" s="84">
        <f>IF($Q66="標準時間",HLOOKUP($P66,$F$5:$I$27,23,FALSE)-SUM($F$10,$F$21:$F$24,$F$26)-HLOOKUP($P66,$F$5:$I$27,16,FALSE)+HLOOKUP($P66,$F$5:$I$29,25,FALSE),IF($Q66="短時間",HLOOKUP($P66,$J$5:$M$27,23,FALSE)-SUM($F$10,$F$21:$F$24,$F$26)-HLOOKUP($P66,$J$5:$M$27,16,FALSE)+HLOOKUP($P66,$J$5:$M$29,25,FALSE),0))+IF(R66="○",加算と減算!$AH$3,0)</f>
        <v>0</v>
      </c>
      <c r="U66" s="85">
        <f t="shared" si="45"/>
        <v>0</v>
      </c>
      <c r="V66" s="262">
        <f t="shared" si="48"/>
        <v>0</v>
      </c>
      <c r="W66" s="262"/>
      <c r="X66" s="61" t="str">
        <f>IF(月途中入退所情報!$N16=$B$2,月途中入退所情報!$P16,"-")</f>
        <v>-</v>
      </c>
      <c r="Y66" s="61" t="str">
        <f>IF(月途中入退所情報!$N16=$B$2,月途中入退所情報!$Q16,"-")</f>
        <v>-</v>
      </c>
      <c r="Z66" s="61" t="str">
        <f>IF(月途中入退所情報!$N16=$B$2,月途中入退所情報!$R16,"-")</f>
        <v>-</v>
      </c>
      <c r="AA66" s="61" t="str">
        <f>IF(月途中入退所情報!$N16=$B$2,月途中入退所情報!$S16,"-")</f>
        <v>-</v>
      </c>
      <c r="AB66" s="61" t="str">
        <f>IF(月途中入退所情報!$N16=$B$2,月途中入退所情報!$T16,"-")</f>
        <v>-</v>
      </c>
      <c r="AC66" s="84">
        <f>IF($Z66="標準時間",HLOOKUP($Y66,$F$5:$I$27,23,FALSE)-SUM($F$10,$F$21:$F$24,$F$26)-HLOOKUP($Y66,$F$5:$I$27,16,FALSE)+HLOOKUP($Y66,$F$5:$I$29,25,FALSE),IF($Z66="短時間",HLOOKUP($Y66,$J$5:$M$27,23,FALSE)-SUM($F$10,$F$21:$F$24,$F$26)-HLOOKUP($Y66,$J$5:$M$27,16,FALSE)+HLOOKUP($Y66,$J$5:$M$29,25,FALSE),0))+IF(AA66="○",加算と減算!$AH$3,0)</f>
        <v>0</v>
      </c>
      <c r="AD66" s="85">
        <f t="shared" si="46"/>
        <v>0</v>
      </c>
      <c r="AE66" s="262">
        <f t="shared" si="47"/>
        <v>0</v>
      </c>
    </row>
    <row r="67" spans="3:31" ht="15.75" thickBot="1">
      <c r="C67" s="307"/>
      <c r="D67" s="317"/>
      <c r="E67" s="315"/>
      <c r="F67" s="316"/>
      <c r="G67" s="316"/>
      <c r="H67" s="316"/>
      <c r="I67" s="316"/>
      <c r="J67" s="316"/>
      <c r="K67" s="316"/>
      <c r="L67" s="316"/>
      <c r="M67" s="316"/>
      <c r="O67" s="61" t="str">
        <f>IF(月途中入退所情報!$D17=$B$2,月途中入退所情報!F17,"-")</f>
        <v>-</v>
      </c>
      <c r="P67" s="61" t="str">
        <f>IF(月途中入退所情報!$D17=$B$2,月途中入退所情報!G17,"-")</f>
        <v>-</v>
      </c>
      <c r="Q67" s="61" t="str">
        <f>IF(月途中入退所情報!$D17=$B$2,月途中入退所情報!H17,"-")</f>
        <v>-</v>
      </c>
      <c r="R67" s="61" t="str">
        <f>IF(月途中入退所情報!$D17=$B$2,月途中入退所情報!I17,"-")</f>
        <v>-</v>
      </c>
      <c r="S67" s="61" t="str">
        <f>IF(月途中入退所情報!$D17=$B$2,月途中入退所情報!J17,"-")</f>
        <v>-</v>
      </c>
      <c r="T67" s="84">
        <f>IF($Q67="標準時間",HLOOKUP($P67,$F$5:$I$27,23,FALSE)-SUM($F$10,$F$21:$F$24,$F$26)-HLOOKUP($P67,$F$5:$I$27,16,FALSE)+HLOOKUP($P67,$F$5:$I$29,25,FALSE),IF($Q67="短時間",HLOOKUP($P67,$J$5:$M$27,23,FALSE)-SUM($F$10,$F$21:$F$24,$F$26)-HLOOKUP($P67,$J$5:$M$27,16,FALSE)+HLOOKUP($P67,$J$5:$M$29,25,FALSE),0))+IF(R67="○",加算と減算!$AH$3,0)</f>
        <v>0</v>
      </c>
      <c r="U67" s="85">
        <f t="shared" si="45"/>
        <v>0</v>
      </c>
      <c r="V67" s="262">
        <f t="shared" si="48"/>
        <v>0</v>
      </c>
      <c r="W67" s="262"/>
      <c r="X67" s="61" t="str">
        <f>IF(月途中入退所情報!$N17=$B$2,月途中入退所情報!$P17,"-")</f>
        <v>-</v>
      </c>
      <c r="Y67" s="61" t="str">
        <f>IF(月途中入退所情報!$N17=$B$2,月途中入退所情報!$Q17,"-")</f>
        <v>-</v>
      </c>
      <c r="Z67" s="61" t="str">
        <f>IF(月途中入退所情報!$N17=$B$2,月途中入退所情報!$R17,"-")</f>
        <v>-</v>
      </c>
      <c r="AA67" s="61" t="str">
        <f>IF(月途中入退所情報!$N17=$B$2,月途中入退所情報!$S17,"-")</f>
        <v>-</v>
      </c>
      <c r="AB67" s="61" t="str">
        <f>IF(月途中入退所情報!$N17=$B$2,月途中入退所情報!$T17,"-")</f>
        <v>-</v>
      </c>
      <c r="AC67" s="84">
        <f>IF($Z67="標準時間",HLOOKUP($Y67,$F$5:$I$27,23,FALSE)-SUM($F$10,$F$21:$F$24,$F$26)-HLOOKUP($Y67,$F$5:$I$27,16,FALSE)+HLOOKUP($Y67,$F$5:$I$29,25,FALSE),IF($Z67="短時間",HLOOKUP($Y67,$J$5:$M$27,23,FALSE)-SUM($F$10,$F$21:$F$24,$F$26)-HLOOKUP($Y67,$J$5:$M$27,16,FALSE)+HLOOKUP($Y67,$J$5:$M$29,25,FALSE),0))+IF(AA67="○",加算と減算!$AH$3,0)</f>
        <v>0</v>
      </c>
      <c r="AD67" s="85">
        <f t="shared" si="46"/>
        <v>0</v>
      </c>
      <c r="AE67" s="262">
        <f t="shared" si="47"/>
        <v>0</v>
      </c>
    </row>
    <row r="68" spans="3:31" ht="15.75" thickBot="1">
      <c r="D68" s="1433" t="s">
        <v>484</v>
      </c>
      <c r="E68" s="1434"/>
      <c r="F68" s="321" t="e">
        <f>F62+F66</f>
        <v>#VALUE!</v>
      </c>
      <c r="G68" s="321" t="e">
        <f t="shared" ref="G68:M68" si="53">G62+G66</f>
        <v>#VALUE!</v>
      </c>
      <c r="H68" s="321" t="e">
        <f t="shared" si="53"/>
        <v>#VALUE!</v>
      </c>
      <c r="I68" s="321" t="e">
        <f t="shared" si="53"/>
        <v>#VALUE!</v>
      </c>
      <c r="J68" s="321" t="e">
        <f t="shared" si="53"/>
        <v>#VALUE!</v>
      </c>
      <c r="K68" s="321" t="e">
        <f t="shared" si="53"/>
        <v>#VALUE!</v>
      </c>
      <c r="L68" s="321" t="e">
        <f t="shared" si="53"/>
        <v>#VALUE!</v>
      </c>
      <c r="M68" s="322" t="e">
        <f t="shared" si="53"/>
        <v>#VALUE!</v>
      </c>
      <c r="O68" s="61" t="str">
        <f>IF(月途中入退所情報!$D18=$B$2,月途中入退所情報!F18,"-")</f>
        <v>-</v>
      </c>
      <c r="P68" s="61" t="str">
        <f>IF(月途中入退所情報!$D18=$B$2,月途中入退所情報!G18,"-")</f>
        <v>-</v>
      </c>
      <c r="Q68" s="61" t="str">
        <f>IF(月途中入退所情報!$D18=$B$2,月途中入退所情報!H18,"-")</f>
        <v>-</v>
      </c>
      <c r="R68" s="61" t="str">
        <f>IF(月途中入退所情報!$D18=$B$2,月途中入退所情報!I18,"-")</f>
        <v>-</v>
      </c>
      <c r="S68" s="61" t="str">
        <f>IF(月途中入退所情報!$D18=$B$2,月途中入退所情報!J18,"-")</f>
        <v>-</v>
      </c>
      <c r="T68" s="84">
        <f>IF($Q68="標準時間",HLOOKUP($P68,$F$5:$I$27,23,FALSE)-SUM($F$10,$F$21:$F$24,$F$26)-HLOOKUP($P68,$F$5:$I$27,16,FALSE)+HLOOKUP($P68,$F$5:$I$29,25,FALSE),IF($Q68="短時間",HLOOKUP($P68,$J$5:$M$27,23,FALSE)-SUM($F$10,$F$21:$F$24,$F$26)-HLOOKUP($P68,$J$5:$M$27,16,FALSE)+HLOOKUP($P68,$J$5:$M$29,25,FALSE),0))+IF(R68="○",加算と減算!$AH$3,0)</f>
        <v>0</v>
      </c>
      <c r="U68" s="85">
        <f t="shared" si="45"/>
        <v>0</v>
      </c>
      <c r="V68" s="262">
        <f t="shared" si="48"/>
        <v>0</v>
      </c>
      <c r="W68" s="262"/>
      <c r="X68" s="61" t="str">
        <f>IF(月途中入退所情報!$N18=$B$2,月途中入退所情報!$P18,"-")</f>
        <v>-</v>
      </c>
      <c r="Y68" s="61" t="str">
        <f>IF(月途中入退所情報!$N18=$B$2,月途中入退所情報!$Q18,"-")</f>
        <v>-</v>
      </c>
      <c r="Z68" s="61" t="str">
        <f>IF(月途中入退所情報!$N18=$B$2,月途中入退所情報!$R18,"-")</f>
        <v>-</v>
      </c>
      <c r="AA68" s="61" t="str">
        <f>IF(月途中入退所情報!$N18=$B$2,月途中入退所情報!$S18,"-")</f>
        <v>-</v>
      </c>
      <c r="AB68" s="61" t="str">
        <f>IF(月途中入退所情報!$N18=$B$2,月途中入退所情報!$T18,"-")</f>
        <v>-</v>
      </c>
      <c r="AC68" s="84">
        <f>IF($Z68="標準時間",HLOOKUP($Y68,$F$5:$I$27,23,FALSE)-SUM($F$10,$F$21:$F$24,$F$26)-HLOOKUP($Y68,$F$5:$I$27,16,FALSE)+HLOOKUP($Y68,$F$5:$I$29,25,FALSE),IF($Z68="短時間",HLOOKUP($Y68,$J$5:$M$27,23,FALSE)-SUM($F$10,$F$21:$F$24,$F$26)-HLOOKUP($Y68,$J$5:$M$27,16,FALSE)+HLOOKUP($Y68,$J$5:$M$29,25,FALSE),0))+IF(AA68="○",加算と減算!$AH$3,0)</f>
        <v>0</v>
      </c>
      <c r="AD68" s="85">
        <f t="shared" si="46"/>
        <v>0</v>
      </c>
      <c r="AE68" s="262">
        <f t="shared" si="47"/>
        <v>0</v>
      </c>
    </row>
    <row r="69" spans="3:31" ht="15.75" thickBot="1">
      <c r="D69" s="1435"/>
      <c r="E69" s="1436"/>
      <c r="F69" s="1437" t="e">
        <f>SUM(F68:M68)</f>
        <v>#VALUE!</v>
      </c>
      <c r="G69" s="1438"/>
      <c r="H69" s="1438"/>
      <c r="I69" s="1438"/>
      <c r="J69" s="1438"/>
      <c r="K69" s="1438"/>
      <c r="L69" s="1438"/>
      <c r="M69" s="1439"/>
      <c r="O69" s="61" t="str">
        <f>IF(月途中入退所情報!$D19=$B$2,月途中入退所情報!F19,"-")</f>
        <v>-</v>
      </c>
      <c r="P69" s="61" t="str">
        <f>IF(月途中入退所情報!$D19=$B$2,月途中入退所情報!G19,"-")</f>
        <v>-</v>
      </c>
      <c r="Q69" s="61" t="str">
        <f>IF(月途中入退所情報!$D19=$B$2,月途中入退所情報!H19,"-")</f>
        <v>-</v>
      </c>
      <c r="R69" s="61" t="str">
        <f>IF(月途中入退所情報!$D19=$B$2,月途中入退所情報!I19,"-")</f>
        <v>-</v>
      </c>
      <c r="S69" s="61" t="str">
        <f>IF(月途中入退所情報!$D19=$B$2,月途中入退所情報!J19,"-")</f>
        <v>-</v>
      </c>
      <c r="T69" s="84">
        <f>IF($Q69="標準時間",HLOOKUP($P69,$F$5:$I$27,23,FALSE)-SUM($F$10,$F$21:$F$24,$F$26)-HLOOKUP($P69,$F$5:$I$27,16,FALSE)+HLOOKUP($P69,$F$5:$I$29,25,FALSE),IF($Q69="短時間",HLOOKUP($P69,$J$5:$M$27,23,FALSE)-SUM($F$10,$F$21:$F$24,$F$26)-HLOOKUP($P69,$J$5:$M$27,16,FALSE)+HLOOKUP($P69,$J$5:$M$29,25,FALSE),0))+IF(R69="○",加算と減算!$AH$3,0)</f>
        <v>0</v>
      </c>
      <c r="U69" s="85">
        <f t="shared" si="45"/>
        <v>0</v>
      </c>
      <c r="V69" s="262">
        <f t="shared" si="48"/>
        <v>0</v>
      </c>
      <c r="W69" s="262"/>
      <c r="X69" s="61" t="str">
        <f>IF(月途中入退所情報!$N19=$B$2,月途中入退所情報!$P19,"-")</f>
        <v>-</v>
      </c>
      <c r="Y69" s="61" t="str">
        <f>IF(月途中入退所情報!$N19=$B$2,月途中入退所情報!$Q19,"-")</f>
        <v>-</v>
      </c>
      <c r="Z69" s="61" t="str">
        <f>IF(月途中入退所情報!$N19=$B$2,月途中入退所情報!$R19,"-")</f>
        <v>-</v>
      </c>
      <c r="AA69" s="61" t="str">
        <f>IF(月途中入退所情報!$N19=$B$2,月途中入退所情報!$S19,"-")</f>
        <v>-</v>
      </c>
      <c r="AB69" s="61" t="str">
        <f>IF(月途中入退所情報!$N19=$B$2,月途中入退所情報!$T19,"-")</f>
        <v>-</v>
      </c>
      <c r="AC69" s="84">
        <f>IF($Z69="標準時間",HLOOKUP($Y69,$F$5:$I$27,23,FALSE)-SUM($F$10,$F$21:$F$24,$F$26)-HLOOKUP($Y69,$F$5:$I$27,16,FALSE)+HLOOKUP($Y69,$F$5:$I$29,25,FALSE),IF($Z69="短時間",HLOOKUP($Y69,$J$5:$M$27,23,FALSE)-SUM($F$10,$F$21:$F$24,$F$26)-HLOOKUP($Y69,$J$5:$M$27,16,FALSE)+HLOOKUP($Y69,$J$5:$M$29,25,FALSE),0))+IF(AA69="○",加算と減算!$AH$3,0)</f>
        <v>0</v>
      </c>
      <c r="AD69" s="85">
        <f t="shared" si="46"/>
        <v>0</v>
      </c>
      <c r="AE69" s="262">
        <f t="shared" si="47"/>
        <v>0</v>
      </c>
    </row>
    <row r="70" spans="3:31">
      <c r="O70" s="61" t="str">
        <f>IF(月途中入退所情報!$D20=$B$2,月途中入退所情報!F20,"-")</f>
        <v>-</v>
      </c>
      <c r="P70" s="61" t="str">
        <f>IF(月途中入退所情報!$D20=$B$2,月途中入退所情報!G20,"-")</f>
        <v>-</v>
      </c>
      <c r="Q70" s="61" t="str">
        <f>IF(月途中入退所情報!$D20=$B$2,月途中入退所情報!H20,"-")</f>
        <v>-</v>
      </c>
      <c r="R70" s="61" t="str">
        <f>IF(月途中入退所情報!$D20=$B$2,月途中入退所情報!I20,"-")</f>
        <v>-</v>
      </c>
      <c r="S70" s="61" t="str">
        <f>IF(月途中入退所情報!$D20=$B$2,月途中入退所情報!J20,"-")</f>
        <v>-</v>
      </c>
      <c r="T70" s="84">
        <f>IF($Q70="標準時間",HLOOKUP($P70,$F$5:$I$27,23,FALSE)-SUM($F$10,$F$21:$F$24,$F$26)-HLOOKUP($P70,$F$5:$I$27,16,FALSE)+HLOOKUP($P70,$F$5:$I$29,25,FALSE),IF($Q70="短時間",HLOOKUP($P70,$J$5:$M$27,23,FALSE)-SUM($F$10,$F$21:$F$24,$F$26)-HLOOKUP($P70,$J$5:$M$27,16,FALSE)+HLOOKUP($P70,$J$5:$M$29,25,FALSE),0))+IF(R70="○",加算と減算!$AH$3,0)</f>
        <v>0</v>
      </c>
      <c r="U70" s="85">
        <f t="shared" si="45"/>
        <v>0</v>
      </c>
      <c r="V70" s="262">
        <f t="shared" si="48"/>
        <v>0</v>
      </c>
      <c r="W70" s="262"/>
      <c r="X70" s="61" t="str">
        <f>IF(月途中入退所情報!$N20=$B$2,月途中入退所情報!$P20,"-")</f>
        <v>-</v>
      </c>
      <c r="Y70" s="61" t="str">
        <f>IF(月途中入退所情報!$N20=$B$2,月途中入退所情報!$Q20,"-")</f>
        <v>-</v>
      </c>
      <c r="Z70" s="61" t="str">
        <f>IF(月途中入退所情報!$N20=$B$2,月途中入退所情報!$R20,"-")</f>
        <v>-</v>
      </c>
      <c r="AA70" s="61" t="str">
        <f>IF(月途中入退所情報!$N20=$B$2,月途中入退所情報!$S20,"-")</f>
        <v>-</v>
      </c>
      <c r="AB70" s="61" t="str">
        <f>IF(月途中入退所情報!$N20=$B$2,月途中入退所情報!$T20,"-")</f>
        <v>-</v>
      </c>
      <c r="AC70" s="84">
        <f>IF($Z70="標準時間",HLOOKUP($Y70,$F$5:$I$27,23,FALSE)-SUM($F$10,$F$21:$F$24,$F$26)-HLOOKUP($Y70,$F$5:$I$27,16,FALSE)+HLOOKUP($Y70,$F$5:$I$29,25,FALSE),IF($Z70="短時間",HLOOKUP($Y70,$J$5:$M$27,23,FALSE)-SUM($F$10,$F$21:$F$24,$F$26)-HLOOKUP($Y70,$J$5:$M$27,16,FALSE)+HLOOKUP($Y70,$J$5:$M$29,25,FALSE),0))+IF(AA70="○",加算と減算!$AH$3,0)</f>
        <v>0</v>
      </c>
      <c r="AD70" s="85">
        <f t="shared" si="46"/>
        <v>0</v>
      </c>
      <c r="AE70" s="262">
        <f t="shared" si="47"/>
        <v>0</v>
      </c>
    </row>
    <row r="71" spans="3:31">
      <c r="O71" s="61" t="str">
        <f>IF(月途中入退所情報!$D21=$B$2,月途中入退所情報!F21,"-")</f>
        <v>-</v>
      </c>
      <c r="P71" s="61" t="str">
        <f>IF(月途中入退所情報!$D21=$B$2,月途中入退所情報!G21,"-")</f>
        <v>-</v>
      </c>
      <c r="Q71" s="61" t="str">
        <f>IF(月途中入退所情報!$D21=$B$2,月途中入退所情報!H21,"-")</f>
        <v>-</v>
      </c>
      <c r="R71" s="61" t="str">
        <f>IF(月途中入退所情報!$D21=$B$2,月途中入退所情報!I21,"-")</f>
        <v>-</v>
      </c>
      <c r="S71" s="61" t="str">
        <f>IF(月途中入退所情報!$D21=$B$2,月途中入退所情報!J21,"-")</f>
        <v>-</v>
      </c>
      <c r="T71" s="84">
        <f>IF($Q71="標準時間",HLOOKUP($P71,$F$5:$I$27,23,FALSE)-SUM($F$10,$F$21:$F$24,$F$26)-HLOOKUP($P71,$F$5:$I$27,16,FALSE)+HLOOKUP($P71,$F$5:$I$29,25,FALSE),IF($Q71="短時間",HLOOKUP($P71,$J$5:$M$27,23,FALSE)-SUM($F$10,$F$21:$F$24,$F$26)-HLOOKUP($P71,$J$5:$M$27,16,FALSE)+HLOOKUP($P71,$J$5:$M$29,25,FALSE),0))+IF(R71="○",加算と減算!$AH$3,0)</f>
        <v>0</v>
      </c>
      <c r="U71" s="85">
        <f t="shared" si="45"/>
        <v>0</v>
      </c>
      <c r="V71" s="262">
        <f t="shared" si="48"/>
        <v>0</v>
      </c>
      <c r="W71" s="262"/>
      <c r="X71" s="61" t="str">
        <f>IF(月途中入退所情報!$N21=$B$2,月途中入退所情報!$P21,"-")</f>
        <v>-</v>
      </c>
      <c r="Y71" s="61" t="str">
        <f>IF(月途中入退所情報!$N21=$B$2,月途中入退所情報!$Q21,"-")</f>
        <v>-</v>
      </c>
      <c r="Z71" s="61" t="str">
        <f>IF(月途中入退所情報!$N21=$B$2,月途中入退所情報!$R21,"-")</f>
        <v>-</v>
      </c>
      <c r="AA71" s="61" t="str">
        <f>IF(月途中入退所情報!$N21=$B$2,月途中入退所情報!$S21,"-")</f>
        <v>-</v>
      </c>
      <c r="AB71" s="61" t="str">
        <f>IF(月途中入退所情報!$N21=$B$2,月途中入退所情報!$T21,"-")</f>
        <v>-</v>
      </c>
      <c r="AC71" s="84">
        <f>IF($Z71="標準時間",HLOOKUP($Y71,$F$5:$I$27,23,FALSE)-SUM($F$10,$F$21:$F$24,$F$26)-HLOOKUP($Y71,$F$5:$I$27,16,FALSE)+HLOOKUP($Y71,$F$5:$I$29,25,FALSE),IF($Z71="短時間",HLOOKUP($Y71,$J$5:$M$27,23,FALSE)-SUM($F$10,$F$21:$F$24,$F$26)-HLOOKUP($Y71,$J$5:$M$27,16,FALSE)+HLOOKUP($Y71,$J$5:$M$29,25,FALSE),0))+IF(AA71="○",加算と減算!$AH$3,0)</f>
        <v>0</v>
      </c>
      <c r="AD71" s="85">
        <f t="shared" si="46"/>
        <v>0</v>
      </c>
      <c r="AE71" s="262">
        <f t="shared" si="47"/>
        <v>0</v>
      </c>
    </row>
    <row r="72" spans="3:31">
      <c r="O72" s="61" t="str">
        <f>IF(月途中入退所情報!$D22=$B$2,月途中入退所情報!F22,"-")</f>
        <v>-</v>
      </c>
      <c r="P72" s="61" t="str">
        <f>IF(月途中入退所情報!$D22=$B$2,月途中入退所情報!G22,"-")</f>
        <v>-</v>
      </c>
      <c r="Q72" s="61" t="str">
        <f>IF(月途中入退所情報!$D22=$B$2,月途中入退所情報!H22,"-")</f>
        <v>-</v>
      </c>
      <c r="R72" s="61" t="str">
        <f>IF(月途中入退所情報!$D22=$B$2,月途中入退所情報!I22,"-")</f>
        <v>-</v>
      </c>
      <c r="S72" s="61" t="str">
        <f>IF(月途中入退所情報!$D22=$B$2,月途中入退所情報!J22,"-")</f>
        <v>-</v>
      </c>
      <c r="T72" s="84">
        <f>IF($Q72="標準時間",HLOOKUP($P72,$F$5:$I$27,23,FALSE)-SUM($F$10,$F$21:$F$24,$F$26)-HLOOKUP($P72,$F$5:$I$27,16,FALSE)+HLOOKUP($P72,$F$5:$I$29,25,FALSE),IF($Q72="短時間",HLOOKUP($P72,$J$5:$M$27,23,FALSE)-SUM($F$10,$F$21:$F$24,$F$26)-HLOOKUP($P72,$J$5:$M$27,16,FALSE)+HLOOKUP($P72,$J$5:$M$29,25,FALSE),0))+IF(R72="○",加算と減算!$AH$3,0)</f>
        <v>0</v>
      </c>
      <c r="U72" s="85">
        <f t="shared" si="45"/>
        <v>0</v>
      </c>
      <c r="V72" s="262">
        <f t="shared" si="48"/>
        <v>0</v>
      </c>
      <c r="W72" s="262"/>
      <c r="X72" s="61" t="str">
        <f>IF(月途中入退所情報!$N22=$B$2,月途中入退所情報!$P22,"-")</f>
        <v>-</v>
      </c>
      <c r="Y72" s="61" t="str">
        <f>IF(月途中入退所情報!$N22=$B$2,月途中入退所情報!$Q22,"-")</f>
        <v>-</v>
      </c>
      <c r="Z72" s="61" t="str">
        <f>IF(月途中入退所情報!$N22=$B$2,月途中入退所情報!$R22,"-")</f>
        <v>-</v>
      </c>
      <c r="AA72" s="61" t="str">
        <f>IF(月途中入退所情報!$N22=$B$2,月途中入退所情報!$S22,"-")</f>
        <v>-</v>
      </c>
      <c r="AB72" s="61" t="str">
        <f>IF(月途中入退所情報!$N22=$B$2,月途中入退所情報!$T22,"-")</f>
        <v>-</v>
      </c>
      <c r="AC72" s="84">
        <f>IF($Z72="標準時間",HLOOKUP($Y72,$F$5:$I$27,23,FALSE)-SUM($F$10,$F$21:$F$24,$F$26)-HLOOKUP($Y72,$F$5:$I$27,16,FALSE)+HLOOKUP($Y72,$F$5:$I$29,25,FALSE),IF($Z72="短時間",HLOOKUP($Y72,$J$5:$M$27,23,FALSE)-SUM($F$10,$F$21:$F$24,$F$26)-HLOOKUP($Y72,$J$5:$M$27,16,FALSE)+HLOOKUP($Y72,$J$5:$M$29,25,FALSE),0))+IF(AA72="○",加算と減算!$AH$3,0)</f>
        <v>0</v>
      </c>
      <c r="AD72" s="85">
        <f t="shared" si="46"/>
        <v>0</v>
      </c>
      <c r="AE72" s="262">
        <f t="shared" si="47"/>
        <v>0</v>
      </c>
    </row>
    <row r="73" spans="3:31">
      <c r="O73" s="61" t="str">
        <f>IF(月途中入退所情報!$D23=$B$2,月途中入退所情報!F23,"-")</f>
        <v>-</v>
      </c>
      <c r="P73" s="61" t="str">
        <f>IF(月途中入退所情報!$D23=$B$2,月途中入退所情報!G23,"-")</f>
        <v>-</v>
      </c>
      <c r="Q73" s="61" t="str">
        <f>IF(月途中入退所情報!$D23=$B$2,月途中入退所情報!H23,"-")</f>
        <v>-</v>
      </c>
      <c r="R73" s="61" t="str">
        <f>IF(月途中入退所情報!$D23=$B$2,月途中入退所情報!I23,"-")</f>
        <v>-</v>
      </c>
      <c r="S73" s="61" t="str">
        <f>IF(月途中入退所情報!$D23=$B$2,月途中入退所情報!J23,"-")</f>
        <v>-</v>
      </c>
      <c r="T73" s="84">
        <f>IF($Q73="標準時間",HLOOKUP($P73,$F$5:$I$27,23,FALSE)-SUM($F$10,$F$21:$F$24,$F$26)-HLOOKUP($P73,$F$5:$I$27,16,FALSE)+HLOOKUP($P73,$F$5:$I$29,25,FALSE),IF($Q73="短時間",HLOOKUP($P73,$J$5:$M$27,23,FALSE)-SUM($F$10,$F$21:$F$24,$F$26)-HLOOKUP($P73,$J$5:$M$27,16,FALSE)+HLOOKUP($P73,$J$5:$M$29,25,FALSE),0))+IF(R73="○",加算と減算!$AH$3,0)</f>
        <v>0</v>
      </c>
      <c r="U73" s="85">
        <f t="shared" si="45"/>
        <v>0</v>
      </c>
      <c r="V73" s="262">
        <f t="shared" si="48"/>
        <v>0</v>
      </c>
      <c r="W73" s="262"/>
      <c r="X73" s="61" t="str">
        <f>IF(月途中入退所情報!$N23=$B$2,月途中入退所情報!$P23,"-")</f>
        <v>-</v>
      </c>
      <c r="Y73" s="61" t="str">
        <f>IF(月途中入退所情報!$N23=$B$2,月途中入退所情報!$Q23,"-")</f>
        <v>-</v>
      </c>
      <c r="Z73" s="61" t="str">
        <f>IF(月途中入退所情報!$N23=$B$2,月途中入退所情報!$R23,"-")</f>
        <v>-</v>
      </c>
      <c r="AA73" s="61" t="str">
        <f>IF(月途中入退所情報!$N23=$B$2,月途中入退所情報!$S23,"-")</f>
        <v>-</v>
      </c>
      <c r="AB73" s="61" t="str">
        <f>IF(月途中入退所情報!$N23=$B$2,月途中入退所情報!$T23,"-")</f>
        <v>-</v>
      </c>
      <c r="AC73" s="84">
        <f>IF($Z73="標準時間",HLOOKUP($Y73,$F$5:$I$27,23,FALSE)-SUM($F$10,$F$21:$F$24,$F$26)-HLOOKUP($Y73,$F$5:$I$27,16,FALSE)+HLOOKUP($Y73,$F$5:$I$29,25,FALSE),IF($Z73="短時間",HLOOKUP($Y73,$J$5:$M$27,23,FALSE)-SUM($F$10,$F$21:$F$24,$F$26)-HLOOKUP($Y73,$J$5:$M$27,16,FALSE)+HLOOKUP($Y73,$J$5:$M$29,25,FALSE),0))+IF(AA73="○",加算と減算!$AH$3,0)</f>
        <v>0</v>
      </c>
      <c r="AD73" s="85">
        <f t="shared" si="46"/>
        <v>0</v>
      </c>
      <c r="AE73" s="262">
        <f t="shared" si="47"/>
        <v>0</v>
      </c>
    </row>
    <row r="74" spans="3:31">
      <c r="O74" s="61" t="str">
        <f>IF(月途中入退所情報!$D24=$B$2,月途中入退所情報!F24,"-")</f>
        <v>-</v>
      </c>
      <c r="P74" s="61" t="str">
        <f>IF(月途中入退所情報!$D24=$B$2,月途中入退所情報!G24,"-")</f>
        <v>-</v>
      </c>
      <c r="Q74" s="61" t="str">
        <f>IF(月途中入退所情報!$D24=$B$2,月途中入退所情報!H24,"-")</f>
        <v>-</v>
      </c>
      <c r="R74" s="61" t="str">
        <f>IF(月途中入退所情報!$D24=$B$2,月途中入退所情報!I24,"-")</f>
        <v>-</v>
      </c>
      <c r="S74" s="61" t="str">
        <f>IF(月途中入退所情報!$D24=$B$2,月途中入退所情報!J24,"-")</f>
        <v>-</v>
      </c>
      <c r="T74" s="84">
        <f>IF($Q74="標準時間",HLOOKUP($P74,$F$5:$I$27,23,FALSE)-SUM($F$10,$F$21:$F$24,$F$26)-HLOOKUP($P74,$F$5:$I$27,16,FALSE)+HLOOKUP($P74,$F$5:$I$29,25,FALSE),IF($Q74="短時間",HLOOKUP($P74,$J$5:$M$27,23,FALSE)-SUM($F$10,$F$21:$F$24,$F$26)-HLOOKUP($P74,$J$5:$M$27,16,FALSE)+HLOOKUP($P74,$J$5:$M$29,25,FALSE),0))+IF(R74="○",加算と減算!$AH$3,0)</f>
        <v>0</v>
      </c>
      <c r="U74" s="85">
        <f t="shared" si="45"/>
        <v>0</v>
      </c>
      <c r="V74" s="262">
        <f t="shared" si="48"/>
        <v>0</v>
      </c>
      <c r="W74" s="262"/>
      <c r="X74" s="61" t="str">
        <f>IF(月途中入退所情報!$N24=$B$2,月途中入退所情報!$P24,"-")</f>
        <v>-</v>
      </c>
      <c r="Y74" s="61" t="str">
        <f>IF(月途中入退所情報!$N24=$B$2,月途中入退所情報!$Q24,"-")</f>
        <v>-</v>
      </c>
      <c r="Z74" s="61" t="str">
        <f>IF(月途中入退所情報!$N24=$B$2,月途中入退所情報!$R24,"-")</f>
        <v>-</v>
      </c>
      <c r="AA74" s="61" t="str">
        <f>IF(月途中入退所情報!$N24=$B$2,月途中入退所情報!$S24,"-")</f>
        <v>-</v>
      </c>
      <c r="AB74" s="61" t="str">
        <f>IF(月途中入退所情報!$N24=$B$2,月途中入退所情報!$T24,"-")</f>
        <v>-</v>
      </c>
      <c r="AC74" s="84">
        <f>IF($Z74="標準時間",HLOOKUP($Y74,$F$5:$I$27,23,FALSE)-SUM($F$10,$F$21:$F$24,$F$26)-HLOOKUP($Y74,$F$5:$I$27,16,FALSE)+HLOOKUP($Y74,$F$5:$I$29,25,FALSE),IF($Z74="短時間",HLOOKUP($Y74,$J$5:$M$27,23,FALSE)-SUM($F$10,$F$21:$F$24,$F$26)-HLOOKUP($Y74,$J$5:$M$27,16,FALSE)+HLOOKUP($Y74,$J$5:$M$29,25,FALSE),0))+IF(AA74="○",加算と減算!$AH$3,0)</f>
        <v>0</v>
      </c>
      <c r="AD74" s="85">
        <f t="shared" si="46"/>
        <v>0</v>
      </c>
      <c r="AE74" s="262">
        <f t="shared" si="47"/>
        <v>0</v>
      </c>
    </row>
    <row r="75" spans="3:31">
      <c r="O75" s="61" t="str">
        <f>IF(月途中入退所情報!$D25=$B$2,月途中入退所情報!F25,"-")</f>
        <v>-</v>
      </c>
      <c r="P75" s="61" t="str">
        <f>IF(月途中入退所情報!$D25=$B$2,月途中入退所情報!G25,"-")</f>
        <v>-</v>
      </c>
      <c r="Q75" s="61" t="str">
        <f>IF(月途中入退所情報!$D25=$B$2,月途中入退所情報!H25,"-")</f>
        <v>-</v>
      </c>
      <c r="R75" s="61" t="str">
        <f>IF(月途中入退所情報!$D25=$B$2,月途中入退所情報!I25,"-")</f>
        <v>-</v>
      </c>
      <c r="S75" s="61" t="str">
        <f>IF(月途中入退所情報!$D25=$B$2,月途中入退所情報!J25,"-")</f>
        <v>-</v>
      </c>
      <c r="T75" s="84">
        <f>IF($Q75="標準時間",HLOOKUP($P75,$F$5:$I$27,23,FALSE)-SUM($F$10,$F$21:$F$24,$F$26)-HLOOKUP($P75,$F$5:$I$27,16,FALSE)+HLOOKUP($P75,$F$5:$I$29,25,FALSE),IF($Q75="短時間",HLOOKUP($P75,$J$5:$M$27,23,FALSE)-SUM($F$10,$F$21:$F$24,$F$26)-HLOOKUP($P75,$J$5:$M$27,16,FALSE)+HLOOKUP($P75,$J$5:$M$29,25,FALSE),0))+IF(R75="○",加算と減算!$AH$3,0)</f>
        <v>0</v>
      </c>
      <c r="U75" s="85">
        <f t="shared" si="45"/>
        <v>0</v>
      </c>
      <c r="V75" s="262">
        <f t="shared" si="48"/>
        <v>0</v>
      </c>
      <c r="W75" s="262"/>
      <c r="X75" s="61" t="str">
        <f>IF(月途中入退所情報!$N25=$B$2,月途中入退所情報!$P25,"-")</f>
        <v>-</v>
      </c>
      <c r="Y75" s="61" t="str">
        <f>IF(月途中入退所情報!$N25=$B$2,月途中入退所情報!$Q25,"-")</f>
        <v>-</v>
      </c>
      <c r="Z75" s="61" t="str">
        <f>IF(月途中入退所情報!$N25=$B$2,月途中入退所情報!$R25,"-")</f>
        <v>-</v>
      </c>
      <c r="AA75" s="61" t="str">
        <f>IF(月途中入退所情報!$N25=$B$2,月途中入退所情報!$S25,"-")</f>
        <v>-</v>
      </c>
      <c r="AB75" s="61" t="str">
        <f>IF(月途中入退所情報!$N25=$B$2,月途中入退所情報!$T25,"-")</f>
        <v>-</v>
      </c>
      <c r="AC75" s="84">
        <f>IF($Z75="標準時間",HLOOKUP($Y75,$F$5:$I$27,23,FALSE)-SUM($F$10,$F$21:$F$24,$F$26)-HLOOKUP($Y75,$F$5:$I$27,16,FALSE)+HLOOKUP($Y75,$F$5:$I$29,25,FALSE),IF($Z75="短時間",HLOOKUP($Y75,$J$5:$M$27,23,FALSE)-SUM($F$10,$F$21:$F$24,$F$26)-HLOOKUP($Y75,$J$5:$M$27,16,FALSE)+HLOOKUP($Y75,$J$5:$M$29,25,FALSE),0))+IF(AA75="○",加算と減算!$AH$3,0)</f>
        <v>0</v>
      </c>
      <c r="AD75" s="85">
        <f t="shared" si="46"/>
        <v>0</v>
      </c>
      <c r="AE75" s="262">
        <f t="shared" si="47"/>
        <v>0</v>
      </c>
    </row>
    <row r="76" spans="3:31">
      <c r="O76" s="61" t="str">
        <f>IF(月途中入退所情報!$D26=$B$2,月途中入退所情報!F26,"-")</f>
        <v>-</v>
      </c>
      <c r="P76" s="61" t="str">
        <f>IF(月途中入退所情報!$D26=$B$2,月途中入退所情報!G26,"-")</f>
        <v>-</v>
      </c>
      <c r="Q76" s="61" t="str">
        <f>IF(月途中入退所情報!$D26=$B$2,月途中入退所情報!H26,"-")</f>
        <v>-</v>
      </c>
      <c r="R76" s="61" t="str">
        <f>IF(月途中入退所情報!$D26=$B$2,月途中入退所情報!I26,"-")</f>
        <v>-</v>
      </c>
      <c r="S76" s="61" t="str">
        <f>IF(月途中入退所情報!$D26=$B$2,月途中入退所情報!J26,"-")</f>
        <v>-</v>
      </c>
      <c r="T76" s="84">
        <f>IF($Q76="標準時間",HLOOKUP($P76,$F$5:$I$27,23,FALSE)-SUM($F$10,$F$21:$F$24,$F$26)-HLOOKUP($P76,$F$5:$I$27,16,FALSE)+HLOOKUP($P76,$F$5:$I$29,25,FALSE),IF($Q76="短時間",HLOOKUP($P76,$J$5:$M$27,23,FALSE)-SUM($F$10,$F$21:$F$24,$F$26)-HLOOKUP($P76,$J$5:$M$27,16,FALSE)+HLOOKUP($P76,$J$5:$M$29,25,FALSE),0))+IF(R76="○",加算と減算!$AH$3,0)</f>
        <v>0</v>
      </c>
      <c r="U76" s="85">
        <f t="shared" si="45"/>
        <v>0</v>
      </c>
      <c r="V76" s="262">
        <f t="shared" si="48"/>
        <v>0</v>
      </c>
      <c r="W76" s="262"/>
      <c r="X76" s="61" t="str">
        <f>IF(月途中入退所情報!$N26=$B$2,月途中入退所情報!$P26,"-")</f>
        <v>-</v>
      </c>
      <c r="Y76" s="61" t="str">
        <f>IF(月途中入退所情報!$N26=$B$2,月途中入退所情報!$Q26,"-")</f>
        <v>-</v>
      </c>
      <c r="Z76" s="61" t="str">
        <f>IF(月途中入退所情報!$N26=$B$2,月途中入退所情報!$R26,"-")</f>
        <v>-</v>
      </c>
      <c r="AA76" s="61" t="str">
        <f>IF(月途中入退所情報!$N26=$B$2,月途中入退所情報!$S26,"-")</f>
        <v>-</v>
      </c>
      <c r="AB76" s="61" t="str">
        <f>IF(月途中入退所情報!$N26=$B$2,月途中入退所情報!$T26,"-")</f>
        <v>-</v>
      </c>
      <c r="AC76" s="84">
        <f>IF($Z76="標準時間",HLOOKUP($Y76,$F$5:$I$27,23,FALSE)-SUM($F$10,$F$21:$F$24,$F$26)-HLOOKUP($Y76,$F$5:$I$27,16,FALSE)+HLOOKUP($Y76,$F$5:$I$29,25,FALSE),IF($Z76="短時間",HLOOKUP($Y76,$J$5:$M$27,23,FALSE)-SUM($F$10,$F$21:$F$24,$F$26)-HLOOKUP($Y76,$J$5:$M$27,16,FALSE)+HLOOKUP($Y76,$J$5:$M$29,25,FALSE),0))+IF(AA76="○",加算と減算!$AH$3,0)</f>
        <v>0</v>
      </c>
      <c r="AD76" s="85">
        <f t="shared" si="46"/>
        <v>0</v>
      </c>
      <c r="AE76" s="262">
        <f t="shared" si="47"/>
        <v>0</v>
      </c>
    </row>
    <row r="77" spans="3:31">
      <c r="O77" s="61" t="str">
        <f>IF(月途中入退所情報!$D27=$B$2,月途中入退所情報!F27,"-")</f>
        <v>-</v>
      </c>
      <c r="P77" s="61" t="str">
        <f>IF(月途中入退所情報!$D27=$B$2,月途中入退所情報!G27,"-")</f>
        <v>-</v>
      </c>
      <c r="Q77" s="61" t="str">
        <f>IF(月途中入退所情報!$D27=$B$2,月途中入退所情報!H27,"-")</f>
        <v>-</v>
      </c>
      <c r="R77" s="61" t="str">
        <f>IF(月途中入退所情報!$D27=$B$2,月途中入退所情報!I27,"-")</f>
        <v>-</v>
      </c>
      <c r="S77" s="61" t="str">
        <f>IF(月途中入退所情報!$D27=$B$2,月途中入退所情報!J27,"-")</f>
        <v>-</v>
      </c>
      <c r="T77" s="84">
        <f>IF($Q77="標準時間",HLOOKUP($P77,$F$5:$I$27,23,FALSE)-SUM($F$10,$F$21:$F$24,$F$26)-HLOOKUP($P77,$F$5:$I$27,16,FALSE)+HLOOKUP($P77,$F$5:$I$29,25,FALSE),IF($Q77="短時間",HLOOKUP($P77,$J$5:$M$27,23,FALSE)-SUM($F$10,$F$21:$F$24,$F$26)-HLOOKUP($P77,$J$5:$M$27,16,FALSE)+HLOOKUP($P77,$J$5:$M$29,25,FALSE),0))+IF(R77="○",加算と減算!$AH$3,0)</f>
        <v>0</v>
      </c>
      <c r="U77" s="85">
        <f t="shared" si="45"/>
        <v>0</v>
      </c>
      <c r="V77" s="262">
        <f t="shared" si="48"/>
        <v>0</v>
      </c>
      <c r="W77" s="262"/>
      <c r="X77" s="61" t="str">
        <f>IF(月途中入退所情報!$N27=$B$2,月途中入退所情報!$P27,"-")</f>
        <v>-</v>
      </c>
      <c r="Y77" s="61" t="str">
        <f>IF(月途中入退所情報!$N27=$B$2,月途中入退所情報!$Q27,"-")</f>
        <v>-</v>
      </c>
      <c r="Z77" s="61" t="str">
        <f>IF(月途中入退所情報!$N27=$B$2,月途中入退所情報!$R27,"-")</f>
        <v>-</v>
      </c>
      <c r="AA77" s="61" t="str">
        <f>IF(月途中入退所情報!$N27=$B$2,月途中入退所情報!$S27,"-")</f>
        <v>-</v>
      </c>
      <c r="AB77" s="61" t="str">
        <f>IF(月途中入退所情報!$N27=$B$2,月途中入退所情報!$T27,"-")</f>
        <v>-</v>
      </c>
      <c r="AC77" s="84">
        <f>IF($Z77="標準時間",HLOOKUP($Y77,$F$5:$I$27,23,FALSE)-SUM($F$10,$F$21:$F$24,$F$26)-HLOOKUP($Y77,$F$5:$I$27,16,FALSE)+HLOOKUP($Y77,$F$5:$I$29,25,FALSE),IF($Z77="短時間",HLOOKUP($Y77,$J$5:$M$27,23,FALSE)-SUM($F$10,$F$21:$F$24,$F$26)-HLOOKUP($Y77,$J$5:$M$27,16,FALSE)+HLOOKUP($Y77,$J$5:$M$29,25,FALSE),0))+IF(AA77="○",加算と減算!$AH$3,0)</f>
        <v>0</v>
      </c>
      <c r="AD77" s="85">
        <f t="shared" si="46"/>
        <v>0</v>
      </c>
      <c r="AE77" s="262">
        <f t="shared" si="47"/>
        <v>0</v>
      </c>
    </row>
    <row r="78" spans="3:31">
      <c r="T78" s="86" t="s">
        <v>36</v>
      </c>
      <c r="U78" s="85">
        <f>SUM(U58:U77)</f>
        <v>0</v>
      </c>
      <c r="V78" s="262">
        <f>SUM(V58:V77)</f>
        <v>0</v>
      </c>
      <c r="W78" s="262"/>
      <c r="AC78" s="86" t="s">
        <v>36</v>
      </c>
      <c r="AD78" s="85">
        <f>SUM(AD58:AD77)</f>
        <v>0</v>
      </c>
      <c r="AE78" s="264">
        <f>SUM(AE58:AE77)</f>
        <v>0</v>
      </c>
    </row>
    <row r="79" spans="3:31">
      <c r="O79" s="1430" t="s">
        <v>430</v>
      </c>
      <c r="P79" s="1430"/>
      <c r="X79" s="385" t="s">
        <v>431</v>
      </c>
      <c r="Y79" s="385"/>
    </row>
    <row r="80" spans="3:31">
      <c r="O80" s="83" t="s">
        <v>429</v>
      </c>
      <c r="P80" s="83" t="s">
        <v>206</v>
      </c>
      <c r="Q80" s="83" t="s">
        <v>207</v>
      </c>
      <c r="R80" s="83" t="s">
        <v>448</v>
      </c>
      <c r="S80" s="83" t="s">
        <v>214</v>
      </c>
      <c r="T80" s="83" t="s">
        <v>215</v>
      </c>
      <c r="U80" s="83" t="s">
        <v>216</v>
      </c>
      <c r="V80" s="282" t="s">
        <v>455</v>
      </c>
      <c r="W80" s="261"/>
      <c r="X80" s="83" t="s">
        <v>429</v>
      </c>
      <c r="Y80" s="83" t="s">
        <v>206</v>
      </c>
      <c r="Z80" s="83" t="s">
        <v>207</v>
      </c>
      <c r="AA80" s="83" t="s">
        <v>448</v>
      </c>
      <c r="AB80" s="83" t="s">
        <v>218</v>
      </c>
      <c r="AC80" s="83" t="s">
        <v>215</v>
      </c>
      <c r="AD80" s="280" t="s">
        <v>453</v>
      </c>
      <c r="AE80" s="282" t="s">
        <v>455</v>
      </c>
    </row>
    <row r="81" spans="15:31">
      <c r="O81" s="61" t="str">
        <f>IF(月途中入退所情報!$D31=$B$2,月途中入退所情報!F31,"-")</f>
        <v>-</v>
      </c>
      <c r="P81" s="61" t="str">
        <f>IF(月途中入退所情報!$D31=$B$2,月途中入退所情報!G31,"-")</f>
        <v>-</v>
      </c>
      <c r="Q81" s="61" t="str">
        <f>IF(月途中入退所情報!$D31=$B$2,月途中入退所情報!H31,"-")</f>
        <v>-</v>
      </c>
      <c r="R81" s="61" t="str">
        <f>IF(月途中入退所情報!$D31=$B$2,月途中入退所情報!I31,"-")</f>
        <v>-</v>
      </c>
      <c r="S81" s="61" t="str">
        <f>IF(月途中入退所情報!$D31=$B$2,月途中入退所情報!J31,"-")</f>
        <v>-</v>
      </c>
      <c r="T81" s="84">
        <f>IF($Q81="標準時間",HLOOKUP($P81,$F$31:$I$54,24,FALSE)-SUM($F$10,$F$21:$F$24,$F$26)-HLOOKUP($P81,$F$31:$I$54,17,FALSE)+HLOOKUP($P81,$F$31:$I$56,26,FALSE),IF($Q81="短時間",HLOOKUP($P81,$J$31:$M$54,24,FALSE)-SUM($F$10,$F$21:$F$24,$F$26)-HLOOKUP($P81,$J$31:$M$54,17,FALSE)+HLOOKUP($P81,$J$31:$M$56,26,FALSE),0))+IF(R81="○",加算と減算!$AH$3,0)</f>
        <v>0</v>
      </c>
      <c r="U81" s="85">
        <f t="shared" ref="U81:U100" si="54">IFERROR(ROUNDDOWN(T81*S81/25,-1),0)</f>
        <v>0</v>
      </c>
      <c r="V81" s="262">
        <f>IFERROR(ROUNDDOWN(IF($Q81="標準時間",HLOOKUP($P81,$F$31:$I$55,25,FALSE),IF($Q81="短時間",HLOOKUP($P81,$J$31:$M$55,25,FALSE),0))*S81/25,-1),0)</f>
        <v>0</v>
      </c>
      <c r="W81" s="262"/>
      <c r="X81" s="61" t="str">
        <f>IF(月途中入退所情報!$N31=$B$2,月途中入退所情報!$P31,"-")</f>
        <v>-</v>
      </c>
      <c r="Y81" s="61" t="str">
        <f>IF(月途中入退所情報!$N31=$B$2,月途中入退所情報!$Q31,"-")</f>
        <v>-</v>
      </c>
      <c r="Z81" s="61" t="str">
        <f>IF(月途中入退所情報!$N31=$B$2,月途中入退所情報!$R31,"-")</f>
        <v>-</v>
      </c>
      <c r="AA81" s="61" t="str">
        <f>IF(月途中入退所情報!$N31=$B$2,月途中入退所情報!$S31,"-")</f>
        <v>-</v>
      </c>
      <c r="AB81" s="61" t="str">
        <f>IF(月途中入退所情報!$N31=$B$2,月途中入退所情報!$T31,"-")</f>
        <v>-</v>
      </c>
      <c r="AC81" s="84">
        <f>IF($Z81="標準時間",HLOOKUP($Y81,$F$31:$I$54,24,FALSE)-SUM($F$10,$F$21:$F$24,$F$26)-HLOOKUP($Y81,$F$31:$I$54,17,FALSE)+HLOOKUP($Y81,$F$31:$I$56,26,FALSE),IF($Z81="短時間",HLOOKUP($Y81,$J$31:$M$54,24,FALSE)-SUM($F$10,$F$21:$F$24,$F$26)-HLOOKUP($Y81,$J$31:$M$54,17,FALSE)+HLOOKUP($Y81,$J$31:$M$56,26,FALSE),0))+IF(AA81="○",加算と減算!$AH$3,0)</f>
        <v>0</v>
      </c>
      <c r="AD81" s="85">
        <f t="shared" ref="AD81:AD100" si="55">IFERROR(-ROUNDUP(AC81*AB81/25,-1),0)</f>
        <v>0</v>
      </c>
      <c r="AE81" s="262">
        <f t="shared" ref="AE81:AE100" si="56">IFERROR(-ROUNDUP(IF($Z81="標準時間",HLOOKUP($Y81,$F$31:$I$55,25,FALSE),IF($Z81="短時間",HLOOKUP($Y81,$J$31:$M$55,25,FALSE),0))*AB81/25,-1),0)</f>
        <v>0</v>
      </c>
    </row>
    <row r="82" spans="15:31">
      <c r="O82" s="61" t="str">
        <f>IF(月途中入退所情報!$D32=$B$2,月途中入退所情報!F32,"-")</f>
        <v>-</v>
      </c>
      <c r="P82" s="61" t="str">
        <f>IF(月途中入退所情報!$D32=$B$2,月途中入退所情報!G32,"-")</f>
        <v>-</v>
      </c>
      <c r="Q82" s="61" t="str">
        <f>IF(月途中入退所情報!$D32=$B$2,月途中入退所情報!H32,"-")</f>
        <v>-</v>
      </c>
      <c r="R82" s="61" t="str">
        <f>IF(月途中入退所情報!$D32=$B$2,月途中入退所情報!I32,"-")</f>
        <v>-</v>
      </c>
      <c r="S82" s="61" t="str">
        <f>IF(月途中入退所情報!$D32=$B$2,月途中入退所情報!J32,"-")</f>
        <v>-</v>
      </c>
      <c r="T82" s="84">
        <f>IF($Q82="標準時間",HLOOKUP($P82,$F$31:$I$54,24,FALSE)-SUM($F$10,$F$21:$F$24,$F$26)-HLOOKUP($P82,$F$31:$I$54,17,FALSE)+HLOOKUP($P82,$F$31:$I$56,26,FALSE),IF($Q82="短時間",HLOOKUP($P82,$J$31:$M$54,24,FALSE)-SUM($F$10,$F$21:$F$24,$F$26)-HLOOKUP($P82,$J$31:$M$54,17,FALSE)+HLOOKUP($P82,$J$31:$M$56,26,FALSE),0))+IF(R82="○",加算と減算!$AH$3,0)</f>
        <v>0</v>
      </c>
      <c r="U82" s="85">
        <f t="shared" si="54"/>
        <v>0</v>
      </c>
      <c r="V82" s="262">
        <f t="shared" ref="V82:V100" si="57">IFERROR(ROUNDDOWN(IF($Q82="標準時間",HLOOKUP($P82,$F$31:$I$55,25,FALSE),IF($Q82="短時間",HLOOKUP($P82,$J$31:$M$55,25,FALSE),0))*S82/25,-1),0)</f>
        <v>0</v>
      </c>
      <c r="W82" s="262"/>
      <c r="X82" s="61" t="str">
        <f>IF(月途中入退所情報!$N32=$B$2,月途中入退所情報!$P32,"-")</f>
        <v>-</v>
      </c>
      <c r="Y82" s="61" t="str">
        <f>IF(月途中入退所情報!$N32=$B$2,月途中入退所情報!$Q32,"-")</f>
        <v>-</v>
      </c>
      <c r="Z82" s="61" t="str">
        <f>IF(月途中入退所情報!$N32=$B$2,月途中入退所情報!$R32,"-")</f>
        <v>-</v>
      </c>
      <c r="AA82" s="61" t="str">
        <f>IF(月途中入退所情報!$N32=$B$2,月途中入退所情報!$S32,"-")</f>
        <v>-</v>
      </c>
      <c r="AB82" s="61" t="str">
        <f>IF(月途中入退所情報!$N32=$B$2,月途中入退所情報!$T32,"-")</f>
        <v>-</v>
      </c>
      <c r="AC82" s="84">
        <f>IF($Z82="標準時間",HLOOKUP($Y82,$F$31:$I$54,24,FALSE)-SUM($F$10,$F$21:$F$24,$F$26)-HLOOKUP($Y82,$F$31:$I$54,17,FALSE)+HLOOKUP($Y82,$F$31:$I$56,26,FALSE),IF($Z82="短時間",HLOOKUP($Y82,$J$31:$M$54,24,FALSE)-SUM($F$10,$F$21:$F$24,$F$26)-HLOOKUP($Y82,$J$31:$M$54,17,FALSE)+HLOOKUP($Y82,$J$31:$M$56,26,FALSE),0))+IF(AA82="○",加算と減算!$AH$3,0)</f>
        <v>0</v>
      </c>
      <c r="AD82" s="85">
        <f t="shared" si="55"/>
        <v>0</v>
      </c>
      <c r="AE82" s="262">
        <f t="shared" si="56"/>
        <v>0</v>
      </c>
    </row>
    <row r="83" spans="15:31">
      <c r="O83" s="61" t="str">
        <f>IF(月途中入退所情報!$D33=$B$2,月途中入退所情報!F33,"-")</f>
        <v>-</v>
      </c>
      <c r="P83" s="61" t="str">
        <f>IF(月途中入退所情報!$D33=$B$2,月途中入退所情報!G33,"-")</f>
        <v>-</v>
      </c>
      <c r="Q83" s="61" t="str">
        <f>IF(月途中入退所情報!$D33=$B$2,月途中入退所情報!H33,"-")</f>
        <v>-</v>
      </c>
      <c r="R83" s="61" t="str">
        <f>IF(月途中入退所情報!$D33=$B$2,月途中入退所情報!I33,"-")</f>
        <v>-</v>
      </c>
      <c r="S83" s="61" t="str">
        <f>IF(月途中入退所情報!$D33=$B$2,月途中入退所情報!J33,"-")</f>
        <v>-</v>
      </c>
      <c r="T83" s="84">
        <f>IF($Q83="標準時間",HLOOKUP($P83,$F$31:$I$54,24,FALSE)-SUM($F$10,$F$21:$F$24,$F$26)-HLOOKUP($P83,$F$31:$I$54,17,FALSE)+HLOOKUP($P83,$F$31:$I$56,26,FALSE),IF($Q83="短時間",HLOOKUP($P83,$J$31:$M$54,24,FALSE)-SUM($F$10,$F$21:$F$24,$F$26)-HLOOKUP($P83,$J$31:$M$54,17,FALSE)+HLOOKUP($P83,$J$31:$M$56,26,FALSE),0))+IF(R83="○",加算と減算!$AH$3,0)</f>
        <v>0</v>
      </c>
      <c r="U83" s="85">
        <f t="shared" si="54"/>
        <v>0</v>
      </c>
      <c r="V83" s="262">
        <f t="shared" si="57"/>
        <v>0</v>
      </c>
      <c r="W83" s="262"/>
      <c r="X83" s="61" t="str">
        <f>IF(月途中入退所情報!$N33=$B$2,月途中入退所情報!$P33,"-")</f>
        <v>-</v>
      </c>
      <c r="Y83" s="61" t="str">
        <f>IF(月途中入退所情報!$N33=$B$2,月途中入退所情報!$Q33,"-")</f>
        <v>-</v>
      </c>
      <c r="Z83" s="61" t="str">
        <f>IF(月途中入退所情報!$N33=$B$2,月途中入退所情報!$R33,"-")</f>
        <v>-</v>
      </c>
      <c r="AA83" s="61" t="str">
        <f>IF(月途中入退所情報!$N33=$B$2,月途中入退所情報!$S33,"-")</f>
        <v>-</v>
      </c>
      <c r="AB83" s="61" t="str">
        <f>IF(月途中入退所情報!$N33=$B$2,月途中入退所情報!$T33,"-")</f>
        <v>-</v>
      </c>
      <c r="AC83" s="84">
        <f>IF($Z83="標準時間",HLOOKUP($Y83,$F$31:$I$54,24,FALSE)-SUM($F$10,$F$21:$F$24,$F$26)-HLOOKUP($Y83,$F$31:$I$54,17,FALSE)+HLOOKUP($Y83,$F$31:$I$56,26,FALSE),IF($Z83="短時間",HLOOKUP($Y83,$J$31:$M$54,24,FALSE)-SUM($F$10,$F$21:$F$24,$F$26)-HLOOKUP($Y83,$J$31:$M$54,17,FALSE)+HLOOKUP($Y83,$J$31:$M$56,26,FALSE),0))+IF(AA83="○",加算と減算!$AH$3,0)</f>
        <v>0</v>
      </c>
      <c r="AD83" s="85">
        <f t="shared" si="55"/>
        <v>0</v>
      </c>
      <c r="AE83" s="262">
        <f t="shared" si="56"/>
        <v>0</v>
      </c>
    </row>
    <row r="84" spans="15:31">
      <c r="O84" s="61" t="str">
        <f>IF(月途中入退所情報!$D34=$B$2,月途中入退所情報!F34,"-")</f>
        <v>-</v>
      </c>
      <c r="P84" s="61" t="str">
        <f>IF(月途中入退所情報!$D34=$B$2,月途中入退所情報!G34,"-")</f>
        <v>-</v>
      </c>
      <c r="Q84" s="61" t="str">
        <f>IF(月途中入退所情報!$D34=$B$2,月途中入退所情報!H34,"-")</f>
        <v>-</v>
      </c>
      <c r="R84" s="61" t="str">
        <f>IF(月途中入退所情報!$D34=$B$2,月途中入退所情報!I34,"-")</f>
        <v>-</v>
      </c>
      <c r="S84" s="61" t="str">
        <f>IF(月途中入退所情報!$D34=$B$2,月途中入退所情報!J34,"-")</f>
        <v>-</v>
      </c>
      <c r="T84" s="84">
        <f>IF($Q84="標準時間",HLOOKUP($P84,$F$31:$I$54,24,FALSE)-SUM($F$10,$F$21:$F$24,$F$26)-HLOOKUP($P84,$F$31:$I$54,17,FALSE)+HLOOKUP($P84,$F$31:$I$56,26,FALSE),IF($Q84="短時間",HLOOKUP($P84,$J$31:$M$54,24,FALSE)-SUM($F$10,$F$21:$F$24,$F$26)-HLOOKUP($P84,$J$31:$M$54,17,FALSE)+HLOOKUP($P84,$J$31:$M$56,26,FALSE),0))+IF(R84="○",加算と減算!$AH$3,0)</f>
        <v>0</v>
      </c>
      <c r="U84" s="85">
        <f t="shared" si="54"/>
        <v>0</v>
      </c>
      <c r="V84" s="262">
        <f t="shared" si="57"/>
        <v>0</v>
      </c>
      <c r="W84" s="262"/>
      <c r="X84" s="61" t="str">
        <f>IF(月途中入退所情報!$N34=$B$2,月途中入退所情報!$P34,"-")</f>
        <v>-</v>
      </c>
      <c r="Y84" s="61" t="str">
        <f>IF(月途中入退所情報!$N34=$B$2,月途中入退所情報!$Q34,"-")</f>
        <v>-</v>
      </c>
      <c r="Z84" s="61" t="str">
        <f>IF(月途中入退所情報!$N34=$B$2,月途中入退所情報!$R34,"-")</f>
        <v>-</v>
      </c>
      <c r="AA84" s="61" t="str">
        <f>IF(月途中入退所情報!$N34=$B$2,月途中入退所情報!$S34,"-")</f>
        <v>-</v>
      </c>
      <c r="AB84" s="61" t="str">
        <f>IF(月途中入退所情報!$N34=$B$2,月途中入退所情報!$T34,"-")</f>
        <v>-</v>
      </c>
      <c r="AC84" s="84">
        <f>IF($Z84="標準時間",HLOOKUP($Y84,$F$31:$I$54,24,FALSE)-SUM($F$10,$F$21:$F$24,$F$26)-HLOOKUP($Y84,$F$31:$I$54,17,FALSE)+HLOOKUP($Y84,$F$31:$I$56,26,FALSE),IF($Z84="短時間",HLOOKUP($Y84,$J$31:$M$54,24,FALSE)-SUM($F$10,$F$21:$F$24,$F$26)-HLOOKUP($Y84,$J$31:$M$54,17,FALSE)+HLOOKUP($Y84,$J$31:$M$56,26,FALSE),0))+IF(AA84="○",加算と減算!$AH$3,0)</f>
        <v>0</v>
      </c>
      <c r="AD84" s="85">
        <f t="shared" si="55"/>
        <v>0</v>
      </c>
      <c r="AE84" s="262">
        <f t="shared" si="56"/>
        <v>0</v>
      </c>
    </row>
    <row r="85" spans="15:31">
      <c r="O85" s="61" t="str">
        <f>IF(月途中入退所情報!$D35=$B$2,月途中入退所情報!F35,"-")</f>
        <v>-</v>
      </c>
      <c r="P85" s="61" t="str">
        <f>IF(月途中入退所情報!$D35=$B$2,月途中入退所情報!G35,"-")</f>
        <v>-</v>
      </c>
      <c r="Q85" s="61" t="str">
        <f>IF(月途中入退所情報!$D35=$B$2,月途中入退所情報!H35,"-")</f>
        <v>-</v>
      </c>
      <c r="R85" s="61" t="str">
        <f>IF(月途中入退所情報!$D35=$B$2,月途中入退所情報!I35,"-")</f>
        <v>-</v>
      </c>
      <c r="S85" s="61" t="str">
        <f>IF(月途中入退所情報!$D35=$B$2,月途中入退所情報!J35,"-")</f>
        <v>-</v>
      </c>
      <c r="T85" s="84">
        <f>IF($Q85="標準時間",HLOOKUP($P85,$F$31:$I$54,24,FALSE)-SUM($F$10,$F$21:$F$24,$F$26)-HLOOKUP($P85,$F$31:$I$54,17,FALSE)+HLOOKUP($P85,$F$31:$I$56,26,FALSE),IF($Q85="短時間",HLOOKUP($P85,$J$31:$M$54,24,FALSE)-SUM($F$10,$F$21:$F$24,$F$26)-HLOOKUP($P85,$J$31:$M$54,17,FALSE)+HLOOKUP($P85,$J$31:$M$56,26,FALSE),0))+IF(R85="○",加算と減算!$AH$3,0)</f>
        <v>0</v>
      </c>
      <c r="U85" s="85">
        <f t="shared" si="54"/>
        <v>0</v>
      </c>
      <c r="V85" s="262">
        <f t="shared" si="57"/>
        <v>0</v>
      </c>
      <c r="W85" s="262"/>
      <c r="X85" s="61" t="str">
        <f>IF(月途中入退所情報!$N35=$B$2,月途中入退所情報!$P35,"-")</f>
        <v>-</v>
      </c>
      <c r="Y85" s="61" t="str">
        <f>IF(月途中入退所情報!$N35=$B$2,月途中入退所情報!$Q35,"-")</f>
        <v>-</v>
      </c>
      <c r="Z85" s="61" t="str">
        <f>IF(月途中入退所情報!$N35=$B$2,月途中入退所情報!$R35,"-")</f>
        <v>-</v>
      </c>
      <c r="AA85" s="61" t="str">
        <f>IF(月途中入退所情報!$N35=$B$2,月途中入退所情報!$S35,"-")</f>
        <v>-</v>
      </c>
      <c r="AB85" s="61" t="str">
        <f>IF(月途中入退所情報!$N35=$B$2,月途中入退所情報!$T35,"-")</f>
        <v>-</v>
      </c>
      <c r="AC85" s="84">
        <f>IF($Z85="標準時間",HLOOKUP($Y85,$F$31:$I$54,24,FALSE)-SUM($F$10,$F$21:$F$24,$F$26)-HLOOKUP($Y85,$F$31:$I$54,17,FALSE)+HLOOKUP($Y85,$F$31:$I$56,26,FALSE),IF($Z85="短時間",HLOOKUP($Y85,$J$31:$M$54,24,FALSE)-SUM($F$10,$F$21:$F$24,$F$26)-HLOOKUP($Y85,$J$31:$M$54,17,FALSE)+HLOOKUP($Y85,$J$31:$M$56,26,FALSE),0))+IF(AA85="○",加算と減算!$AH$3,0)</f>
        <v>0</v>
      </c>
      <c r="AD85" s="85">
        <f t="shared" si="55"/>
        <v>0</v>
      </c>
      <c r="AE85" s="262">
        <f t="shared" si="56"/>
        <v>0</v>
      </c>
    </row>
    <row r="86" spans="15:31">
      <c r="O86" s="61" t="str">
        <f>IF(月途中入退所情報!$D36=$B$2,月途中入退所情報!F36,"-")</f>
        <v>-</v>
      </c>
      <c r="P86" s="61" t="str">
        <f>IF(月途中入退所情報!$D36=$B$2,月途中入退所情報!G36,"-")</f>
        <v>-</v>
      </c>
      <c r="Q86" s="61" t="str">
        <f>IF(月途中入退所情報!$D36=$B$2,月途中入退所情報!H36,"-")</f>
        <v>-</v>
      </c>
      <c r="R86" s="61" t="str">
        <f>IF(月途中入退所情報!$D36=$B$2,月途中入退所情報!I36,"-")</f>
        <v>-</v>
      </c>
      <c r="S86" s="61" t="str">
        <f>IF(月途中入退所情報!$D36=$B$2,月途中入退所情報!J36,"-")</f>
        <v>-</v>
      </c>
      <c r="T86" s="84">
        <f>IF($Q86="標準時間",HLOOKUP($P86,$F$31:$I$54,24,FALSE)-SUM($F$10,$F$21:$F$24,$F$26)-HLOOKUP($P86,$F$31:$I$54,17,FALSE)+HLOOKUP($P86,$F$31:$I$56,26,FALSE),IF($Q86="短時間",HLOOKUP($P86,$J$31:$M$54,24,FALSE)-SUM($F$10,$F$21:$F$24,$F$26)-HLOOKUP($P86,$J$31:$M$54,17,FALSE)+HLOOKUP($P86,$J$31:$M$56,26,FALSE),0))+IF(R86="○",加算と減算!$AH$3,0)</f>
        <v>0</v>
      </c>
      <c r="U86" s="85">
        <f t="shared" si="54"/>
        <v>0</v>
      </c>
      <c r="V86" s="262">
        <f t="shared" si="57"/>
        <v>0</v>
      </c>
      <c r="W86" s="262"/>
      <c r="X86" s="61" t="str">
        <f>IF(月途中入退所情報!$N36=$B$2,月途中入退所情報!$P36,"-")</f>
        <v>-</v>
      </c>
      <c r="Y86" s="61" t="str">
        <f>IF(月途中入退所情報!$N36=$B$2,月途中入退所情報!$Q36,"-")</f>
        <v>-</v>
      </c>
      <c r="Z86" s="61" t="str">
        <f>IF(月途中入退所情報!$N36=$B$2,月途中入退所情報!$R36,"-")</f>
        <v>-</v>
      </c>
      <c r="AA86" s="61" t="str">
        <f>IF(月途中入退所情報!$N36=$B$2,月途中入退所情報!$S36,"-")</f>
        <v>-</v>
      </c>
      <c r="AB86" s="61" t="str">
        <f>IF(月途中入退所情報!$N36=$B$2,月途中入退所情報!$T36,"-")</f>
        <v>-</v>
      </c>
      <c r="AC86" s="84">
        <f>IF($Z86="標準時間",HLOOKUP($Y86,$F$31:$I$54,24,FALSE)-SUM($F$10,$F$21:$F$24,$F$26)-HLOOKUP($Y86,$F$31:$I$54,17,FALSE)+HLOOKUP($Y86,$F$31:$I$56,26,FALSE),IF($Z86="短時間",HLOOKUP($Y86,$J$31:$M$54,24,FALSE)-SUM($F$10,$F$21:$F$24,$F$26)-HLOOKUP($Y86,$J$31:$M$54,17,FALSE)+HLOOKUP($Y86,$J$31:$M$56,26,FALSE),0))+IF(AA86="○",加算と減算!$AH$3,0)</f>
        <v>0</v>
      </c>
      <c r="AD86" s="85">
        <f t="shared" si="55"/>
        <v>0</v>
      </c>
      <c r="AE86" s="262">
        <f t="shared" si="56"/>
        <v>0</v>
      </c>
    </row>
    <row r="87" spans="15:31">
      <c r="O87" s="61" t="str">
        <f>IF(月途中入退所情報!$D37=$B$2,月途中入退所情報!F37,"-")</f>
        <v>-</v>
      </c>
      <c r="P87" s="61" t="str">
        <f>IF(月途中入退所情報!$D37=$B$2,月途中入退所情報!G37,"-")</f>
        <v>-</v>
      </c>
      <c r="Q87" s="61" t="str">
        <f>IF(月途中入退所情報!$D37=$B$2,月途中入退所情報!H37,"-")</f>
        <v>-</v>
      </c>
      <c r="R87" s="61" t="str">
        <f>IF(月途中入退所情報!$D37=$B$2,月途中入退所情報!I37,"-")</f>
        <v>-</v>
      </c>
      <c r="S87" s="61" t="str">
        <f>IF(月途中入退所情報!$D37=$B$2,月途中入退所情報!J37,"-")</f>
        <v>-</v>
      </c>
      <c r="T87" s="84">
        <f>IF($Q87="標準時間",HLOOKUP($P87,$F$31:$I$54,24,FALSE)-SUM($F$10,$F$21:$F$24,$F$26)-HLOOKUP($P87,$F$31:$I$54,17,FALSE)+HLOOKUP($P87,$F$31:$I$56,26,FALSE),IF($Q87="短時間",HLOOKUP($P87,$J$31:$M$54,24,FALSE)-SUM($F$10,$F$21:$F$24,$F$26)-HLOOKUP($P87,$J$31:$M$54,17,FALSE)+HLOOKUP($P87,$J$31:$M$56,26,FALSE),0))+IF(R87="○",加算と減算!$AH$3,0)</f>
        <v>0</v>
      </c>
      <c r="U87" s="85">
        <f t="shared" si="54"/>
        <v>0</v>
      </c>
      <c r="V87" s="262">
        <f t="shared" si="57"/>
        <v>0</v>
      </c>
      <c r="W87" s="262"/>
      <c r="X87" s="61" t="str">
        <f>IF(月途中入退所情報!$N37=$B$2,月途中入退所情報!$P37,"-")</f>
        <v>-</v>
      </c>
      <c r="Y87" s="61" t="str">
        <f>IF(月途中入退所情報!$N37=$B$2,月途中入退所情報!$Q37,"-")</f>
        <v>-</v>
      </c>
      <c r="Z87" s="61" t="str">
        <f>IF(月途中入退所情報!$N37=$B$2,月途中入退所情報!$R37,"-")</f>
        <v>-</v>
      </c>
      <c r="AA87" s="61" t="str">
        <f>IF(月途中入退所情報!$N37=$B$2,月途中入退所情報!$S37,"-")</f>
        <v>-</v>
      </c>
      <c r="AB87" s="61" t="str">
        <f>IF(月途中入退所情報!$N37=$B$2,月途中入退所情報!$T37,"-")</f>
        <v>-</v>
      </c>
      <c r="AC87" s="84">
        <f>IF($Z87="標準時間",HLOOKUP($Y87,$F$31:$I$54,24,FALSE)-SUM($F$10,$F$21:$F$24,$F$26)-HLOOKUP($Y87,$F$31:$I$54,17,FALSE)+HLOOKUP($Y87,$F$31:$I$56,26,FALSE),IF($Z87="短時間",HLOOKUP($Y87,$J$31:$M$54,24,FALSE)-SUM($F$10,$F$21:$F$24,$F$26)-HLOOKUP($Y87,$J$31:$M$54,17,FALSE)+HLOOKUP($Y87,$J$31:$M$56,26,FALSE),0))+IF(AA87="○",加算と減算!$AH$3,0)</f>
        <v>0</v>
      </c>
      <c r="AD87" s="85">
        <f t="shared" si="55"/>
        <v>0</v>
      </c>
      <c r="AE87" s="262">
        <f t="shared" si="56"/>
        <v>0</v>
      </c>
    </row>
    <row r="88" spans="15:31">
      <c r="O88" s="61" t="str">
        <f>IF(月途中入退所情報!$D38=$B$2,月途中入退所情報!F38,"-")</f>
        <v>-</v>
      </c>
      <c r="P88" s="61" t="str">
        <f>IF(月途中入退所情報!$D38=$B$2,月途中入退所情報!G38,"-")</f>
        <v>-</v>
      </c>
      <c r="Q88" s="61" t="str">
        <f>IF(月途中入退所情報!$D38=$B$2,月途中入退所情報!H38,"-")</f>
        <v>-</v>
      </c>
      <c r="R88" s="61" t="str">
        <f>IF(月途中入退所情報!$D38=$B$2,月途中入退所情報!I38,"-")</f>
        <v>-</v>
      </c>
      <c r="S88" s="61" t="str">
        <f>IF(月途中入退所情報!$D38=$B$2,月途中入退所情報!J38,"-")</f>
        <v>-</v>
      </c>
      <c r="T88" s="84">
        <f>IF($Q88="標準時間",HLOOKUP($P88,$F$31:$I$54,24,FALSE)-SUM($F$10,$F$21:$F$24,$F$26)-HLOOKUP($P88,$F$31:$I$54,17,FALSE)+HLOOKUP($P88,$F$31:$I$56,26,FALSE),IF($Q88="短時間",HLOOKUP($P88,$J$31:$M$54,24,FALSE)-SUM($F$10,$F$21:$F$24,$F$26)-HLOOKUP($P88,$J$31:$M$54,17,FALSE)+HLOOKUP($P88,$J$31:$M$56,26,FALSE),0))+IF(R88="○",加算と減算!$AH$3,0)</f>
        <v>0</v>
      </c>
      <c r="U88" s="85">
        <f t="shared" si="54"/>
        <v>0</v>
      </c>
      <c r="V88" s="262">
        <f t="shared" si="57"/>
        <v>0</v>
      </c>
      <c r="W88" s="262"/>
      <c r="X88" s="61" t="str">
        <f>IF(月途中入退所情報!$N38=$B$2,月途中入退所情報!$P38,"-")</f>
        <v>-</v>
      </c>
      <c r="Y88" s="61" t="str">
        <f>IF(月途中入退所情報!$N38=$B$2,月途中入退所情報!$Q38,"-")</f>
        <v>-</v>
      </c>
      <c r="Z88" s="61" t="str">
        <f>IF(月途中入退所情報!$N38=$B$2,月途中入退所情報!$R38,"-")</f>
        <v>-</v>
      </c>
      <c r="AA88" s="61" t="str">
        <f>IF(月途中入退所情報!$N38=$B$2,月途中入退所情報!$S38,"-")</f>
        <v>-</v>
      </c>
      <c r="AB88" s="61" t="str">
        <f>IF(月途中入退所情報!$N38=$B$2,月途中入退所情報!$T38,"-")</f>
        <v>-</v>
      </c>
      <c r="AC88" s="84">
        <f>IF($Z88="標準時間",HLOOKUP($Y88,$F$31:$I$54,24,FALSE)-SUM($F$10,$F$21:$F$24,$F$26)-HLOOKUP($Y88,$F$31:$I$54,17,FALSE)+HLOOKUP($Y88,$F$31:$I$56,26,FALSE),IF($Z88="短時間",HLOOKUP($Y88,$J$31:$M$54,24,FALSE)-SUM($F$10,$F$21:$F$24,$F$26)-HLOOKUP($Y88,$J$31:$M$54,17,FALSE)+HLOOKUP($Y88,$J$31:$M$56,26,FALSE),0))+IF(AA88="○",加算と減算!$AH$3,0)</f>
        <v>0</v>
      </c>
      <c r="AD88" s="85">
        <f t="shared" si="55"/>
        <v>0</v>
      </c>
      <c r="AE88" s="262">
        <f t="shared" si="56"/>
        <v>0</v>
      </c>
    </row>
    <row r="89" spans="15:31">
      <c r="O89" s="61" t="str">
        <f>IF(月途中入退所情報!$D39=$B$2,月途中入退所情報!F39,"-")</f>
        <v>-</v>
      </c>
      <c r="P89" s="61" t="str">
        <f>IF(月途中入退所情報!$D39=$B$2,月途中入退所情報!G39,"-")</f>
        <v>-</v>
      </c>
      <c r="Q89" s="61" t="str">
        <f>IF(月途中入退所情報!$D39=$B$2,月途中入退所情報!H39,"-")</f>
        <v>-</v>
      </c>
      <c r="R89" s="61" t="str">
        <f>IF(月途中入退所情報!$D39=$B$2,月途中入退所情報!I39,"-")</f>
        <v>-</v>
      </c>
      <c r="S89" s="61" t="str">
        <f>IF(月途中入退所情報!$D39=$B$2,月途中入退所情報!J39,"-")</f>
        <v>-</v>
      </c>
      <c r="T89" s="84">
        <f>IF($Q89="標準時間",HLOOKUP($P89,$F$31:$I$54,24,FALSE)-SUM($F$10,$F$21:$F$24,$F$26)-HLOOKUP($P89,$F$31:$I$54,17,FALSE)+HLOOKUP($P89,$F$31:$I$56,26,FALSE),IF($Q89="短時間",HLOOKUP($P89,$J$31:$M$54,24,FALSE)-SUM($F$10,$F$21:$F$24,$F$26)-HLOOKUP($P89,$J$31:$M$54,17,FALSE)+HLOOKUP($P89,$J$31:$M$56,26,FALSE),0))+IF(R89="○",加算と減算!$AH$3,0)</f>
        <v>0</v>
      </c>
      <c r="U89" s="85">
        <f t="shared" si="54"/>
        <v>0</v>
      </c>
      <c r="V89" s="262">
        <f t="shared" si="57"/>
        <v>0</v>
      </c>
      <c r="W89" s="262"/>
      <c r="X89" s="61" t="str">
        <f>IF(月途中入退所情報!$N39=$B$2,月途中入退所情報!$P39,"-")</f>
        <v>-</v>
      </c>
      <c r="Y89" s="61" t="str">
        <f>IF(月途中入退所情報!$N39=$B$2,月途中入退所情報!$Q39,"-")</f>
        <v>-</v>
      </c>
      <c r="Z89" s="61" t="str">
        <f>IF(月途中入退所情報!$N39=$B$2,月途中入退所情報!$R39,"-")</f>
        <v>-</v>
      </c>
      <c r="AA89" s="61" t="str">
        <f>IF(月途中入退所情報!$N39=$B$2,月途中入退所情報!$S39,"-")</f>
        <v>-</v>
      </c>
      <c r="AB89" s="61" t="str">
        <f>IF(月途中入退所情報!$N39=$B$2,月途中入退所情報!$T39,"-")</f>
        <v>-</v>
      </c>
      <c r="AC89" s="84">
        <f>IF($Z89="標準時間",HLOOKUP($Y89,$F$31:$I$54,24,FALSE)-SUM($F$10,$F$21:$F$24,$F$26)-HLOOKUP($Y89,$F$31:$I$54,17,FALSE)+HLOOKUP($Y89,$F$31:$I$56,26,FALSE),IF($Z89="短時間",HLOOKUP($Y89,$J$31:$M$54,24,FALSE)-SUM($F$10,$F$21:$F$24,$F$26)-HLOOKUP($Y89,$J$31:$M$54,17,FALSE)+HLOOKUP($Y89,$J$31:$M$56,26,FALSE),0))+IF(AA89="○",加算と減算!$AH$3,0)</f>
        <v>0</v>
      </c>
      <c r="AD89" s="85">
        <f t="shared" si="55"/>
        <v>0</v>
      </c>
      <c r="AE89" s="262">
        <f t="shared" si="56"/>
        <v>0</v>
      </c>
    </row>
    <row r="90" spans="15:31">
      <c r="O90" s="61" t="str">
        <f>IF(月途中入退所情報!$D40=$B$2,月途中入退所情報!F40,"-")</f>
        <v>-</v>
      </c>
      <c r="P90" s="61" t="str">
        <f>IF(月途中入退所情報!$D40=$B$2,月途中入退所情報!G40,"-")</f>
        <v>-</v>
      </c>
      <c r="Q90" s="61" t="str">
        <f>IF(月途中入退所情報!$D40=$B$2,月途中入退所情報!H40,"-")</f>
        <v>-</v>
      </c>
      <c r="R90" s="61" t="str">
        <f>IF(月途中入退所情報!$D40=$B$2,月途中入退所情報!I40,"-")</f>
        <v>-</v>
      </c>
      <c r="S90" s="61" t="str">
        <f>IF(月途中入退所情報!$D40=$B$2,月途中入退所情報!J40,"-")</f>
        <v>-</v>
      </c>
      <c r="T90" s="84">
        <f>IF($Q90="標準時間",HLOOKUP($P90,$F$31:$I$54,24,FALSE)-SUM($F$10,$F$21:$F$24,$F$26)-HLOOKUP($P90,$F$31:$I$54,17,FALSE)+HLOOKUP($P90,$F$31:$I$56,26,FALSE),IF($Q90="短時間",HLOOKUP($P90,$J$31:$M$54,24,FALSE)-SUM($F$10,$F$21:$F$24,$F$26)-HLOOKUP($P90,$J$31:$M$54,17,FALSE)+HLOOKUP($P90,$J$31:$M$56,26,FALSE),0))+IF(R90="○",加算と減算!$AH$3,0)</f>
        <v>0</v>
      </c>
      <c r="U90" s="85">
        <f t="shared" si="54"/>
        <v>0</v>
      </c>
      <c r="V90" s="262">
        <f t="shared" si="57"/>
        <v>0</v>
      </c>
      <c r="W90" s="262"/>
      <c r="X90" s="61" t="str">
        <f>IF(月途中入退所情報!$N40=$B$2,月途中入退所情報!$P40,"-")</f>
        <v>-</v>
      </c>
      <c r="Y90" s="61" t="str">
        <f>IF(月途中入退所情報!$N40=$B$2,月途中入退所情報!$Q40,"-")</f>
        <v>-</v>
      </c>
      <c r="Z90" s="61" t="str">
        <f>IF(月途中入退所情報!$N40=$B$2,月途中入退所情報!$R40,"-")</f>
        <v>-</v>
      </c>
      <c r="AA90" s="61" t="str">
        <f>IF(月途中入退所情報!$N40=$B$2,月途中入退所情報!$S40,"-")</f>
        <v>-</v>
      </c>
      <c r="AB90" s="61" t="str">
        <f>IF(月途中入退所情報!$N40=$B$2,月途中入退所情報!$T40,"-")</f>
        <v>-</v>
      </c>
      <c r="AC90" s="84">
        <f>IF($Z90="標準時間",HLOOKUP($Y90,$F$31:$I$54,24,FALSE)-SUM($F$10,$F$21:$F$24,$F$26)-HLOOKUP($Y90,$F$31:$I$54,17,FALSE)+HLOOKUP($Y90,$F$31:$I$56,26,FALSE),IF($Z90="短時間",HLOOKUP($Y90,$J$31:$M$54,24,FALSE)-SUM($F$10,$F$21:$F$24,$F$26)-HLOOKUP($Y90,$J$31:$M$54,17,FALSE)+HLOOKUP($Y90,$J$31:$M$56,26,FALSE),0))+IF(AA90="○",加算と減算!$AH$3,0)</f>
        <v>0</v>
      </c>
      <c r="AD90" s="85">
        <f t="shared" si="55"/>
        <v>0</v>
      </c>
      <c r="AE90" s="262">
        <f t="shared" si="56"/>
        <v>0</v>
      </c>
    </row>
    <row r="91" spans="15:31">
      <c r="O91" s="61" t="str">
        <f>IF(月途中入退所情報!$D41=$B$2,月途中入退所情報!F41,"-")</f>
        <v>-</v>
      </c>
      <c r="P91" s="61" t="str">
        <f>IF(月途中入退所情報!$D41=$B$2,月途中入退所情報!G41,"-")</f>
        <v>-</v>
      </c>
      <c r="Q91" s="61" t="str">
        <f>IF(月途中入退所情報!$D41=$B$2,月途中入退所情報!H41,"-")</f>
        <v>-</v>
      </c>
      <c r="R91" s="61" t="str">
        <f>IF(月途中入退所情報!$D41=$B$2,月途中入退所情報!I41,"-")</f>
        <v>-</v>
      </c>
      <c r="S91" s="61" t="str">
        <f>IF(月途中入退所情報!$D41=$B$2,月途中入退所情報!J41,"-")</f>
        <v>-</v>
      </c>
      <c r="T91" s="84">
        <f>IF($Q91="標準時間",HLOOKUP($P91,$F$31:$I$54,24,FALSE)-SUM($F$10,$F$21:$F$24,$F$26)-HLOOKUP($P91,$F$31:$I$54,17,FALSE)+HLOOKUP($P91,$F$31:$I$56,26,FALSE),IF($Q91="短時間",HLOOKUP($P91,$J$31:$M$54,24,FALSE)-SUM($F$10,$F$21:$F$24,$F$26)-HLOOKUP($P91,$J$31:$M$54,17,FALSE)+HLOOKUP($P91,$J$31:$M$56,26,FALSE),0))+IF(R91="○",加算と減算!$AH$3,0)</f>
        <v>0</v>
      </c>
      <c r="U91" s="85">
        <f t="shared" si="54"/>
        <v>0</v>
      </c>
      <c r="V91" s="262">
        <f t="shared" si="57"/>
        <v>0</v>
      </c>
      <c r="W91" s="262"/>
      <c r="X91" s="61" t="str">
        <f>IF(月途中入退所情報!$N41=$B$2,月途中入退所情報!$P41,"-")</f>
        <v>-</v>
      </c>
      <c r="Y91" s="61" t="str">
        <f>IF(月途中入退所情報!$N41=$B$2,月途中入退所情報!$Q41,"-")</f>
        <v>-</v>
      </c>
      <c r="Z91" s="61" t="str">
        <f>IF(月途中入退所情報!$N41=$B$2,月途中入退所情報!$R41,"-")</f>
        <v>-</v>
      </c>
      <c r="AA91" s="61" t="str">
        <f>IF(月途中入退所情報!$N41=$B$2,月途中入退所情報!$S41,"-")</f>
        <v>-</v>
      </c>
      <c r="AB91" s="61" t="str">
        <f>IF(月途中入退所情報!$N41=$B$2,月途中入退所情報!$T41,"-")</f>
        <v>-</v>
      </c>
      <c r="AC91" s="84">
        <f>IF($Z91="標準時間",HLOOKUP($Y91,$F$31:$I$54,24,FALSE)-SUM($F$10,$F$21:$F$24,$F$26)-HLOOKUP($Y91,$F$31:$I$54,17,FALSE)+HLOOKUP($Y91,$F$31:$I$56,26,FALSE),IF($Z91="短時間",HLOOKUP($Y91,$J$31:$M$54,24,FALSE)-SUM($F$10,$F$21:$F$24,$F$26)-HLOOKUP($Y91,$J$31:$M$54,17,FALSE)+HLOOKUP($Y91,$J$31:$M$56,26,FALSE),0))+IF(AA91="○",加算と減算!$AH$3,0)</f>
        <v>0</v>
      </c>
      <c r="AD91" s="85">
        <f t="shared" si="55"/>
        <v>0</v>
      </c>
      <c r="AE91" s="262">
        <f t="shared" si="56"/>
        <v>0</v>
      </c>
    </row>
    <row r="92" spans="15:31">
      <c r="O92" s="61" t="str">
        <f>IF(月途中入退所情報!$D42=$B$2,月途中入退所情報!F42,"-")</f>
        <v>-</v>
      </c>
      <c r="P92" s="61" t="str">
        <f>IF(月途中入退所情報!$D42=$B$2,月途中入退所情報!G42,"-")</f>
        <v>-</v>
      </c>
      <c r="Q92" s="61" t="str">
        <f>IF(月途中入退所情報!$D42=$B$2,月途中入退所情報!H42,"-")</f>
        <v>-</v>
      </c>
      <c r="R92" s="61" t="str">
        <f>IF(月途中入退所情報!$D42=$B$2,月途中入退所情報!I42,"-")</f>
        <v>-</v>
      </c>
      <c r="S92" s="61" t="str">
        <f>IF(月途中入退所情報!$D42=$B$2,月途中入退所情報!J42,"-")</f>
        <v>-</v>
      </c>
      <c r="T92" s="84">
        <f>IF($Q92="標準時間",HLOOKUP($P92,$F$31:$I$54,24,FALSE)-SUM($F$10,$F$21:$F$24,$F$26)-HLOOKUP($P92,$F$31:$I$54,17,FALSE)+HLOOKUP($P92,$F$31:$I$56,26,FALSE),IF($Q92="短時間",HLOOKUP($P92,$J$31:$M$54,24,FALSE)-SUM($F$10,$F$21:$F$24,$F$26)-HLOOKUP($P92,$J$31:$M$54,17,FALSE)+HLOOKUP($P92,$J$31:$M$56,26,FALSE),0))+IF(R92="○",加算と減算!$AH$3,0)</f>
        <v>0</v>
      </c>
      <c r="U92" s="85">
        <f t="shared" si="54"/>
        <v>0</v>
      </c>
      <c r="V92" s="262">
        <f t="shared" si="57"/>
        <v>0</v>
      </c>
      <c r="W92" s="262"/>
      <c r="X92" s="61" t="str">
        <f>IF(月途中入退所情報!$N42=$B$2,月途中入退所情報!$P42,"-")</f>
        <v>-</v>
      </c>
      <c r="Y92" s="61" t="str">
        <f>IF(月途中入退所情報!$N42=$B$2,月途中入退所情報!$Q42,"-")</f>
        <v>-</v>
      </c>
      <c r="Z92" s="61" t="str">
        <f>IF(月途中入退所情報!$N42=$B$2,月途中入退所情報!$R42,"-")</f>
        <v>-</v>
      </c>
      <c r="AA92" s="61" t="str">
        <f>IF(月途中入退所情報!$N42=$B$2,月途中入退所情報!$S42,"-")</f>
        <v>-</v>
      </c>
      <c r="AB92" s="61" t="str">
        <f>IF(月途中入退所情報!$N42=$B$2,月途中入退所情報!$T42,"-")</f>
        <v>-</v>
      </c>
      <c r="AC92" s="84">
        <f>IF($Z92="標準時間",HLOOKUP($Y92,$F$31:$I$54,24,FALSE)-SUM($F$10,$F$21:$F$24,$F$26)-HLOOKUP($Y92,$F$31:$I$54,17,FALSE)+HLOOKUP($Y92,$F$31:$I$56,26,FALSE),IF($Z92="短時間",HLOOKUP($Y92,$J$31:$M$54,24,FALSE)-SUM($F$10,$F$21:$F$24,$F$26)-HLOOKUP($Y92,$J$31:$M$54,17,FALSE)+HLOOKUP($Y92,$J$31:$M$56,26,FALSE),0))+IF(AA92="○",加算と減算!$AH$3,0)</f>
        <v>0</v>
      </c>
      <c r="AD92" s="85">
        <f t="shared" si="55"/>
        <v>0</v>
      </c>
      <c r="AE92" s="262">
        <f t="shared" si="56"/>
        <v>0</v>
      </c>
    </row>
    <row r="93" spans="15:31">
      <c r="O93" s="61" t="str">
        <f>IF(月途中入退所情報!$D43=$B$2,月途中入退所情報!F43,"-")</f>
        <v>-</v>
      </c>
      <c r="P93" s="61" t="str">
        <f>IF(月途中入退所情報!$D43=$B$2,月途中入退所情報!G43,"-")</f>
        <v>-</v>
      </c>
      <c r="Q93" s="61" t="str">
        <f>IF(月途中入退所情報!$D43=$B$2,月途中入退所情報!H43,"-")</f>
        <v>-</v>
      </c>
      <c r="R93" s="61" t="str">
        <f>IF(月途中入退所情報!$D43=$B$2,月途中入退所情報!I43,"-")</f>
        <v>-</v>
      </c>
      <c r="S93" s="61" t="str">
        <f>IF(月途中入退所情報!$D43=$B$2,月途中入退所情報!J43,"-")</f>
        <v>-</v>
      </c>
      <c r="T93" s="84">
        <f>IF($Q93="標準時間",HLOOKUP($P93,$F$31:$I$54,24,FALSE)-SUM($F$10,$F$21:$F$24,$F$26)-HLOOKUP($P93,$F$31:$I$54,17,FALSE)+HLOOKUP($P93,$F$31:$I$56,26,FALSE),IF($Q93="短時間",HLOOKUP($P93,$J$31:$M$54,24,FALSE)-SUM($F$10,$F$21:$F$24,$F$26)-HLOOKUP($P93,$J$31:$M$54,17,FALSE)+HLOOKUP($P93,$J$31:$M$56,26,FALSE),0))+IF(R93="○",加算と減算!$AH$3,0)</f>
        <v>0</v>
      </c>
      <c r="U93" s="85">
        <f t="shared" si="54"/>
        <v>0</v>
      </c>
      <c r="V93" s="262">
        <f t="shared" si="57"/>
        <v>0</v>
      </c>
      <c r="W93" s="262"/>
      <c r="X93" s="61" t="str">
        <f>IF(月途中入退所情報!$N43=$B$2,月途中入退所情報!$P43,"-")</f>
        <v>-</v>
      </c>
      <c r="Y93" s="61" t="str">
        <f>IF(月途中入退所情報!$N43=$B$2,月途中入退所情報!$Q43,"-")</f>
        <v>-</v>
      </c>
      <c r="Z93" s="61" t="str">
        <f>IF(月途中入退所情報!$N43=$B$2,月途中入退所情報!$R43,"-")</f>
        <v>-</v>
      </c>
      <c r="AA93" s="61" t="str">
        <f>IF(月途中入退所情報!$N43=$B$2,月途中入退所情報!$S43,"-")</f>
        <v>-</v>
      </c>
      <c r="AB93" s="61" t="str">
        <f>IF(月途中入退所情報!$N43=$B$2,月途中入退所情報!$T43,"-")</f>
        <v>-</v>
      </c>
      <c r="AC93" s="84">
        <f>IF($Z93="標準時間",HLOOKUP($Y93,$F$31:$I$54,24,FALSE)-SUM($F$10,$F$21:$F$24,$F$26)-HLOOKUP($Y93,$F$31:$I$54,17,FALSE)+HLOOKUP($Y93,$F$31:$I$56,26,FALSE),IF($Z93="短時間",HLOOKUP($Y93,$J$31:$M$54,24,FALSE)-SUM($F$10,$F$21:$F$24,$F$26)-HLOOKUP($Y93,$J$31:$M$54,17,FALSE)+HLOOKUP($Y93,$J$31:$M$56,26,FALSE),0))+IF(AA93="○",加算と減算!$AH$3,0)</f>
        <v>0</v>
      </c>
      <c r="AD93" s="85">
        <f t="shared" si="55"/>
        <v>0</v>
      </c>
      <c r="AE93" s="262">
        <f t="shared" si="56"/>
        <v>0</v>
      </c>
    </row>
    <row r="94" spans="15:31">
      <c r="O94" s="61" t="str">
        <f>IF(月途中入退所情報!$D44=$B$2,月途中入退所情報!F44,"-")</f>
        <v>-</v>
      </c>
      <c r="P94" s="61" t="str">
        <f>IF(月途中入退所情報!$D44=$B$2,月途中入退所情報!G44,"-")</f>
        <v>-</v>
      </c>
      <c r="Q94" s="61" t="str">
        <f>IF(月途中入退所情報!$D44=$B$2,月途中入退所情報!H44,"-")</f>
        <v>-</v>
      </c>
      <c r="R94" s="61" t="str">
        <f>IF(月途中入退所情報!$D44=$B$2,月途中入退所情報!I44,"-")</f>
        <v>-</v>
      </c>
      <c r="S94" s="61" t="str">
        <f>IF(月途中入退所情報!$D44=$B$2,月途中入退所情報!J44,"-")</f>
        <v>-</v>
      </c>
      <c r="T94" s="84">
        <f>IF($Q94="標準時間",HLOOKUP($P94,$F$31:$I$54,24,FALSE)-SUM($F$10,$F$21:$F$24,$F$26)-HLOOKUP($P94,$F$31:$I$54,17,FALSE)+HLOOKUP($P94,$F$31:$I$56,26,FALSE),IF($Q94="短時間",HLOOKUP($P94,$J$31:$M$54,24,FALSE)-SUM($F$10,$F$21:$F$24,$F$26)-HLOOKUP($P94,$J$31:$M$54,17,FALSE)+HLOOKUP($P94,$J$31:$M$56,26,FALSE),0))+IF(R94="○",加算と減算!$AH$3,0)</f>
        <v>0</v>
      </c>
      <c r="U94" s="85">
        <f t="shared" si="54"/>
        <v>0</v>
      </c>
      <c r="V94" s="262">
        <f t="shared" si="57"/>
        <v>0</v>
      </c>
      <c r="W94" s="262"/>
      <c r="X94" s="61" t="str">
        <f>IF(月途中入退所情報!$N44=$B$2,月途中入退所情報!$P44,"-")</f>
        <v>-</v>
      </c>
      <c r="Y94" s="61" t="str">
        <f>IF(月途中入退所情報!$N44=$B$2,月途中入退所情報!$Q44,"-")</f>
        <v>-</v>
      </c>
      <c r="Z94" s="61" t="str">
        <f>IF(月途中入退所情報!$N44=$B$2,月途中入退所情報!$R44,"-")</f>
        <v>-</v>
      </c>
      <c r="AA94" s="61" t="str">
        <f>IF(月途中入退所情報!$N44=$B$2,月途中入退所情報!$S44,"-")</f>
        <v>-</v>
      </c>
      <c r="AB94" s="61" t="str">
        <f>IF(月途中入退所情報!$N44=$B$2,月途中入退所情報!$T44,"-")</f>
        <v>-</v>
      </c>
      <c r="AC94" s="84">
        <f>IF($Z94="標準時間",HLOOKUP($Y94,$F$31:$I$54,24,FALSE)-SUM($F$10,$F$21:$F$24,$F$26)-HLOOKUP($Y94,$F$31:$I$54,17,FALSE)+HLOOKUP($Y94,$F$31:$I$56,26,FALSE),IF($Z94="短時間",HLOOKUP($Y94,$J$31:$M$54,24,FALSE)-SUM($F$10,$F$21:$F$24,$F$26)-HLOOKUP($Y94,$J$31:$M$54,17,FALSE)+HLOOKUP($Y94,$J$31:$M$56,26,FALSE),0))+IF(AA94="○",加算と減算!$AH$3,0)</f>
        <v>0</v>
      </c>
      <c r="AD94" s="85">
        <f t="shared" si="55"/>
        <v>0</v>
      </c>
      <c r="AE94" s="262">
        <f t="shared" si="56"/>
        <v>0</v>
      </c>
    </row>
    <row r="95" spans="15:31">
      <c r="O95" s="61" t="str">
        <f>IF(月途中入退所情報!$D45=$B$2,月途中入退所情報!F45,"-")</f>
        <v>-</v>
      </c>
      <c r="P95" s="61" t="str">
        <f>IF(月途中入退所情報!$D45=$B$2,月途中入退所情報!G45,"-")</f>
        <v>-</v>
      </c>
      <c r="Q95" s="61" t="str">
        <f>IF(月途中入退所情報!$D45=$B$2,月途中入退所情報!H45,"-")</f>
        <v>-</v>
      </c>
      <c r="R95" s="61" t="str">
        <f>IF(月途中入退所情報!$D45=$B$2,月途中入退所情報!I45,"-")</f>
        <v>-</v>
      </c>
      <c r="S95" s="61" t="str">
        <f>IF(月途中入退所情報!$D45=$B$2,月途中入退所情報!J45,"-")</f>
        <v>-</v>
      </c>
      <c r="T95" s="84">
        <f>IF($Q95="標準時間",HLOOKUP($P95,$F$31:$I$54,24,FALSE)-SUM($F$10,$F$21:$F$24,$F$26)-HLOOKUP($P95,$F$31:$I$54,17,FALSE)+HLOOKUP($P95,$F$31:$I$56,26,FALSE),IF($Q95="短時間",HLOOKUP($P95,$J$31:$M$54,24,FALSE)-SUM($F$10,$F$21:$F$24,$F$26)-HLOOKUP($P95,$J$31:$M$54,17,FALSE)+HLOOKUP($P95,$J$31:$M$56,26,FALSE),0))+IF(R95="○",加算と減算!$AH$3,0)</f>
        <v>0</v>
      </c>
      <c r="U95" s="85">
        <f t="shared" si="54"/>
        <v>0</v>
      </c>
      <c r="V95" s="262">
        <f t="shared" si="57"/>
        <v>0</v>
      </c>
      <c r="W95" s="262"/>
      <c r="X95" s="61" t="str">
        <f>IF(月途中入退所情報!$N45=$B$2,月途中入退所情報!$P45,"-")</f>
        <v>-</v>
      </c>
      <c r="Y95" s="61" t="str">
        <f>IF(月途中入退所情報!$N45=$B$2,月途中入退所情報!$Q45,"-")</f>
        <v>-</v>
      </c>
      <c r="Z95" s="61" t="str">
        <f>IF(月途中入退所情報!$N45=$B$2,月途中入退所情報!$R45,"-")</f>
        <v>-</v>
      </c>
      <c r="AA95" s="61" t="str">
        <f>IF(月途中入退所情報!$N45=$B$2,月途中入退所情報!$S45,"-")</f>
        <v>-</v>
      </c>
      <c r="AB95" s="61" t="str">
        <f>IF(月途中入退所情報!$N45=$B$2,月途中入退所情報!$T45,"-")</f>
        <v>-</v>
      </c>
      <c r="AC95" s="84">
        <f>IF($Z95="標準時間",HLOOKUP($Y95,$F$31:$I$54,24,FALSE)-SUM($F$10,$F$21:$F$24,$F$26)-HLOOKUP($Y95,$F$31:$I$54,17,FALSE)+HLOOKUP($Y95,$F$31:$I$56,26,FALSE),IF($Z95="短時間",HLOOKUP($Y95,$J$31:$M$54,24,FALSE)-SUM($F$10,$F$21:$F$24,$F$26)-HLOOKUP($Y95,$J$31:$M$54,17,FALSE)+HLOOKUP($Y95,$J$31:$M$56,26,FALSE),0))+IF(AA95="○",加算と減算!$AH$3,0)</f>
        <v>0</v>
      </c>
      <c r="AD95" s="85">
        <f t="shared" si="55"/>
        <v>0</v>
      </c>
      <c r="AE95" s="262">
        <f t="shared" si="56"/>
        <v>0</v>
      </c>
    </row>
    <row r="96" spans="15:31">
      <c r="O96" s="61" t="str">
        <f>IF(月途中入退所情報!$D46=$B$2,月途中入退所情報!F46,"-")</f>
        <v>-</v>
      </c>
      <c r="P96" s="61" t="str">
        <f>IF(月途中入退所情報!$D46=$B$2,月途中入退所情報!G46,"-")</f>
        <v>-</v>
      </c>
      <c r="Q96" s="61" t="str">
        <f>IF(月途中入退所情報!$D46=$B$2,月途中入退所情報!H46,"-")</f>
        <v>-</v>
      </c>
      <c r="R96" s="61" t="str">
        <f>IF(月途中入退所情報!$D46=$B$2,月途中入退所情報!I46,"-")</f>
        <v>-</v>
      </c>
      <c r="S96" s="61" t="str">
        <f>IF(月途中入退所情報!$D46=$B$2,月途中入退所情報!J46,"-")</f>
        <v>-</v>
      </c>
      <c r="T96" s="84">
        <f>IF($Q96="標準時間",HLOOKUP($P96,$F$31:$I$54,24,FALSE)-SUM($F$10,$F$21:$F$24,$F$26)-HLOOKUP($P96,$F$31:$I$54,17,FALSE)+HLOOKUP($P96,$F$31:$I$56,26,FALSE),IF($Q96="短時間",HLOOKUP($P96,$J$31:$M$54,24,FALSE)-SUM($F$10,$F$21:$F$24,$F$26)-HLOOKUP($P96,$J$31:$M$54,17,FALSE)+HLOOKUP($P96,$J$31:$M$56,26,FALSE),0))+IF(R96="○",加算と減算!$AH$3,0)</f>
        <v>0</v>
      </c>
      <c r="U96" s="85">
        <f t="shared" si="54"/>
        <v>0</v>
      </c>
      <c r="V96" s="262">
        <f t="shared" si="57"/>
        <v>0</v>
      </c>
      <c r="W96" s="262"/>
      <c r="X96" s="61" t="str">
        <f>IF(月途中入退所情報!$N46=$B$2,月途中入退所情報!$P46,"-")</f>
        <v>-</v>
      </c>
      <c r="Y96" s="61" t="str">
        <f>IF(月途中入退所情報!$N46=$B$2,月途中入退所情報!$Q46,"-")</f>
        <v>-</v>
      </c>
      <c r="Z96" s="61" t="str">
        <f>IF(月途中入退所情報!$N46=$B$2,月途中入退所情報!$R46,"-")</f>
        <v>-</v>
      </c>
      <c r="AA96" s="61" t="str">
        <f>IF(月途中入退所情報!$N46=$B$2,月途中入退所情報!$S46,"-")</f>
        <v>-</v>
      </c>
      <c r="AB96" s="61" t="str">
        <f>IF(月途中入退所情報!$N46=$B$2,月途中入退所情報!$T46,"-")</f>
        <v>-</v>
      </c>
      <c r="AC96" s="84">
        <f>IF($Z96="標準時間",HLOOKUP($Y96,$F$31:$I$54,24,FALSE)-SUM($F$10,$F$21:$F$24,$F$26)-HLOOKUP($Y96,$F$31:$I$54,17,FALSE)+HLOOKUP($Y96,$F$31:$I$56,26,FALSE),IF($Z96="短時間",HLOOKUP($Y96,$J$31:$M$54,24,FALSE)-SUM($F$10,$F$21:$F$24,$F$26)-HLOOKUP($Y96,$J$31:$M$54,17,FALSE)+HLOOKUP($Y96,$J$31:$M$56,26,FALSE),0))+IF(AA96="○",加算と減算!$AH$3,0)</f>
        <v>0</v>
      </c>
      <c r="AD96" s="85">
        <f t="shared" si="55"/>
        <v>0</v>
      </c>
      <c r="AE96" s="262">
        <f t="shared" si="56"/>
        <v>0</v>
      </c>
    </row>
    <row r="97" spans="15:31">
      <c r="O97" s="61" t="str">
        <f>IF(月途中入退所情報!$D47=$B$2,月途中入退所情報!F47,"-")</f>
        <v>-</v>
      </c>
      <c r="P97" s="61" t="str">
        <f>IF(月途中入退所情報!$D47=$B$2,月途中入退所情報!G47,"-")</f>
        <v>-</v>
      </c>
      <c r="Q97" s="61" t="str">
        <f>IF(月途中入退所情報!$D47=$B$2,月途中入退所情報!H47,"-")</f>
        <v>-</v>
      </c>
      <c r="R97" s="61" t="str">
        <f>IF(月途中入退所情報!$D47=$B$2,月途中入退所情報!I47,"-")</f>
        <v>-</v>
      </c>
      <c r="S97" s="61" t="str">
        <f>IF(月途中入退所情報!$D47=$B$2,月途中入退所情報!J47,"-")</f>
        <v>-</v>
      </c>
      <c r="T97" s="84">
        <f>IF($Q97="標準時間",HLOOKUP($P97,$F$31:$I$54,24,FALSE)-SUM($F$10,$F$21:$F$24,$F$26)-HLOOKUP($P97,$F$31:$I$54,17,FALSE)+HLOOKUP($P97,$F$31:$I$56,26,FALSE),IF($Q97="短時間",HLOOKUP($P97,$J$31:$M$54,24,FALSE)-SUM($F$10,$F$21:$F$24,$F$26)-HLOOKUP($P97,$J$31:$M$54,17,FALSE)+HLOOKUP($P97,$J$31:$M$56,26,FALSE),0))+IF(R97="○",加算と減算!$AH$3,0)</f>
        <v>0</v>
      </c>
      <c r="U97" s="85">
        <f t="shared" si="54"/>
        <v>0</v>
      </c>
      <c r="V97" s="262">
        <f t="shared" si="57"/>
        <v>0</v>
      </c>
      <c r="W97" s="262"/>
      <c r="X97" s="61" t="str">
        <f>IF(月途中入退所情報!$N47=$B$2,月途中入退所情報!$P47,"-")</f>
        <v>-</v>
      </c>
      <c r="Y97" s="61" t="str">
        <f>IF(月途中入退所情報!$N47=$B$2,月途中入退所情報!$Q47,"-")</f>
        <v>-</v>
      </c>
      <c r="Z97" s="61" t="str">
        <f>IF(月途中入退所情報!$N47=$B$2,月途中入退所情報!$R47,"-")</f>
        <v>-</v>
      </c>
      <c r="AA97" s="61" t="str">
        <f>IF(月途中入退所情報!$N47=$B$2,月途中入退所情報!$S47,"-")</f>
        <v>-</v>
      </c>
      <c r="AB97" s="61" t="str">
        <f>IF(月途中入退所情報!$N47=$B$2,月途中入退所情報!$T47,"-")</f>
        <v>-</v>
      </c>
      <c r="AC97" s="84">
        <f>IF($Z97="標準時間",HLOOKUP($Y97,$F$31:$I$54,24,FALSE)-SUM($F$10,$F$21:$F$24,$F$26)-HLOOKUP($Y97,$F$31:$I$54,17,FALSE)+HLOOKUP($Y97,$F$31:$I$56,26,FALSE),IF($Z97="短時間",HLOOKUP($Y97,$J$31:$M$54,24,FALSE)-SUM($F$10,$F$21:$F$24,$F$26)-HLOOKUP($Y97,$J$31:$M$54,17,FALSE)+HLOOKUP($Y97,$J$31:$M$56,26,FALSE),0))+IF(AA97="○",加算と減算!$AH$3,0)</f>
        <v>0</v>
      </c>
      <c r="AD97" s="85">
        <f t="shared" si="55"/>
        <v>0</v>
      </c>
      <c r="AE97" s="262">
        <f t="shared" si="56"/>
        <v>0</v>
      </c>
    </row>
    <row r="98" spans="15:31">
      <c r="O98" s="61" t="str">
        <f>IF(月途中入退所情報!$D48=$B$2,月途中入退所情報!F48,"-")</f>
        <v>-</v>
      </c>
      <c r="P98" s="61" t="str">
        <f>IF(月途中入退所情報!$D48=$B$2,月途中入退所情報!G48,"-")</f>
        <v>-</v>
      </c>
      <c r="Q98" s="61" t="str">
        <f>IF(月途中入退所情報!$D48=$B$2,月途中入退所情報!H48,"-")</f>
        <v>-</v>
      </c>
      <c r="R98" s="61" t="str">
        <f>IF(月途中入退所情報!$D48=$B$2,月途中入退所情報!I48,"-")</f>
        <v>-</v>
      </c>
      <c r="S98" s="61" t="str">
        <f>IF(月途中入退所情報!$D48=$B$2,月途中入退所情報!J48,"-")</f>
        <v>-</v>
      </c>
      <c r="T98" s="84">
        <f>IF($Q98="標準時間",HLOOKUP($P98,$F$31:$I$54,24,FALSE)-SUM($F$10,$F$21:$F$24,$F$26)-HLOOKUP($P98,$F$31:$I$54,17,FALSE)+HLOOKUP($P98,$F$31:$I$56,26,FALSE),IF($Q98="短時間",HLOOKUP($P98,$J$31:$M$54,24,FALSE)-SUM($F$10,$F$21:$F$24,$F$26)-HLOOKUP($P98,$J$31:$M$54,17,FALSE)+HLOOKUP($P98,$J$31:$M$56,26,FALSE),0))+IF(R98="○",加算と減算!$AH$3,0)</f>
        <v>0</v>
      </c>
      <c r="U98" s="85">
        <f t="shared" si="54"/>
        <v>0</v>
      </c>
      <c r="V98" s="262">
        <f t="shared" si="57"/>
        <v>0</v>
      </c>
      <c r="W98" s="262"/>
      <c r="X98" s="61" t="str">
        <f>IF(月途中入退所情報!$N48=$B$2,月途中入退所情報!$P48,"-")</f>
        <v>-</v>
      </c>
      <c r="Y98" s="61" t="str">
        <f>IF(月途中入退所情報!$N48=$B$2,月途中入退所情報!$Q48,"-")</f>
        <v>-</v>
      </c>
      <c r="Z98" s="61" t="str">
        <f>IF(月途中入退所情報!$N48=$B$2,月途中入退所情報!$R48,"-")</f>
        <v>-</v>
      </c>
      <c r="AA98" s="61" t="str">
        <f>IF(月途中入退所情報!$N48=$B$2,月途中入退所情報!$S48,"-")</f>
        <v>-</v>
      </c>
      <c r="AB98" s="61" t="str">
        <f>IF(月途中入退所情報!$N48=$B$2,月途中入退所情報!$T48,"-")</f>
        <v>-</v>
      </c>
      <c r="AC98" s="84">
        <f>IF($Z98="標準時間",HLOOKUP($Y98,$F$31:$I$54,24,FALSE)-SUM($F$10,$F$21:$F$24,$F$26)-HLOOKUP($Y98,$F$31:$I$54,17,FALSE)+HLOOKUP($Y98,$F$31:$I$56,26,FALSE),IF($Z98="短時間",HLOOKUP($Y98,$J$31:$M$54,24,FALSE)-SUM($F$10,$F$21:$F$24,$F$26)-HLOOKUP($Y98,$J$31:$M$54,17,FALSE)+HLOOKUP($Y98,$J$31:$M$56,26,FALSE),0))+IF(AA98="○",加算と減算!$AH$3,0)</f>
        <v>0</v>
      </c>
      <c r="AD98" s="85">
        <f t="shared" si="55"/>
        <v>0</v>
      </c>
      <c r="AE98" s="262">
        <f t="shared" si="56"/>
        <v>0</v>
      </c>
    </row>
    <row r="99" spans="15:31">
      <c r="O99" s="61" t="str">
        <f>IF(月途中入退所情報!$D49=$B$2,月途中入退所情報!F49,"-")</f>
        <v>-</v>
      </c>
      <c r="P99" s="61" t="str">
        <f>IF(月途中入退所情報!$D49=$B$2,月途中入退所情報!G49,"-")</f>
        <v>-</v>
      </c>
      <c r="Q99" s="61" t="str">
        <f>IF(月途中入退所情報!$D49=$B$2,月途中入退所情報!H49,"-")</f>
        <v>-</v>
      </c>
      <c r="R99" s="61" t="str">
        <f>IF(月途中入退所情報!$D49=$B$2,月途中入退所情報!I49,"-")</f>
        <v>-</v>
      </c>
      <c r="S99" s="61" t="str">
        <f>IF(月途中入退所情報!$D49=$B$2,月途中入退所情報!J49,"-")</f>
        <v>-</v>
      </c>
      <c r="T99" s="84">
        <f>IF($Q99="標準時間",HLOOKUP($P99,$F$31:$I$54,24,FALSE)-SUM($F$10,$F$21:$F$24,$F$26)-HLOOKUP($P99,$F$31:$I$54,17,FALSE)+HLOOKUP($P99,$F$31:$I$56,26,FALSE),IF($Q99="短時間",HLOOKUP($P99,$J$31:$M$54,24,FALSE)-SUM($F$10,$F$21:$F$24,$F$26)-HLOOKUP($P99,$J$31:$M$54,17,FALSE)+HLOOKUP($P99,$J$31:$M$56,26,FALSE),0))+IF(R99="○",加算と減算!$AH$3,0)</f>
        <v>0</v>
      </c>
      <c r="U99" s="85">
        <f t="shared" si="54"/>
        <v>0</v>
      </c>
      <c r="V99" s="262">
        <f t="shared" si="57"/>
        <v>0</v>
      </c>
      <c r="W99" s="262"/>
      <c r="X99" s="61" t="str">
        <f>IF(月途中入退所情報!$N49=$B$2,月途中入退所情報!$P49,"-")</f>
        <v>-</v>
      </c>
      <c r="Y99" s="61" t="str">
        <f>IF(月途中入退所情報!$N49=$B$2,月途中入退所情報!$Q49,"-")</f>
        <v>-</v>
      </c>
      <c r="Z99" s="61" t="str">
        <f>IF(月途中入退所情報!$N49=$B$2,月途中入退所情報!$R49,"-")</f>
        <v>-</v>
      </c>
      <c r="AA99" s="61" t="str">
        <f>IF(月途中入退所情報!$N49=$B$2,月途中入退所情報!$S49,"-")</f>
        <v>-</v>
      </c>
      <c r="AB99" s="61" t="str">
        <f>IF(月途中入退所情報!$N49=$B$2,月途中入退所情報!$T49,"-")</f>
        <v>-</v>
      </c>
      <c r="AC99" s="84">
        <f>IF($Z99="標準時間",HLOOKUP($Y99,$F$31:$I$54,24,FALSE)-SUM($F$10,$F$21:$F$24,$F$26)-HLOOKUP($Y99,$F$31:$I$54,17,FALSE)+HLOOKUP($Y99,$F$31:$I$56,26,FALSE),IF($Z99="短時間",HLOOKUP($Y99,$J$31:$M$54,24,FALSE)-SUM($F$10,$F$21:$F$24,$F$26)-HLOOKUP($Y99,$J$31:$M$54,17,FALSE)+HLOOKUP($Y99,$J$31:$M$56,26,FALSE),0))+IF(AA99="○",加算と減算!$AH$3,0)</f>
        <v>0</v>
      </c>
      <c r="AD99" s="85">
        <f t="shared" si="55"/>
        <v>0</v>
      </c>
      <c r="AE99" s="262">
        <f t="shared" si="56"/>
        <v>0</v>
      </c>
    </row>
    <row r="100" spans="15:31">
      <c r="O100" s="61" t="str">
        <f>IF(月途中入退所情報!$D50=$B$2,月途中入退所情報!F50,"-")</f>
        <v>-</v>
      </c>
      <c r="P100" s="61" t="str">
        <f>IF(月途中入退所情報!$D50=$B$2,月途中入退所情報!G50,"-")</f>
        <v>-</v>
      </c>
      <c r="Q100" s="61" t="str">
        <f>IF(月途中入退所情報!$D50=$B$2,月途中入退所情報!H50,"-")</f>
        <v>-</v>
      </c>
      <c r="R100" s="61" t="str">
        <f>IF(月途中入退所情報!$D50=$B$2,月途中入退所情報!I50,"-")</f>
        <v>-</v>
      </c>
      <c r="S100" s="61" t="str">
        <f>IF(月途中入退所情報!$D50=$B$2,月途中入退所情報!J50,"-")</f>
        <v>-</v>
      </c>
      <c r="T100" s="84">
        <f>IF($Q100="標準時間",HLOOKUP($P100,$F$31:$I$54,24,FALSE)-SUM($F$10,$F$21:$F$24,$F$26)-HLOOKUP($P100,$F$31:$I$54,17,FALSE)+HLOOKUP($P100,$F$31:$I$56,26,FALSE),IF($Q100="短時間",HLOOKUP($P100,$J$31:$M$54,24,FALSE)-SUM($F$10,$F$21:$F$24,$F$26)-HLOOKUP($P100,$J$31:$M$54,17,FALSE)+HLOOKUP($P100,$J$31:$M$56,26,FALSE),0))+IF(R100="○",加算と減算!$AH$3,0)</f>
        <v>0</v>
      </c>
      <c r="U100" s="85">
        <f t="shared" si="54"/>
        <v>0</v>
      </c>
      <c r="V100" s="262">
        <f t="shared" si="57"/>
        <v>0</v>
      </c>
      <c r="W100" s="262"/>
      <c r="X100" s="61" t="str">
        <f>IF(月途中入退所情報!$N50=$B$2,月途中入退所情報!$P50,"-")</f>
        <v>-</v>
      </c>
      <c r="Y100" s="61" t="str">
        <f>IF(月途中入退所情報!$N50=$B$2,月途中入退所情報!$Q50,"-")</f>
        <v>-</v>
      </c>
      <c r="Z100" s="61" t="str">
        <f>IF(月途中入退所情報!$N50=$B$2,月途中入退所情報!$R50,"-")</f>
        <v>-</v>
      </c>
      <c r="AA100" s="61" t="str">
        <f>IF(月途中入退所情報!$N50=$B$2,月途中入退所情報!$S50,"-")</f>
        <v>-</v>
      </c>
      <c r="AB100" s="61" t="str">
        <f>IF(月途中入退所情報!$N50=$B$2,月途中入退所情報!$T50,"-")</f>
        <v>-</v>
      </c>
      <c r="AC100" s="84">
        <f>IF($Z100="標準時間",HLOOKUP($Y100,$F$31:$I$54,24,FALSE)-SUM($F$10,$F$21:$F$24,$F$26)-HLOOKUP($Y100,$F$31:$I$54,17,FALSE)+HLOOKUP($Y100,$F$31:$I$56,26,FALSE),IF($Z100="短時間",HLOOKUP($Y100,$J$31:$M$54,24,FALSE)-SUM($F$10,$F$21:$F$24,$F$26)-HLOOKUP($Y100,$J$31:$M$54,17,FALSE)+HLOOKUP($Y100,$J$31:$M$56,26,FALSE),0))+IF(AA100="○",加算と減算!$AH$3,0)</f>
        <v>0</v>
      </c>
      <c r="AD100" s="85">
        <f t="shared" si="55"/>
        <v>0</v>
      </c>
      <c r="AE100" s="262">
        <f t="shared" si="56"/>
        <v>0</v>
      </c>
    </row>
    <row r="101" spans="15:31">
      <c r="T101" s="86" t="s">
        <v>36</v>
      </c>
      <c r="U101" s="85">
        <f>SUM(U81:U100)</f>
        <v>0</v>
      </c>
      <c r="V101" s="262">
        <f>SUM(V81:V100)</f>
        <v>0</v>
      </c>
      <c r="W101" s="262"/>
      <c r="AC101" s="86" t="s">
        <v>36</v>
      </c>
      <c r="AD101" s="85">
        <f>SUM(AD81:AD100)</f>
        <v>0</v>
      </c>
      <c r="AE101" s="264">
        <f>SUM(AE81:AE100)</f>
        <v>0</v>
      </c>
    </row>
  </sheetData>
  <sheetProtection algorithmName="SHA-512" hashValue="fsgWisnMx56xu4+LYKiUtTrl8WInk0K2j8ws6EJxXb0eMnm1wPQIsm1+PNbetlGV7170Yh9nQ3azJ0Ug868RSg==" saltValue="Gy6o0MX4VciIgtAgKrCVRQ==" spinCount="100000" sheet="1" objects="1" scenarios="1"/>
  <mergeCells count="89">
    <mergeCell ref="B2:D2"/>
    <mergeCell ref="B4:B27"/>
    <mergeCell ref="C4:D5"/>
    <mergeCell ref="E4:E5"/>
    <mergeCell ref="F4:I4"/>
    <mergeCell ref="C17:C20"/>
    <mergeCell ref="C21:C26"/>
    <mergeCell ref="D15:D16"/>
    <mergeCell ref="D17:D18"/>
    <mergeCell ref="C8:C16"/>
    <mergeCell ref="U4:X4"/>
    <mergeCell ref="Y4:Y5"/>
    <mergeCell ref="C6:D7"/>
    <mergeCell ref="D8:D9"/>
    <mergeCell ref="D11:D12"/>
    <mergeCell ref="J4:M4"/>
    <mergeCell ref="O4:O11"/>
    <mergeCell ref="P4:P5"/>
    <mergeCell ref="Q4:T4"/>
    <mergeCell ref="O13:O20"/>
    <mergeCell ref="P13:P14"/>
    <mergeCell ref="Q13:T13"/>
    <mergeCell ref="U13:X13"/>
    <mergeCell ref="Y13:Y14"/>
    <mergeCell ref="O22:O28"/>
    <mergeCell ref="T22:T28"/>
    <mergeCell ref="C27:D27"/>
    <mergeCell ref="B30:B54"/>
    <mergeCell ref="C30:D31"/>
    <mergeCell ref="E30:E31"/>
    <mergeCell ref="F30:I30"/>
    <mergeCell ref="J30:M30"/>
    <mergeCell ref="O30:O37"/>
    <mergeCell ref="P30:P31"/>
    <mergeCell ref="Q30:T30"/>
    <mergeCell ref="C48:C53"/>
    <mergeCell ref="O48:O54"/>
    <mergeCell ref="T48:T54"/>
    <mergeCell ref="U30:X30"/>
    <mergeCell ref="Y30:Y31"/>
    <mergeCell ref="C32:D33"/>
    <mergeCell ref="C34:C42"/>
    <mergeCell ref="D34:D35"/>
    <mergeCell ref="D37:D38"/>
    <mergeCell ref="O39:O46"/>
    <mergeCell ref="P39:P40"/>
    <mergeCell ref="Q39:T39"/>
    <mergeCell ref="Y39:Y40"/>
    <mergeCell ref="D41:D42"/>
    <mergeCell ref="C43:C47"/>
    <mergeCell ref="D44:D45"/>
    <mergeCell ref="U39:X39"/>
    <mergeCell ref="O79:P79"/>
    <mergeCell ref="X48:Y48"/>
    <mergeCell ref="C54:D54"/>
    <mergeCell ref="O56:P56"/>
    <mergeCell ref="X56:Y56"/>
    <mergeCell ref="F59:I59"/>
    <mergeCell ref="J59:M59"/>
    <mergeCell ref="D61:D62"/>
    <mergeCell ref="D65:D66"/>
    <mergeCell ref="D68:E69"/>
    <mergeCell ref="F69:M69"/>
    <mergeCell ref="AM4:AM27"/>
    <mergeCell ref="AN4:AO5"/>
    <mergeCell ref="AP4:AP5"/>
    <mergeCell ref="AN6:AO7"/>
    <mergeCell ref="AN8:AN16"/>
    <mergeCell ref="AO8:AO9"/>
    <mergeCell ref="AO11:AO12"/>
    <mergeCell ref="AO15:AO16"/>
    <mergeCell ref="AN17:AN20"/>
    <mergeCell ref="AO17:AO18"/>
    <mergeCell ref="AN21:AN26"/>
    <mergeCell ref="AN27:AO27"/>
    <mergeCell ref="AN55:AO55"/>
    <mergeCell ref="AN28:AO28"/>
    <mergeCell ref="AM30:AM54"/>
    <mergeCell ref="AN30:AO31"/>
    <mergeCell ref="AP30:AP31"/>
    <mergeCell ref="AN32:AO33"/>
    <mergeCell ref="AN34:AN42"/>
    <mergeCell ref="AO34:AO35"/>
    <mergeCell ref="AO37:AO38"/>
    <mergeCell ref="AO41:AO42"/>
    <mergeCell ref="AN43:AN47"/>
    <mergeCell ref="AO44:AO45"/>
    <mergeCell ref="AN48:AN53"/>
    <mergeCell ref="AN54:AO54"/>
  </mergeCells>
  <phoneticPr fontId="2"/>
  <pageMargins left="0.7" right="0.7" top="0.75" bottom="0.75" header="0.3" footer="0.3"/>
  <pageSetup paperSize="9" orientation="portrait" horizont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869CA-07C8-4DB2-9E69-0DD7C11F89D5}">
  <sheetPr>
    <tabColor theme="1"/>
  </sheetPr>
  <dimension ref="B1:AQ101"/>
  <sheetViews>
    <sheetView view="pageBreakPreview" zoomScale="85" zoomScaleNormal="55" zoomScaleSheetLayoutView="85" workbookViewId="0">
      <pane ySplit="5" topLeftCell="A6" activePane="bottomLeft" state="frozen"/>
      <selection activeCell="V65" sqref="V65"/>
      <selection pane="bottomLeft" activeCell="A6" sqref="A6"/>
    </sheetView>
  </sheetViews>
  <sheetFormatPr defaultColWidth="8.75" defaultRowHeight="15"/>
  <cols>
    <col min="1" max="1" width="1" style="2" customWidth="1"/>
    <col min="2" max="3" width="2.75" style="2" customWidth="1"/>
    <col min="4" max="4" width="16.5" style="1" customWidth="1"/>
    <col min="5" max="5" width="8.25" style="57" customWidth="1"/>
    <col min="6" max="13" width="7.25" style="2" customWidth="1"/>
    <col min="14" max="14" width="1" style="2" customWidth="1"/>
    <col min="15" max="16" width="8.625" style="2" customWidth="1"/>
    <col min="17" max="25" width="9.75" style="2" customWidth="1"/>
    <col min="26" max="27" width="8.75" style="2" customWidth="1"/>
    <col min="28" max="31" width="8.875" style="2" customWidth="1"/>
    <col min="32" max="38" width="8.75" style="2"/>
    <col min="39" max="40" width="3.875" style="2" bestFit="1" customWidth="1"/>
    <col min="41" max="41" width="16.5" style="2" bestFit="1" customWidth="1"/>
    <col min="42" max="42" width="8.75" style="2"/>
    <col min="43" max="43" width="9.375" style="264" bestFit="1" customWidth="1"/>
    <col min="44" max="16384" width="8.75" style="2"/>
  </cols>
  <sheetData>
    <row r="1" spans="2:43" ht="4.9000000000000004" customHeight="1" thickBot="1">
      <c r="F1" s="57"/>
      <c r="G1" s="57"/>
      <c r="H1" s="57"/>
      <c r="I1" s="57"/>
      <c r="J1" s="57"/>
      <c r="K1" s="57"/>
      <c r="L1" s="57"/>
      <c r="M1" s="57"/>
    </row>
    <row r="2" spans="2:43" ht="15.75" thickBot="1">
      <c r="B2" s="1450">
        <v>1</v>
      </c>
      <c r="C2" s="1451"/>
      <c r="D2" s="1452"/>
      <c r="E2" s="2"/>
      <c r="F2" s="55" t="s">
        <v>183</v>
      </c>
      <c r="G2" s="72">
        <f>児童数!O17</f>
        <v>0</v>
      </c>
      <c r="H2" s="73" t="s">
        <v>184</v>
      </c>
      <c r="I2" s="72">
        <f>児童数!AB17</f>
        <v>0</v>
      </c>
      <c r="J2" s="73" t="s">
        <v>182</v>
      </c>
      <c r="K2" s="72">
        <f>G2+I2</f>
        <v>0</v>
      </c>
      <c r="L2" s="62"/>
      <c r="N2" s="1"/>
      <c r="O2" s="55" t="s">
        <v>192</v>
      </c>
      <c r="P2" s="78">
        <f>IF(基本情報!E5="",0,基本情報!G10)</f>
        <v>0</v>
      </c>
      <c r="Q2" s="77" t="s">
        <v>11</v>
      </c>
      <c r="R2" s="55" t="s">
        <v>202</v>
      </c>
      <c r="S2" s="257">
        <f>IF(基本情報!E12="１日",単価表!BB11,IF(基本情報!E12="２日",単価表!BC11,IF(基本情報!E12="３日",単価表!BD11,IF(基本情報!E12="全て",単価表!BE11,0))))*100</f>
        <v>0</v>
      </c>
      <c r="T2" s="258">
        <f>IF(基本情報!E12="１日",単価表!BB27,IF(基本情報!E12="２日",単価表!BC27,IF(基本情報!E12="３日",単価表!BD27,IF(基本情報!E12="全て",単価表!BE27,0))))*100</f>
        <v>0</v>
      </c>
      <c r="U2" s="55" t="s">
        <v>198</v>
      </c>
      <c r="V2" s="257">
        <f>IF(基本情報!E14="該当",定員超過減算率!C2,0)</f>
        <v>0</v>
      </c>
      <c r="W2" s="258">
        <f>IF(基本情報!E14="該当",定員超過減算率!C3,0)</f>
        <v>0</v>
      </c>
      <c r="X2" s="55"/>
      <c r="Y2" s="55"/>
      <c r="AC2" s="1" t="s">
        <v>206</v>
      </c>
      <c r="AD2" s="1" t="s">
        <v>207</v>
      </c>
    </row>
    <row r="3" spans="2:43" ht="6" customHeight="1">
      <c r="K3" s="1"/>
    </row>
    <row r="4" spans="2:43" ht="15" customHeight="1">
      <c r="B4" s="1426" t="s">
        <v>181</v>
      </c>
      <c r="C4" s="1429"/>
      <c r="D4" s="1429"/>
      <c r="E4" s="1416" t="s">
        <v>172</v>
      </c>
      <c r="F4" s="1418" t="s">
        <v>15</v>
      </c>
      <c r="G4" s="1418"/>
      <c r="H4" s="1418"/>
      <c r="I4" s="1418"/>
      <c r="J4" s="1418" t="s">
        <v>16</v>
      </c>
      <c r="K4" s="1418"/>
      <c r="L4" s="1418"/>
      <c r="M4" s="1418"/>
      <c r="O4" s="1449" t="s">
        <v>40</v>
      </c>
      <c r="P4" s="1446" t="s">
        <v>171</v>
      </c>
      <c r="Q4" s="1440" t="s">
        <v>15</v>
      </c>
      <c r="R4" s="1440"/>
      <c r="S4" s="1440"/>
      <c r="T4" s="1440"/>
      <c r="U4" s="1440" t="s">
        <v>16</v>
      </c>
      <c r="V4" s="1440"/>
      <c r="W4" s="1440"/>
      <c r="X4" s="1440"/>
      <c r="Y4" s="1441" t="s">
        <v>177</v>
      </c>
      <c r="Z4" s="11"/>
      <c r="AA4" s="1"/>
      <c r="AM4" s="1426" t="s">
        <v>181</v>
      </c>
      <c r="AN4" s="1429"/>
      <c r="AO4" s="1429"/>
      <c r="AP4" s="1416" t="s">
        <v>172</v>
      </c>
      <c r="AQ4" s="85"/>
    </row>
    <row r="5" spans="2:43" s="1" customFormat="1">
      <c r="B5" s="1427"/>
      <c r="C5" s="1429"/>
      <c r="D5" s="1429"/>
      <c r="E5" s="1417"/>
      <c r="F5" s="370" t="s">
        <v>6</v>
      </c>
      <c r="G5" s="370" t="s">
        <v>7</v>
      </c>
      <c r="H5" s="370" t="s">
        <v>8</v>
      </c>
      <c r="I5" s="370" t="s">
        <v>9</v>
      </c>
      <c r="J5" s="370" t="s">
        <v>6</v>
      </c>
      <c r="K5" s="370" t="s">
        <v>7</v>
      </c>
      <c r="L5" s="370" t="s">
        <v>8</v>
      </c>
      <c r="M5" s="370" t="s">
        <v>9</v>
      </c>
      <c r="O5" s="1444"/>
      <c r="P5" s="1446"/>
      <c r="Q5" s="368" t="s">
        <v>6</v>
      </c>
      <c r="R5" s="368" t="s">
        <v>7</v>
      </c>
      <c r="S5" s="368" t="s">
        <v>8</v>
      </c>
      <c r="T5" s="368" t="s">
        <v>9</v>
      </c>
      <c r="U5" s="368" t="s">
        <v>6</v>
      </c>
      <c r="V5" s="368" t="s">
        <v>7</v>
      </c>
      <c r="W5" s="368" t="s">
        <v>8</v>
      </c>
      <c r="X5" s="368" t="s">
        <v>9</v>
      </c>
      <c r="Y5" s="1442"/>
      <c r="Z5" s="11"/>
      <c r="AC5" s="1" t="s">
        <v>6</v>
      </c>
      <c r="AD5" s="1" t="s">
        <v>212</v>
      </c>
      <c r="AM5" s="1427"/>
      <c r="AN5" s="1429"/>
      <c r="AO5" s="1429"/>
      <c r="AP5" s="1417"/>
      <c r="AQ5" s="85"/>
    </row>
    <row r="6" spans="2:43" s="1" customFormat="1">
      <c r="B6" s="1427"/>
      <c r="C6" s="1418" t="s">
        <v>17</v>
      </c>
      <c r="D6" s="1418"/>
      <c r="E6" s="53" t="s">
        <v>169</v>
      </c>
      <c r="F6" s="3" t="e">
        <f>単価表!AV7</f>
        <v>#VALUE!</v>
      </c>
      <c r="G6" s="3" t="e">
        <f>単価表!AV9</f>
        <v>#VALUE!</v>
      </c>
      <c r="H6" s="3" t="e">
        <f>単価表!AV11</f>
        <v>#VALUE!</v>
      </c>
      <c r="I6" s="3" t="e">
        <f>単価表!AV13</f>
        <v>#VALUE!</v>
      </c>
      <c r="J6" s="3" t="e">
        <f>単価表!AW7</f>
        <v>#VALUE!</v>
      </c>
      <c r="K6" s="3" t="e">
        <f>単価表!AW9</f>
        <v>#VALUE!</v>
      </c>
      <c r="L6" s="3" t="e">
        <f>単価表!AW11</f>
        <v>#VALUE!</v>
      </c>
      <c r="M6" s="3" t="e">
        <f>単価表!AW13</f>
        <v>#VALUE!</v>
      </c>
      <c r="O6" s="1444"/>
      <c r="P6" s="630">
        <f>基本情報!E17</f>
        <v>0</v>
      </c>
      <c r="Q6" s="3">
        <f>児童数!E31</f>
        <v>0</v>
      </c>
      <c r="R6" s="3">
        <f>児童数!F31</f>
        <v>0</v>
      </c>
      <c r="S6" s="3">
        <f>児童数!G31</f>
        <v>0</v>
      </c>
      <c r="T6" s="3">
        <f>児童数!H31</f>
        <v>0</v>
      </c>
      <c r="U6" s="3">
        <f>児童数!J31</f>
        <v>0</v>
      </c>
      <c r="V6" s="3">
        <f>児童数!K31</f>
        <v>0</v>
      </c>
      <c r="W6" s="3">
        <f>児童数!L31</f>
        <v>0</v>
      </c>
      <c r="X6" s="3">
        <f>児童数!M31</f>
        <v>0</v>
      </c>
      <c r="Y6" s="64">
        <f>SUM(Q6:X6)</f>
        <v>0</v>
      </c>
      <c r="Z6" s="2"/>
      <c r="AC6" s="1" t="s">
        <v>7</v>
      </c>
      <c r="AD6" s="1" t="s">
        <v>16</v>
      </c>
      <c r="AM6" s="1427"/>
      <c r="AN6" s="1418" t="s">
        <v>17</v>
      </c>
      <c r="AO6" s="1418"/>
      <c r="AP6" s="53" t="s">
        <v>169</v>
      </c>
      <c r="AQ6" s="85" t="e">
        <f>SUMPRODUCT(F6:M6,$Q$11:$X$11)</f>
        <v>#VALUE!</v>
      </c>
    </row>
    <row r="7" spans="2:43" s="1" customFormat="1">
      <c r="B7" s="1427"/>
      <c r="C7" s="1418"/>
      <c r="D7" s="1418"/>
      <c r="E7" s="53" t="s">
        <v>167</v>
      </c>
      <c r="F7" s="3" t="e">
        <f>単価表!AX7*基本情報!G7</f>
        <v>#VALUE!</v>
      </c>
      <c r="G7" s="3" t="e">
        <f>単価表!AX9*基本情報!G7</f>
        <v>#VALUE!</v>
      </c>
      <c r="H7" s="3" t="e">
        <f>単価表!AX11*基本情報!G7</f>
        <v>#VALUE!</v>
      </c>
      <c r="I7" s="3" t="e">
        <f>単価表!AX13*基本情報!G7</f>
        <v>#VALUE!</v>
      </c>
      <c r="J7" s="3" t="e">
        <f>単価表!AY7*基本情報!G7</f>
        <v>#VALUE!</v>
      </c>
      <c r="K7" s="3" t="e">
        <f>単価表!AY9*基本情報!G7</f>
        <v>#VALUE!</v>
      </c>
      <c r="L7" s="3" t="e">
        <f>単価表!AY11*基本情報!G7</f>
        <v>#VALUE!</v>
      </c>
      <c r="M7" s="3" t="e">
        <f>単価表!AY13*基本情報!G7</f>
        <v>#VALUE!</v>
      </c>
      <c r="O7" s="1444"/>
      <c r="P7" s="631">
        <f>基本情報!E18</f>
        <v>0</v>
      </c>
      <c r="Q7" s="3">
        <f>児童数!E45</f>
        <v>0</v>
      </c>
      <c r="R7" s="3">
        <f>児童数!F45</f>
        <v>0</v>
      </c>
      <c r="S7" s="3">
        <f>児童数!G45</f>
        <v>0</v>
      </c>
      <c r="T7" s="3">
        <f>児童数!H45</f>
        <v>0</v>
      </c>
      <c r="U7" s="3">
        <f>児童数!J45</f>
        <v>0</v>
      </c>
      <c r="V7" s="3">
        <f>児童数!K45</f>
        <v>0</v>
      </c>
      <c r="W7" s="3">
        <f>児童数!L45</f>
        <v>0</v>
      </c>
      <c r="X7" s="3">
        <f>児童数!M45</f>
        <v>0</v>
      </c>
      <c r="Y7" s="64">
        <f t="shared" ref="Y7:Y10" si="0">SUM(Q7:X7)</f>
        <v>0</v>
      </c>
      <c r="Z7" s="2"/>
      <c r="AA7" s="2"/>
      <c r="AC7" s="1" t="s">
        <v>8</v>
      </c>
      <c r="AM7" s="1427"/>
      <c r="AN7" s="1418"/>
      <c r="AO7" s="1418"/>
      <c r="AP7" s="53" t="s">
        <v>167</v>
      </c>
      <c r="AQ7" s="85" t="e">
        <f t="shared" ref="AQ7:AQ26" si="1">SUMPRODUCT(F7:M7,$Q$11:$X$11)</f>
        <v>#VALUE!</v>
      </c>
    </row>
    <row r="8" spans="2:43" ht="15" customHeight="1">
      <c r="B8" s="1427"/>
      <c r="C8" s="1419" t="s">
        <v>203</v>
      </c>
      <c r="D8" s="1422" t="s">
        <v>37</v>
      </c>
      <c r="E8" s="53" t="s">
        <v>169</v>
      </c>
      <c r="F8" s="6"/>
      <c r="G8" s="3">
        <f>IF(加算と減算!N5="○",単価表!AV41,0)</f>
        <v>0</v>
      </c>
      <c r="H8" s="6"/>
      <c r="I8" s="6"/>
      <c r="J8" s="6"/>
      <c r="K8" s="3">
        <f>G8</f>
        <v>0</v>
      </c>
      <c r="L8" s="6"/>
      <c r="M8" s="6"/>
      <c r="O8" s="1444"/>
      <c r="P8" s="632">
        <f>基本情報!E19</f>
        <v>0</v>
      </c>
      <c r="Q8" s="3">
        <f>児童数!E59</f>
        <v>0</v>
      </c>
      <c r="R8" s="3">
        <f>児童数!F59</f>
        <v>0</v>
      </c>
      <c r="S8" s="3">
        <f>児童数!G59</f>
        <v>0</v>
      </c>
      <c r="T8" s="3">
        <f>児童数!H59</f>
        <v>0</v>
      </c>
      <c r="U8" s="3">
        <f>児童数!J59</f>
        <v>0</v>
      </c>
      <c r="V8" s="3">
        <f>児童数!K59</f>
        <v>0</v>
      </c>
      <c r="W8" s="3">
        <f>児童数!L59</f>
        <v>0</v>
      </c>
      <c r="X8" s="3">
        <f>児童数!M59</f>
        <v>0</v>
      </c>
      <c r="Y8" s="64">
        <f t="shared" si="0"/>
        <v>0</v>
      </c>
      <c r="AC8" s="1" t="s">
        <v>9</v>
      </c>
      <c r="AM8" s="1427"/>
      <c r="AN8" s="1419" t="s">
        <v>203</v>
      </c>
      <c r="AO8" s="1422" t="s">
        <v>37</v>
      </c>
      <c r="AP8" s="732" t="s">
        <v>559</v>
      </c>
      <c r="AQ8" s="85">
        <f t="shared" si="1"/>
        <v>0</v>
      </c>
    </row>
    <row r="9" spans="2:43">
      <c r="B9" s="1427"/>
      <c r="C9" s="1420"/>
      <c r="D9" s="1422"/>
      <c r="E9" s="53" t="s">
        <v>167</v>
      </c>
      <c r="F9" s="6"/>
      <c r="G9" s="3">
        <f>IF(加算と減算!N5="○",単価表!AW41*基本情報!G7,0)</f>
        <v>0</v>
      </c>
      <c r="H9" s="6"/>
      <c r="I9" s="6"/>
      <c r="J9" s="6"/>
      <c r="K9" s="3">
        <f>G9</f>
        <v>0</v>
      </c>
      <c r="L9" s="6"/>
      <c r="M9" s="6"/>
      <c r="O9" s="1444"/>
      <c r="P9" s="633">
        <f>基本情報!E20</f>
        <v>0</v>
      </c>
      <c r="Q9" s="3">
        <f>児童数!E73</f>
        <v>0</v>
      </c>
      <c r="R9" s="3">
        <f>児童数!F73</f>
        <v>0</v>
      </c>
      <c r="S9" s="3">
        <f>児童数!G73</f>
        <v>0</v>
      </c>
      <c r="T9" s="3">
        <f>児童数!H73</f>
        <v>0</v>
      </c>
      <c r="U9" s="3">
        <f>児童数!J73</f>
        <v>0</v>
      </c>
      <c r="V9" s="3">
        <f>児童数!K73</f>
        <v>0</v>
      </c>
      <c r="W9" s="3">
        <f>児童数!L73</f>
        <v>0</v>
      </c>
      <c r="X9" s="3">
        <f>児童数!M73</f>
        <v>0</v>
      </c>
      <c r="Y9" s="64">
        <f t="shared" si="0"/>
        <v>0</v>
      </c>
      <c r="AM9" s="1427"/>
      <c r="AN9" s="1420"/>
      <c r="AO9" s="1422"/>
      <c r="AP9" s="53" t="s">
        <v>167</v>
      </c>
      <c r="AQ9" s="85">
        <f t="shared" si="1"/>
        <v>0</v>
      </c>
    </row>
    <row r="10" spans="2:43">
      <c r="B10" s="1427"/>
      <c r="C10" s="1420"/>
      <c r="D10" s="383" t="s">
        <v>69</v>
      </c>
      <c r="E10" s="60"/>
      <c r="F10" s="3">
        <f>IF(K2=0,0,IF(加算と減算!N6="○",ROUNDDOWN((加算と減算!R6+(加算と減算!S6*基本情報!G7))/'1月'!K2,-1),0))</f>
        <v>0</v>
      </c>
      <c r="G10" s="3">
        <f t="shared" ref="G10:G18" si="2">F10</f>
        <v>0</v>
      </c>
      <c r="H10" s="3">
        <f>F10</f>
        <v>0</v>
      </c>
      <c r="I10" s="3">
        <f>F10</f>
        <v>0</v>
      </c>
      <c r="J10" s="3">
        <f t="shared" ref="J10:J18" si="3">F10</f>
        <v>0</v>
      </c>
      <c r="K10" s="3">
        <f t="shared" ref="K10:K18" si="4">F10</f>
        <v>0</v>
      </c>
      <c r="L10" s="3">
        <f>F10</f>
        <v>0</v>
      </c>
      <c r="M10" s="3">
        <f>F10</f>
        <v>0</v>
      </c>
      <c r="O10" s="1444"/>
      <c r="P10" s="634">
        <f>基本情報!E21</f>
        <v>0</v>
      </c>
      <c r="Q10" s="3">
        <f>児童数!E87</f>
        <v>0</v>
      </c>
      <c r="R10" s="3">
        <f>児童数!F87</f>
        <v>0</v>
      </c>
      <c r="S10" s="3">
        <f>児童数!G87</f>
        <v>0</v>
      </c>
      <c r="T10" s="3">
        <f>児童数!H87</f>
        <v>0</v>
      </c>
      <c r="U10" s="3">
        <f>児童数!J87</f>
        <v>0</v>
      </c>
      <c r="V10" s="3">
        <f>児童数!K87</f>
        <v>0</v>
      </c>
      <c r="W10" s="3">
        <f>児童数!L87</f>
        <v>0</v>
      </c>
      <c r="X10" s="3">
        <f>児童数!M87</f>
        <v>0</v>
      </c>
      <c r="Y10" s="64">
        <f t="shared" si="0"/>
        <v>0</v>
      </c>
      <c r="AM10" s="1427"/>
      <c r="AN10" s="1420"/>
      <c r="AO10" s="383" t="s">
        <v>69</v>
      </c>
      <c r="AP10" s="629"/>
      <c r="AQ10" s="85">
        <f t="shared" si="1"/>
        <v>0</v>
      </c>
    </row>
    <row r="11" spans="2:43">
      <c r="B11" s="1427"/>
      <c r="C11" s="1420"/>
      <c r="D11" s="1422" t="s">
        <v>161</v>
      </c>
      <c r="E11" s="53" t="s">
        <v>169</v>
      </c>
      <c r="F11" s="3">
        <f>IF(加算と減算!N7="○",単価表!AZ39,0)</f>
        <v>0</v>
      </c>
      <c r="G11" s="3">
        <f t="shared" si="2"/>
        <v>0</v>
      </c>
      <c r="H11" s="3">
        <f>IF(加算と減算!N7="○",単価表!AZ43,0)</f>
        <v>0</v>
      </c>
      <c r="I11" s="3">
        <f>H11</f>
        <v>0</v>
      </c>
      <c r="J11" s="3">
        <f t="shared" si="3"/>
        <v>0</v>
      </c>
      <c r="K11" s="3">
        <f t="shared" si="4"/>
        <v>0</v>
      </c>
      <c r="L11" s="3">
        <f>H11</f>
        <v>0</v>
      </c>
      <c r="M11" s="3">
        <f>H11</f>
        <v>0</v>
      </c>
      <c r="O11" s="1445"/>
      <c r="P11" s="635" t="s">
        <v>36</v>
      </c>
      <c r="Q11" s="3">
        <f>SUM(Q6:Q10)</f>
        <v>0</v>
      </c>
      <c r="R11" s="3">
        <f t="shared" ref="R11:Y11" si="5">SUM(R6:R10)</f>
        <v>0</v>
      </c>
      <c r="S11" s="3">
        <f t="shared" si="5"/>
        <v>0</v>
      </c>
      <c r="T11" s="3">
        <f t="shared" si="5"/>
        <v>0</v>
      </c>
      <c r="U11" s="3">
        <f t="shared" si="5"/>
        <v>0</v>
      </c>
      <c r="V11" s="3">
        <f t="shared" si="5"/>
        <v>0</v>
      </c>
      <c r="W11" s="3">
        <f t="shared" si="5"/>
        <v>0</v>
      </c>
      <c r="X11" s="3">
        <f t="shared" si="5"/>
        <v>0</v>
      </c>
      <c r="Y11" s="3">
        <f t="shared" si="5"/>
        <v>0</v>
      </c>
      <c r="Z11" s="55" t="s">
        <v>176</v>
      </c>
      <c r="AA11" s="71" t="str">
        <f>IF(SUM(Q11:X11)=G2,"OK",SUM(Q11:X11)-K2)</f>
        <v>OK</v>
      </c>
      <c r="AB11" s="62"/>
      <c r="AM11" s="1427"/>
      <c r="AN11" s="1420"/>
      <c r="AO11" s="1422" t="s">
        <v>161</v>
      </c>
      <c r="AP11" s="53" t="s">
        <v>169</v>
      </c>
      <c r="AQ11" s="85">
        <f t="shared" si="1"/>
        <v>0</v>
      </c>
    </row>
    <row r="12" spans="2:43" ht="15" customHeight="1">
      <c r="B12" s="1427"/>
      <c r="C12" s="1420"/>
      <c r="D12" s="1422"/>
      <c r="E12" s="53" t="s">
        <v>167</v>
      </c>
      <c r="F12" s="3">
        <f>IF(加算と減算!N7="○",単価表!BA39*基本情報!G7,0)</f>
        <v>0</v>
      </c>
      <c r="G12" s="3">
        <f t="shared" si="2"/>
        <v>0</v>
      </c>
      <c r="H12" s="3">
        <f>IF(加算と減算!N7="○",単価表!BA43*基本情報!G7,0)</f>
        <v>0</v>
      </c>
      <c r="I12" s="3">
        <f>H12</f>
        <v>0</v>
      </c>
      <c r="J12" s="3">
        <f t="shared" si="3"/>
        <v>0</v>
      </c>
      <c r="K12" s="3">
        <f t="shared" si="4"/>
        <v>0</v>
      </c>
      <c r="L12" s="3">
        <f>H12</f>
        <v>0</v>
      </c>
      <c r="M12" s="3">
        <f>H12</f>
        <v>0</v>
      </c>
      <c r="O12" s="75"/>
      <c r="P12" s="636"/>
      <c r="Q12" s="54"/>
      <c r="R12" s="54"/>
      <c r="S12" s="54"/>
      <c r="T12" s="54"/>
      <c r="U12" s="54"/>
      <c r="V12" s="54"/>
      <c r="W12" s="54"/>
      <c r="X12" s="54"/>
      <c r="Y12" s="54"/>
      <c r="AA12" s="62"/>
      <c r="AB12" s="62"/>
      <c r="AM12" s="1427"/>
      <c r="AN12" s="1420"/>
      <c r="AO12" s="1422"/>
      <c r="AP12" s="53" t="s">
        <v>167</v>
      </c>
      <c r="AQ12" s="85">
        <f t="shared" si="1"/>
        <v>0</v>
      </c>
    </row>
    <row r="13" spans="2:43" ht="16.5">
      <c r="B13" s="1427"/>
      <c r="C13" s="1420"/>
      <c r="D13" s="366" t="s">
        <v>162</v>
      </c>
      <c r="E13" s="59"/>
      <c r="F13" s="3">
        <f>IF(加算と減算!N8="○",加算と減算!R8,0)</f>
        <v>0</v>
      </c>
      <c r="G13" s="3">
        <f t="shared" si="2"/>
        <v>0</v>
      </c>
      <c r="H13" s="3">
        <f t="shared" ref="H13:H18" si="6">F13</f>
        <v>0</v>
      </c>
      <c r="I13" s="3">
        <f t="shared" ref="I13:I18" si="7">F13</f>
        <v>0</v>
      </c>
      <c r="J13" s="3">
        <f t="shared" si="3"/>
        <v>0</v>
      </c>
      <c r="K13" s="3">
        <f t="shared" si="4"/>
        <v>0</v>
      </c>
      <c r="L13" s="3">
        <f t="shared" ref="L13:L18" si="8">F13</f>
        <v>0</v>
      </c>
      <c r="M13" s="3">
        <f t="shared" ref="M13:M18" si="9">F13</f>
        <v>0</v>
      </c>
      <c r="O13" s="1443" t="s">
        <v>187</v>
      </c>
      <c r="P13" s="1449" t="s">
        <v>171</v>
      </c>
      <c r="Q13" s="1440" t="s">
        <v>15</v>
      </c>
      <c r="R13" s="1440"/>
      <c r="S13" s="1440"/>
      <c r="T13" s="1440"/>
      <c r="U13" s="1440" t="s">
        <v>16</v>
      </c>
      <c r="V13" s="1440"/>
      <c r="W13" s="1440"/>
      <c r="X13" s="1440"/>
      <c r="Y13" s="1449" t="s">
        <v>177</v>
      </c>
      <c r="AA13" s="62"/>
      <c r="AB13" s="62"/>
      <c r="AM13" s="1427"/>
      <c r="AN13" s="1420"/>
      <c r="AO13" s="720" t="s">
        <v>162</v>
      </c>
      <c r="AP13" s="731" t="s">
        <v>353</v>
      </c>
      <c r="AQ13" s="85">
        <f t="shared" si="1"/>
        <v>0</v>
      </c>
    </row>
    <row r="14" spans="2:43" ht="16.5">
      <c r="B14" s="1427"/>
      <c r="C14" s="1420"/>
      <c r="D14" s="366" t="s">
        <v>54</v>
      </c>
      <c r="E14" s="59"/>
      <c r="F14" s="3">
        <f>IF(加算と減算!N9="○",加算と減算!R9,0)</f>
        <v>0</v>
      </c>
      <c r="G14" s="3">
        <f t="shared" si="2"/>
        <v>0</v>
      </c>
      <c r="H14" s="3">
        <f t="shared" si="6"/>
        <v>0</v>
      </c>
      <c r="I14" s="3">
        <f t="shared" si="7"/>
        <v>0</v>
      </c>
      <c r="J14" s="3">
        <f t="shared" si="3"/>
        <v>0</v>
      </c>
      <c r="K14" s="3">
        <f t="shared" si="4"/>
        <v>0</v>
      </c>
      <c r="L14" s="3">
        <f t="shared" si="8"/>
        <v>0</v>
      </c>
      <c r="M14" s="3">
        <f t="shared" si="9"/>
        <v>0</v>
      </c>
      <c r="O14" s="1447"/>
      <c r="P14" s="1445"/>
      <c r="Q14" s="368" t="s">
        <v>6</v>
      </c>
      <c r="R14" s="368" t="s">
        <v>7</v>
      </c>
      <c r="S14" s="368" t="s">
        <v>8</v>
      </c>
      <c r="T14" s="368" t="s">
        <v>9</v>
      </c>
      <c r="U14" s="368" t="s">
        <v>6</v>
      </c>
      <c r="V14" s="368" t="s">
        <v>7</v>
      </c>
      <c r="W14" s="368" t="s">
        <v>8</v>
      </c>
      <c r="X14" s="368" t="s">
        <v>9</v>
      </c>
      <c r="Y14" s="1445"/>
      <c r="AA14" s="62"/>
      <c r="AB14" s="62"/>
      <c r="AM14" s="1427"/>
      <c r="AN14" s="1420"/>
      <c r="AO14" s="720" t="s">
        <v>54</v>
      </c>
      <c r="AP14" s="731" t="s">
        <v>353</v>
      </c>
      <c r="AQ14" s="85">
        <f t="shared" si="1"/>
        <v>0</v>
      </c>
    </row>
    <row r="15" spans="2:43" ht="16.5">
      <c r="B15" s="1427"/>
      <c r="C15" s="1420"/>
      <c r="D15" s="1422" t="s">
        <v>38</v>
      </c>
      <c r="E15" s="53" t="s">
        <v>169</v>
      </c>
      <c r="F15" s="3">
        <f>IF(加算と減算!N10="○",加算と減算!R10,0)</f>
        <v>0</v>
      </c>
      <c r="G15" s="3">
        <f t="shared" si="2"/>
        <v>0</v>
      </c>
      <c r="H15" s="3">
        <f t="shared" si="6"/>
        <v>0</v>
      </c>
      <c r="I15" s="3">
        <f t="shared" si="7"/>
        <v>0</v>
      </c>
      <c r="J15" s="3">
        <f t="shared" si="3"/>
        <v>0</v>
      </c>
      <c r="K15" s="3">
        <f t="shared" si="4"/>
        <v>0</v>
      </c>
      <c r="L15" s="3">
        <f t="shared" si="8"/>
        <v>0</v>
      </c>
      <c r="M15" s="3">
        <f t="shared" si="9"/>
        <v>0</v>
      </c>
      <c r="O15" s="1447"/>
      <c r="P15" s="630">
        <f>P6</f>
        <v>0</v>
      </c>
      <c r="Q15" s="3" t="e">
        <f>F27*Q6</f>
        <v>#VALUE!</v>
      </c>
      <c r="R15" s="3" t="e">
        <f t="shared" ref="R15:X15" si="10">G27*R6</f>
        <v>#VALUE!</v>
      </c>
      <c r="S15" s="3" t="e">
        <f t="shared" si="10"/>
        <v>#VALUE!</v>
      </c>
      <c r="T15" s="3" t="e">
        <f t="shared" si="10"/>
        <v>#VALUE!</v>
      </c>
      <c r="U15" s="3" t="e">
        <f t="shared" si="10"/>
        <v>#VALUE!</v>
      </c>
      <c r="V15" s="3" t="e">
        <f t="shared" si="10"/>
        <v>#VALUE!</v>
      </c>
      <c r="W15" s="3" t="e">
        <f t="shared" si="10"/>
        <v>#VALUE!</v>
      </c>
      <c r="X15" s="3" t="e">
        <f t="shared" si="10"/>
        <v>#VALUE!</v>
      </c>
      <c r="Y15" s="3" t="e">
        <f>SUM(Q15:X15)</f>
        <v>#VALUE!</v>
      </c>
      <c r="AA15" s="62"/>
      <c r="AB15" s="62"/>
      <c r="AM15" s="1427"/>
      <c r="AN15" s="1420"/>
      <c r="AO15" s="1422" t="s">
        <v>38</v>
      </c>
      <c r="AP15" s="732" t="s">
        <v>559</v>
      </c>
      <c r="AQ15" s="85">
        <f t="shared" si="1"/>
        <v>0</v>
      </c>
    </row>
    <row r="16" spans="2:43">
      <c r="B16" s="1427"/>
      <c r="C16" s="1421"/>
      <c r="D16" s="1422"/>
      <c r="E16" s="53" t="s">
        <v>167</v>
      </c>
      <c r="F16" s="3">
        <f>IF(加算と減算!N10="○",加算と減算!S10*基本情報!G7,0)</f>
        <v>0</v>
      </c>
      <c r="G16" s="3">
        <f t="shared" si="2"/>
        <v>0</v>
      </c>
      <c r="H16" s="3">
        <f t="shared" si="6"/>
        <v>0</v>
      </c>
      <c r="I16" s="3">
        <f t="shared" si="7"/>
        <v>0</v>
      </c>
      <c r="J16" s="3">
        <f t="shared" si="3"/>
        <v>0</v>
      </c>
      <c r="K16" s="3">
        <f t="shared" si="4"/>
        <v>0</v>
      </c>
      <c r="L16" s="3">
        <f t="shared" si="8"/>
        <v>0</v>
      </c>
      <c r="M16" s="3">
        <f t="shared" si="9"/>
        <v>0</v>
      </c>
      <c r="O16" s="1447"/>
      <c r="P16" s="631">
        <f>P7</f>
        <v>0</v>
      </c>
      <c r="Q16" s="3" t="e">
        <f>F27*Q7</f>
        <v>#VALUE!</v>
      </c>
      <c r="R16" s="3" t="e">
        <f t="shared" ref="R16:X16" si="11">G27*R7</f>
        <v>#VALUE!</v>
      </c>
      <c r="S16" s="3" t="e">
        <f t="shared" si="11"/>
        <v>#VALUE!</v>
      </c>
      <c r="T16" s="3" t="e">
        <f t="shared" si="11"/>
        <v>#VALUE!</v>
      </c>
      <c r="U16" s="3" t="e">
        <f t="shared" si="11"/>
        <v>#VALUE!</v>
      </c>
      <c r="V16" s="3" t="e">
        <f t="shared" si="11"/>
        <v>#VALUE!</v>
      </c>
      <c r="W16" s="3" t="e">
        <f t="shared" si="11"/>
        <v>#VALUE!</v>
      </c>
      <c r="X16" s="3" t="e">
        <f t="shared" si="11"/>
        <v>#VALUE!</v>
      </c>
      <c r="Y16" s="3" t="e">
        <f t="shared" ref="Y16:Y19" si="12">SUM(Q16:X16)</f>
        <v>#VALUE!</v>
      </c>
      <c r="AA16" s="62"/>
      <c r="AB16" s="62"/>
      <c r="AM16" s="1427"/>
      <c r="AN16" s="1421"/>
      <c r="AO16" s="1422"/>
      <c r="AP16" s="53" t="s">
        <v>167</v>
      </c>
      <c r="AQ16" s="85">
        <f t="shared" si="1"/>
        <v>0</v>
      </c>
    </row>
    <row r="17" spans="2:43">
      <c r="B17" s="1427"/>
      <c r="C17" s="1423" t="s">
        <v>205</v>
      </c>
      <c r="D17" s="1424" t="s">
        <v>43</v>
      </c>
      <c r="E17" s="53" t="s">
        <v>169</v>
      </c>
      <c r="F17" s="74">
        <f>-IF(加算と減算!N32="○",単価表!AZ7,0)</f>
        <v>0</v>
      </c>
      <c r="G17" s="74">
        <f t="shared" si="2"/>
        <v>0</v>
      </c>
      <c r="H17" s="74">
        <f t="shared" si="6"/>
        <v>0</v>
      </c>
      <c r="I17" s="74">
        <f t="shared" si="7"/>
        <v>0</v>
      </c>
      <c r="J17" s="74">
        <f t="shared" si="3"/>
        <v>0</v>
      </c>
      <c r="K17" s="74">
        <f t="shared" si="4"/>
        <v>0</v>
      </c>
      <c r="L17" s="74">
        <f t="shared" si="8"/>
        <v>0</v>
      </c>
      <c r="M17" s="74">
        <f t="shared" si="9"/>
        <v>0</v>
      </c>
      <c r="O17" s="1447"/>
      <c r="P17" s="632">
        <f>P8</f>
        <v>0</v>
      </c>
      <c r="Q17" s="3" t="e">
        <f>F27*Q8</f>
        <v>#VALUE!</v>
      </c>
      <c r="R17" s="3" t="e">
        <f t="shared" ref="R17:X17" si="13">G27*R8</f>
        <v>#VALUE!</v>
      </c>
      <c r="S17" s="3" t="e">
        <f t="shared" si="13"/>
        <v>#VALUE!</v>
      </c>
      <c r="T17" s="3" t="e">
        <f t="shared" si="13"/>
        <v>#VALUE!</v>
      </c>
      <c r="U17" s="3" t="e">
        <f t="shared" si="13"/>
        <v>#VALUE!</v>
      </c>
      <c r="V17" s="3" t="e">
        <f t="shared" si="13"/>
        <v>#VALUE!</v>
      </c>
      <c r="W17" s="3" t="e">
        <f t="shared" si="13"/>
        <v>#VALUE!</v>
      </c>
      <c r="X17" s="3" t="e">
        <f t="shared" si="13"/>
        <v>#VALUE!</v>
      </c>
      <c r="Y17" s="3" t="e">
        <f t="shared" si="12"/>
        <v>#VALUE!</v>
      </c>
      <c r="AA17" s="62"/>
      <c r="AB17" s="62"/>
      <c r="AM17" s="1427"/>
      <c r="AN17" s="1423" t="s">
        <v>205</v>
      </c>
      <c r="AO17" s="1424" t="s">
        <v>43</v>
      </c>
      <c r="AP17" s="53" t="s">
        <v>169</v>
      </c>
      <c r="AQ17" s="85">
        <f t="shared" si="1"/>
        <v>0</v>
      </c>
    </row>
    <row r="18" spans="2:43">
      <c r="B18" s="1427"/>
      <c r="C18" s="1423"/>
      <c r="D18" s="1424"/>
      <c r="E18" s="53" t="s">
        <v>167</v>
      </c>
      <c r="F18" s="74">
        <f>-IF(加算と減算!N32="○",単価表!BA7*基本情報!G7,0)</f>
        <v>0</v>
      </c>
      <c r="G18" s="74">
        <f t="shared" si="2"/>
        <v>0</v>
      </c>
      <c r="H18" s="74">
        <f t="shared" si="6"/>
        <v>0</v>
      </c>
      <c r="I18" s="74">
        <f t="shared" si="7"/>
        <v>0</v>
      </c>
      <c r="J18" s="74">
        <f t="shared" si="3"/>
        <v>0</v>
      </c>
      <c r="K18" s="74">
        <f t="shared" si="4"/>
        <v>0</v>
      </c>
      <c r="L18" s="74">
        <f t="shared" si="8"/>
        <v>0</v>
      </c>
      <c r="M18" s="74">
        <f t="shared" si="9"/>
        <v>0</v>
      </c>
      <c r="O18" s="1447"/>
      <c r="P18" s="633">
        <f>P9</f>
        <v>0</v>
      </c>
      <c r="Q18" s="3" t="e">
        <f>F27*Q9</f>
        <v>#VALUE!</v>
      </c>
      <c r="R18" s="3" t="e">
        <f t="shared" ref="R18:X18" si="14">G27*R9</f>
        <v>#VALUE!</v>
      </c>
      <c r="S18" s="3" t="e">
        <f t="shared" si="14"/>
        <v>#VALUE!</v>
      </c>
      <c r="T18" s="3" t="e">
        <f t="shared" si="14"/>
        <v>#VALUE!</v>
      </c>
      <c r="U18" s="3" t="e">
        <f t="shared" si="14"/>
        <v>#VALUE!</v>
      </c>
      <c r="V18" s="3" t="e">
        <f t="shared" si="14"/>
        <v>#VALUE!</v>
      </c>
      <c r="W18" s="3" t="e">
        <f t="shared" si="14"/>
        <v>#VALUE!</v>
      </c>
      <c r="X18" s="3" t="e">
        <f t="shared" si="14"/>
        <v>#VALUE!</v>
      </c>
      <c r="Y18" s="3" t="e">
        <f t="shared" si="12"/>
        <v>#VALUE!</v>
      </c>
      <c r="AA18" s="62"/>
      <c r="AB18" s="62"/>
      <c r="AM18" s="1427"/>
      <c r="AN18" s="1423"/>
      <c r="AO18" s="1424"/>
      <c r="AP18" s="53" t="s">
        <v>167</v>
      </c>
      <c r="AQ18" s="85">
        <f t="shared" si="1"/>
        <v>0</v>
      </c>
    </row>
    <row r="19" spans="2:43">
      <c r="B19" s="1427"/>
      <c r="C19" s="1423"/>
      <c r="D19" s="371" t="s">
        <v>165</v>
      </c>
      <c r="E19" s="60"/>
      <c r="F19" s="74" t="e">
        <f t="shared" ref="F19:M19" si="15">-ROUNDDOWN((F6+F7+F11+F12+F8+F9)*$S$2/100,-1)</f>
        <v>#VALUE!</v>
      </c>
      <c r="G19" s="74" t="e">
        <f t="shared" si="15"/>
        <v>#VALUE!</v>
      </c>
      <c r="H19" s="74" t="e">
        <f t="shared" si="15"/>
        <v>#VALUE!</v>
      </c>
      <c r="I19" s="74" t="e">
        <f t="shared" si="15"/>
        <v>#VALUE!</v>
      </c>
      <c r="J19" s="74" t="e">
        <f t="shared" si="15"/>
        <v>#VALUE!</v>
      </c>
      <c r="K19" s="74" t="e">
        <f t="shared" si="15"/>
        <v>#VALUE!</v>
      </c>
      <c r="L19" s="74" t="e">
        <f t="shared" si="15"/>
        <v>#VALUE!</v>
      </c>
      <c r="M19" s="74" t="e">
        <f t="shared" si="15"/>
        <v>#VALUE!</v>
      </c>
      <c r="O19" s="1447"/>
      <c r="P19" s="634">
        <f>P10</f>
        <v>0</v>
      </c>
      <c r="Q19" s="3" t="e">
        <f>F27*Q10</f>
        <v>#VALUE!</v>
      </c>
      <c r="R19" s="3" t="e">
        <f t="shared" ref="R19:X19" si="16">G27*R10</f>
        <v>#VALUE!</v>
      </c>
      <c r="S19" s="3" t="e">
        <f t="shared" si="16"/>
        <v>#VALUE!</v>
      </c>
      <c r="T19" s="3" t="e">
        <f t="shared" si="16"/>
        <v>#VALUE!</v>
      </c>
      <c r="U19" s="3" t="e">
        <f t="shared" si="16"/>
        <v>#VALUE!</v>
      </c>
      <c r="V19" s="3" t="e">
        <f t="shared" si="16"/>
        <v>#VALUE!</v>
      </c>
      <c r="W19" s="3" t="e">
        <f t="shared" si="16"/>
        <v>#VALUE!</v>
      </c>
      <c r="X19" s="3" t="e">
        <f t="shared" si="16"/>
        <v>#VALUE!</v>
      </c>
      <c r="Y19" s="3" t="e">
        <f t="shared" si="12"/>
        <v>#VALUE!</v>
      </c>
      <c r="AA19" s="62"/>
      <c r="AB19" s="62"/>
      <c r="AM19" s="1427"/>
      <c r="AN19" s="1423"/>
      <c r="AO19" s="717" t="s">
        <v>165</v>
      </c>
      <c r="AP19" s="60"/>
      <c r="AQ19" s="85" t="e">
        <f t="shared" si="1"/>
        <v>#VALUE!</v>
      </c>
    </row>
    <row r="20" spans="2:43">
      <c r="B20" s="1427"/>
      <c r="C20" s="1423"/>
      <c r="D20" s="371" t="s">
        <v>166</v>
      </c>
      <c r="E20" s="60"/>
      <c r="F20" s="74" t="e">
        <f t="shared" ref="F20:M20" si="17">-ROUNDUP(SUM(F6:F19)*$V$2/100,-1)</f>
        <v>#VALUE!</v>
      </c>
      <c r="G20" s="74" t="e">
        <f t="shared" si="17"/>
        <v>#VALUE!</v>
      </c>
      <c r="H20" s="74" t="e">
        <f t="shared" si="17"/>
        <v>#VALUE!</v>
      </c>
      <c r="I20" s="74" t="e">
        <f t="shared" si="17"/>
        <v>#VALUE!</v>
      </c>
      <c r="J20" s="74" t="e">
        <f t="shared" si="17"/>
        <v>#VALUE!</v>
      </c>
      <c r="K20" s="74" t="e">
        <f t="shared" si="17"/>
        <v>#VALUE!</v>
      </c>
      <c r="L20" s="74" t="e">
        <f t="shared" si="17"/>
        <v>#VALUE!</v>
      </c>
      <c r="M20" s="74" t="e">
        <f t="shared" si="17"/>
        <v>#VALUE!</v>
      </c>
      <c r="O20" s="1448"/>
      <c r="P20" s="635" t="s">
        <v>36</v>
      </c>
      <c r="Q20" s="3" t="e">
        <f>SUM(Q15:Q19)</f>
        <v>#VALUE!</v>
      </c>
      <c r="R20" s="3" t="e">
        <f t="shared" ref="R20:Y20" si="18">SUM(R15:R19)</f>
        <v>#VALUE!</v>
      </c>
      <c r="S20" s="3" t="e">
        <f t="shared" si="18"/>
        <v>#VALUE!</v>
      </c>
      <c r="T20" s="3" t="e">
        <f t="shared" si="18"/>
        <v>#VALUE!</v>
      </c>
      <c r="U20" s="3" t="e">
        <f t="shared" si="18"/>
        <v>#VALUE!</v>
      </c>
      <c r="V20" s="3" t="e">
        <f t="shared" si="18"/>
        <v>#VALUE!</v>
      </c>
      <c r="W20" s="3" t="e">
        <f t="shared" si="18"/>
        <v>#VALUE!</v>
      </c>
      <c r="X20" s="3" t="e">
        <f t="shared" si="18"/>
        <v>#VALUE!</v>
      </c>
      <c r="Y20" s="3" t="e">
        <f t="shared" si="18"/>
        <v>#VALUE!</v>
      </c>
      <c r="AA20" s="62"/>
      <c r="AB20" s="62"/>
      <c r="AM20" s="1427"/>
      <c r="AN20" s="1423"/>
      <c r="AO20" s="717" t="s">
        <v>166</v>
      </c>
      <c r="AP20" s="60"/>
      <c r="AQ20" s="85" t="e">
        <f t="shared" si="1"/>
        <v>#VALUE!</v>
      </c>
    </row>
    <row r="21" spans="2:43" ht="15" customHeight="1">
      <c r="B21" s="1427"/>
      <c r="C21" s="1419" t="s">
        <v>204</v>
      </c>
      <c r="D21" s="366" t="s">
        <v>18</v>
      </c>
      <c r="E21" s="59"/>
      <c r="F21" s="3">
        <f>IF(K2=0,0,IF(加算と減算!N13="",0,ROUNDDOWN(加算と減算!U13/'1月'!$K$2,-1)))</f>
        <v>0</v>
      </c>
      <c r="G21" s="3">
        <f>F21</f>
        <v>0</v>
      </c>
      <c r="H21" s="3">
        <f t="shared" ref="H21:M21" si="19">G21</f>
        <v>0</v>
      </c>
      <c r="I21" s="3">
        <f t="shared" si="19"/>
        <v>0</v>
      </c>
      <c r="J21" s="3">
        <f t="shared" si="19"/>
        <v>0</v>
      </c>
      <c r="K21" s="3">
        <f t="shared" si="19"/>
        <v>0</v>
      </c>
      <c r="L21" s="3">
        <f t="shared" si="19"/>
        <v>0</v>
      </c>
      <c r="M21" s="3">
        <f t="shared" si="19"/>
        <v>0</v>
      </c>
      <c r="O21" s="76"/>
      <c r="P21" s="636"/>
      <c r="Q21" s="54"/>
      <c r="R21" s="54"/>
      <c r="S21" s="9"/>
      <c r="T21" s="9"/>
      <c r="U21" s="54"/>
      <c r="V21" s="54"/>
      <c r="W21" s="10"/>
      <c r="X21" s="10"/>
      <c r="Y21" s="10"/>
      <c r="AA21" s="62"/>
      <c r="AB21" s="62"/>
      <c r="AM21" s="1427"/>
      <c r="AN21" s="1419" t="s">
        <v>204</v>
      </c>
      <c r="AO21" s="720" t="s">
        <v>18</v>
      </c>
      <c r="AP21" s="732" t="s">
        <v>559</v>
      </c>
      <c r="AQ21" s="85">
        <f t="shared" si="1"/>
        <v>0</v>
      </c>
    </row>
    <row r="22" spans="2:43" ht="15" customHeight="1">
      <c r="B22" s="1427"/>
      <c r="C22" s="1420"/>
      <c r="D22" s="366" t="s">
        <v>62</v>
      </c>
      <c r="E22" s="59"/>
      <c r="F22" s="3">
        <f>IF(K2=0,0,ROUNDDOWN(IF(加算と減算!N14="○",加算と減算!U14,IF(加算と減算!N15="○",加算と減算!U15,0))/K2,-1))</f>
        <v>0</v>
      </c>
      <c r="G22" s="3">
        <f t="shared" ref="G22:M26" si="20">F22</f>
        <v>0</v>
      </c>
      <c r="H22" s="3">
        <f t="shared" si="20"/>
        <v>0</v>
      </c>
      <c r="I22" s="3">
        <f t="shared" si="20"/>
        <v>0</v>
      </c>
      <c r="J22" s="3">
        <f t="shared" si="20"/>
        <v>0</v>
      </c>
      <c r="K22" s="3">
        <f t="shared" si="20"/>
        <v>0</v>
      </c>
      <c r="L22" s="3">
        <f t="shared" si="20"/>
        <v>0</v>
      </c>
      <c r="M22" s="3">
        <f>L22</f>
        <v>0</v>
      </c>
      <c r="O22" s="1443" t="s">
        <v>180</v>
      </c>
      <c r="P22" s="367" t="s">
        <v>171</v>
      </c>
      <c r="Q22" s="368" t="s">
        <v>178</v>
      </c>
      <c r="R22" s="367" t="s">
        <v>179</v>
      </c>
      <c r="S22" s="4"/>
      <c r="T22" s="1443" t="s">
        <v>188</v>
      </c>
      <c r="U22" s="367" t="s">
        <v>171</v>
      </c>
      <c r="V22" s="40" t="s">
        <v>179</v>
      </c>
      <c r="AA22" s="62"/>
      <c r="AB22" s="62"/>
      <c r="AM22" s="1427"/>
      <c r="AN22" s="1420"/>
      <c r="AO22" s="720" t="s">
        <v>62</v>
      </c>
      <c r="AP22" s="732" t="s">
        <v>559</v>
      </c>
      <c r="AQ22" s="85">
        <f t="shared" si="1"/>
        <v>0</v>
      </c>
    </row>
    <row r="23" spans="2:43" ht="16.5">
      <c r="B23" s="1427"/>
      <c r="C23" s="1420"/>
      <c r="D23" s="366" t="s">
        <v>19</v>
      </c>
      <c r="E23" s="59"/>
      <c r="F23" s="3">
        <f>IF(K2=0,0,IF(加算と減算!N16="",0,ROUNDDOWN(加算と減算!U16/'1月'!$K$2,-1)))</f>
        <v>0</v>
      </c>
      <c r="G23" s="3">
        <f t="shared" si="20"/>
        <v>0</v>
      </c>
      <c r="H23" s="3">
        <f t="shared" si="20"/>
        <v>0</v>
      </c>
      <c r="I23" s="3">
        <f t="shared" si="20"/>
        <v>0</v>
      </c>
      <c r="J23" s="3">
        <f t="shared" si="20"/>
        <v>0</v>
      </c>
      <c r="K23" s="3">
        <f t="shared" si="20"/>
        <v>0</v>
      </c>
      <c r="L23" s="3">
        <f t="shared" si="20"/>
        <v>0</v>
      </c>
      <c r="M23" s="3">
        <f t="shared" si="20"/>
        <v>0</v>
      </c>
      <c r="O23" s="1447"/>
      <c r="P23" s="630">
        <f>P6</f>
        <v>0</v>
      </c>
      <c r="Q23" s="3">
        <f>児童数!AE31</f>
        <v>0</v>
      </c>
      <c r="R23" s="64">
        <f>4500*Q23</f>
        <v>0</v>
      </c>
      <c r="S23" s="4"/>
      <c r="T23" s="1447"/>
      <c r="U23" s="630">
        <f>P6</f>
        <v>0</v>
      </c>
      <c r="V23" s="65" t="e">
        <f>Y15+R23</f>
        <v>#VALUE!</v>
      </c>
      <c r="AA23" s="62"/>
      <c r="AB23" s="62"/>
      <c r="AM23" s="1427"/>
      <c r="AN23" s="1420"/>
      <c r="AO23" s="720" t="s">
        <v>19</v>
      </c>
      <c r="AP23" s="732" t="s">
        <v>559</v>
      </c>
      <c r="AQ23" s="85">
        <f t="shared" si="1"/>
        <v>0</v>
      </c>
    </row>
    <row r="24" spans="2:43" ht="16.5">
      <c r="B24" s="1427"/>
      <c r="C24" s="1420"/>
      <c r="D24" s="366" t="s">
        <v>41</v>
      </c>
      <c r="E24" s="59"/>
      <c r="F24" s="3">
        <f>IF(K2=0,0,IF(加算と減算!D17="",0,ROUNDDOWN(加算と減算!U17/'1月'!$K$2,-1)))</f>
        <v>0</v>
      </c>
      <c r="G24" s="3">
        <f t="shared" si="20"/>
        <v>0</v>
      </c>
      <c r="H24" s="3">
        <f t="shared" si="20"/>
        <v>0</v>
      </c>
      <c r="I24" s="3">
        <f t="shared" si="20"/>
        <v>0</v>
      </c>
      <c r="J24" s="3">
        <f t="shared" si="20"/>
        <v>0</v>
      </c>
      <c r="K24" s="3">
        <f t="shared" si="20"/>
        <v>0</v>
      </c>
      <c r="L24" s="3">
        <f t="shared" si="20"/>
        <v>0</v>
      </c>
      <c r="M24" s="3">
        <f t="shared" si="20"/>
        <v>0</v>
      </c>
      <c r="O24" s="1447"/>
      <c r="P24" s="631">
        <f>P7</f>
        <v>0</v>
      </c>
      <c r="Q24" s="3">
        <f>児童数!AE45</f>
        <v>0</v>
      </c>
      <c r="R24" s="64">
        <f t="shared" ref="R24:R27" si="21">4500*Q24</f>
        <v>0</v>
      </c>
      <c r="S24" s="4"/>
      <c r="T24" s="1447"/>
      <c r="U24" s="631">
        <f>P7</f>
        <v>0</v>
      </c>
      <c r="V24" s="66" t="e">
        <f>Y16+R24</f>
        <v>#VALUE!</v>
      </c>
      <c r="AA24" s="62"/>
      <c r="AB24" s="62"/>
      <c r="AM24" s="1427"/>
      <c r="AN24" s="1420"/>
      <c r="AO24" s="720" t="s">
        <v>41</v>
      </c>
      <c r="AP24" s="732" t="s">
        <v>559</v>
      </c>
      <c r="AQ24" s="85">
        <f t="shared" si="1"/>
        <v>0</v>
      </c>
    </row>
    <row r="25" spans="2:43" ht="16.5">
      <c r="B25" s="1427"/>
      <c r="C25" s="1420"/>
      <c r="D25" s="366" t="s">
        <v>42</v>
      </c>
      <c r="E25" s="59"/>
      <c r="F25" s="3" t="str">
        <f>加算と減算!U18</f>
        <v/>
      </c>
      <c r="G25" s="3" t="str">
        <f t="shared" si="20"/>
        <v/>
      </c>
      <c r="H25" s="3" t="str">
        <f t="shared" si="20"/>
        <v/>
      </c>
      <c r="I25" s="3" t="str">
        <f t="shared" si="20"/>
        <v/>
      </c>
      <c r="J25" s="3" t="str">
        <f t="shared" si="20"/>
        <v/>
      </c>
      <c r="K25" s="3" t="str">
        <f t="shared" si="20"/>
        <v/>
      </c>
      <c r="L25" s="3" t="str">
        <f t="shared" si="20"/>
        <v/>
      </c>
      <c r="M25" s="3" t="str">
        <f t="shared" si="20"/>
        <v/>
      </c>
      <c r="O25" s="1447"/>
      <c r="P25" s="632">
        <f>P8</f>
        <v>0</v>
      </c>
      <c r="Q25" s="3">
        <f>児童数!AE59</f>
        <v>0</v>
      </c>
      <c r="R25" s="64">
        <f t="shared" si="21"/>
        <v>0</v>
      </c>
      <c r="S25" s="4"/>
      <c r="T25" s="1447"/>
      <c r="U25" s="632">
        <f>P8</f>
        <v>0</v>
      </c>
      <c r="V25" s="67" t="e">
        <f>Y17+R25</f>
        <v>#VALUE!</v>
      </c>
      <c r="AA25" s="62"/>
      <c r="AB25" s="62"/>
      <c r="AM25" s="1427"/>
      <c r="AN25" s="1420"/>
      <c r="AO25" s="718" t="s">
        <v>42</v>
      </c>
      <c r="AP25" s="731" t="s">
        <v>353</v>
      </c>
      <c r="AQ25" s="85">
        <f t="shared" si="1"/>
        <v>0</v>
      </c>
    </row>
    <row r="26" spans="2:43" ht="16.5">
      <c r="B26" s="1427"/>
      <c r="C26" s="1421"/>
      <c r="D26" s="366" t="s">
        <v>80</v>
      </c>
      <c r="E26" s="59"/>
      <c r="F26" s="3">
        <f>IF(K2=0,0,ROUNDDOWN(IF(加算と減算!N26="○",加算と減算!U26,IF(加算と減算!N27="○",加算と減算!U27,IF(加算と減算!N28="○",加算と減算!U28,0)))/K2,-1))</f>
        <v>0</v>
      </c>
      <c r="G26" s="3">
        <f t="shared" si="20"/>
        <v>0</v>
      </c>
      <c r="H26" s="3">
        <f t="shared" si="20"/>
        <v>0</v>
      </c>
      <c r="I26" s="3">
        <f t="shared" si="20"/>
        <v>0</v>
      </c>
      <c r="J26" s="3">
        <f t="shared" si="20"/>
        <v>0</v>
      </c>
      <c r="K26" s="3">
        <f t="shared" si="20"/>
        <v>0</v>
      </c>
      <c r="L26" s="3">
        <f t="shared" si="20"/>
        <v>0</v>
      </c>
      <c r="M26" s="3">
        <f t="shared" si="20"/>
        <v>0</v>
      </c>
      <c r="O26" s="1447"/>
      <c r="P26" s="633">
        <f>P9</f>
        <v>0</v>
      </c>
      <c r="Q26" s="3">
        <f>児童数!AE73</f>
        <v>0</v>
      </c>
      <c r="R26" s="64">
        <f t="shared" si="21"/>
        <v>0</v>
      </c>
      <c r="S26" s="4"/>
      <c r="T26" s="1447"/>
      <c r="U26" s="633">
        <f>P9</f>
        <v>0</v>
      </c>
      <c r="V26" s="68" t="e">
        <f>Y18+R26</f>
        <v>#VALUE!</v>
      </c>
      <c r="AA26" s="62"/>
      <c r="AB26" s="62"/>
      <c r="AM26" s="1427"/>
      <c r="AN26" s="1421"/>
      <c r="AO26" s="720" t="s">
        <v>80</v>
      </c>
      <c r="AP26" s="731" t="s">
        <v>353</v>
      </c>
      <c r="AQ26" s="85">
        <f t="shared" si="1"/>
        <v>0</v>
      </c>
    </row>
    <row r="27" spans="2:43" ht="18.75" customHeight="1" thickBot="1">
      <c r="B27" s="1428"/>
      <c r="C27" s="1410" t="s">
        <v>44</v>
      </c>
      <c r="D27" s="1411"/>
      <c r="E27" s="53"/>
      <c r="F27" s="5" t="e">
        <f t="shared" ref="F27:M27" si="22">SUM(F6:F26)</f>
        <v>#VALUE!</v>
      </c>
      <c r="G27" s="5" t="e">
        <f t="shared" si="22"/>
        <v>#VALUE!</v>
      </c>
      <c r="H27" s="5" t="e">
        <f t="shared" si="22"/>
        <v>#VALUE!</v>
      </c>
      <c r="I27" s="5" t="e">
        <f t="shared" si="22"/>
        <v>#VALUE!</v>
      </c>
      <c r="J27" s="5" t="e">
        <f t="shared" si="22"/>
        <v>#VALUE!</v>
      </c>
      <c r="K27" s="5" t="e">
        <f t="shared" si="22"/>
        <v>#VALUE!</v>
      </c>
      <c r="L27" s="5" t="e">
        <f t="shared" si="22"/>
        <v>#VALUE!</v>
      </c>
      <c r="M27" s="5" t="e">
        <f t="shared" si="22"/>
        <v>#VALUE!</v>
      </c>
      <c r="O27" s="1447"/>
      <c r="P27" s="634">
        <f>P10</f>
        <v>0</v>
      </c>
      <c r="Q27" s="3">
        <f>児童数!AE87</f>
        <v>0</v>
      </c>
      <c r="R27" s="64">
        <f t="shared" si="21"/>
        <v>0</v>
      </c>
      <c r="S27" s="4"/>
      <c r="T27" s="1447"/>
      <c r="U27" s="634">
        <f>P10</f>
        <v>0</v>
      </c>
      <c r="V27" s="69" t="e">
        <f>Y19+R27</f>
        <v>#VALUE!</v>
      </c>
      <c r="AA27" s="62"/>
      <c r="AB27" s="62"/>
      <c r="AM27" s="1428"/>
      <c r="AN27" s="1425" t="s">
        <v>562</v>
      </c>
      <c r="AO27" s="1425"/>
      <c r="AP27" s="733" t="s">
        <v>376</v>
      </c>
      <c r="AQ27" s="85">
        <f>R28</f>
        <v>0</v>
      </c>
    </row>
    <row r="28" spans="2:43" ht="15.75" thickBot="1">
      <c r="B28" s="263"/>
      <c r="C28" s="58"/>
      <c r="D28" s="58"/>
      <c r="E28" s="58" t="s">
        <v>167</v>
      </c>
      <c r="F28" s="7" t="e">
        <f>F7+F9+F12+F16+F18</f>
        <v>#VALUE!</v>
      </c>
      <c r="G28" s="7" t="e">
        <f t="shared" ref="G28:M28" si="23">G7+G9+G12+G16+G18</f>
        <v>#VALUE!</v>
      </c>
      <c r="H28" s="7" t="e">
        <f t="shared" si="23"/>
        <v>#VALUE!</v>
      </c>
      <c r="I28" s="7" t="e">
        <f t="shared" si="23"/>
        <v>#VALUE!</v>
      </c>
      <c r="J28" s="7" t="e">
        <f t="shared" si="23"/>
        <v>#VALUE!</v>
      </c>
      <c r="K28" s="7" t="e">
        <f>K7+K9+K12+K16+K18</f>
        <v>#VALUE!</v>
      </c>
      <c r="L28" s="7" t="e">
        <f>L7+L9+L12+L16+L18</f>
        <v>#VALUE!</v>
      </c>
      <c r="M28" s="7" t="e">
        <f t="shared" si="23"/>
        <v>#VALUE!</v>
      </c>
      <c r="O28" s="1448"/>
      <c r="P28" s="635" t="s">
        <v>36</v>
      </c>
      <c r="Q28" s="3">
        <f>SUM(Q23:Q27)</f>
        <v>0</v>
      </c>
      <c r="R28" s="3">
        <f>SUM(R23:R27)</f>
        <v>0</v>
      </c>
      <c r="S28" s="4"/>
      <c r="T28" s="1448"/>
      <c r="U28" s="635" t="s">
        <v>36</v>
      </c>
      <c r="V28" s="70" t="e">
        <f>SUM(V23:V27)</f>
        <v>#VALUE!</v>
      </c>
      <c r="AA28" s="62"/>
      <c r="AB28" s="62"/>
      <c r="AG28" s="288" t="e">
        <f>SUMPRODUCT(F28:M28,Q11:X11)</f>
        <v>#VALUE!</v>
      </c>
      <c r="AM28" s="263"/>
      <c r="AN28" s="1410" t="s">
        <v>44</v>
      </c>
      <c r="AO28" s="1411"/>
      <c r="AP28" s="53"/>
      <c r="AQ28" s="85" t="e">
        <f>SUM(AQ6:AQ27)</f>
        <v>#VALUE!</v>
      </c>
    </row>
    <row r="29" spans="2:43" ht="15" customHeight="1">
      <c r="E29" s="1020" t="s">
        <v>703</v>
      </c>
      <c r="F29" s="264" t="e">
        <f>-ROUNDUP(SUM(F6:F9,F11:F19)*$V$2/100,-1)</f>
        <v>#VALUE!</v>
      </c>
      <c r="G29" s="264" t="e">
        <f t="shared" ref="G29:M29" si="24">-ROUNDUP(SUM(G6:G9,G11:G19)*$V$2/100,-1)</f>
        <v>#VALUE!</v>
      </c>
      <c r="H29" s="264" t="e">
        <f t="shared" si="24"/>
        <v>#VALUE!</v>
      </c>
      <c r="I29" s="264" t="e">
        <f t="shared" si="24"/>
        <v>#VALUE!</v>
      </c>
      <c r="J29" s="264" t="e">
        <f t="shared" si="24"/>
        <v>#VALUE!</v>
      </c>
      <c r="K29" s="264" t="e">
        <f t="shared" si="24"/>
        <v>#VALUE!</v>
      </c>
      <c r="L29" s="264" t="e">
        <f t="shared" si="24"/>
        <v>#VALUE!</v>
      </c>
      <c r="M29" s="264" t="e">
        <f t="shared" si="24"/>
        <v>#VALUE!</v>
      </c>
      <c r="O29" s="637"/>
      <c r="P29" s="637"/>
      <c r="Q29" s="637"/>
      <c r="R29" s="637"/>
      <c r="S29" s="637"/>
      <c r="T29" s="637"/>
      <c r="U29" s="637"/>
      <c r="V29" s="63"/>
      <c r="AA29" s="62"/>
      <c r="AB29" s="62"/>
      <c r="AO29" s="1"/>
      <c r="AP29" s="57"/>
    </row>
    <row r="30" spans="2:43" ht="15" customHeight="1">
      <c r="B30" s="1412" t="s">
        <v>3</v>
      </c>
      <c r="C30" s="1415"/>
      <c r="D30" s="1415"/>
      <c r="E30" s="1416" t="s">
        <v>172</v>
      </c>
      <c r="F30" s="1418" t="s">
        <v>15</v>
      </c>
      <c r="G30" s="1418"/>
      <c r="H30" s="1418"/>
      <c r="I30" s="1418"/>
      <c r="J30" s="1418" t="s">
        <v>16</v>
      </c>
      <c r="K30" s="1418"/>
      <c r="L30" s="1418"/>
      <c r="M30" s="1418"/>
      <c r="O30" s="1449" t="s">
        <v>40</v>
      </c>
      <c r="P30" s="1446" t="s">
        <v>171</v>
      </c>
      <c r="Q30" s="1440" t="s">
        <v>15</v>
      </c>
      <c r="R30" s="1440"/>
      <c r="S30" s="1440"/>
      <c r="T30" s="1440"/>
      <c r="U30" s="1440" t="s">
        <v>16</v>
      </c>
      <c r="V30" s="1440"/>
      <c r="W30" s="1440"/>
      <c r="X30" s="1440"/>
      <c r="Y30" s="1441" t="s">
        <v>177</v>
      </c>
      <c r="Z30" s="11"/>
      <c r="AA30" s="57"/>
      <c r="AB30" s="62"/>
      <c r="AM30" s="1412" t="s">
        <v>3</v>
      </c>
      <c r="AN30" s="1415"/>
      <c r="AO30" s="1415"/>
      <c r="AP30" s="1416" t="s">
        <v>172</v>
      </c>
      <c r="AQ30" s="85"/>
    </row>
    <row r="31" spans="2:43" s="1" customFormat="1">
      <c r="B31" s="1413"/>
      <c r="C31" s="1415"/>
      <c r="D31" s="1415"/>
      <c r="E31" s="1417"/>
      <c r="F31" s="370" t="s">
        <v>6</v>
      </c>
      <c r="G31" s="370" t="s">
        <v>7</v>
      </c>
      <c r="H31" s="370" t="s">
        <v>8</v>
      </c>
      <c r="I31" s="370" t="s">
        <v>9</v>
      </c>
      <c r="J31" s="370" t="s">
        <v>6</v>
      </c>
      <c r="K31" s="370" t="s">
        <v>7</v>
      </c>
      <c r="L31" s="370" t="s">
        <v>8</v>
      </c>
      <c r="M31" s="370" t="s">
        <v>9</v>
      </c>
      <c r="N31" s="2"/>
      <c r="O31" s="1444"/>
      <c r="P31" s="1446"/>
      <c r="Q31" s="368" t="s">
        <v>6</v>
      </c>
      <c r="R31" s="368" t="s">
        <v>7</v>
      </c>
      <c r="S31" s="368" t="s">
        <v>8</v>
      </c>
      <c r="T31" s="368" t="s">
        <v>9</v>
      </c>
      <c r="U31" s="368" t="s">
        <v>6</v>
      </c>
      <c r="V31" s="368" t="s">
        <v>7</v>
      </c>
      <c r="W31" s="368" t="s">
        <v>8</v>
      </c>
      <c r="X31" s="368" t="s">
        <v>9</v>
      </c>
      <c r="Y31" s="1442"/>
      <c r="Z31" s="11"/>
      <c r="AA31" s="57"/>
      <c r="AB31" s="57"/>
      <c r="AE31" s="2"/>
      <c r="AM31" s="1413"/>
      <c r="AN31" s="1415"/>
      <c r="AO31" s="1415"/>
      <c r="AP31" s="1417"/>
      <c r="AQ31" s="85"/>
    </row>
    <row r="32" spans="2:43" s="1" customFormat="1">
      <c r="B32" s="1413"/>
      <c r="C32" s="1418" t="s">
        <v>17</v>
      </c>
      <c r="D32" s="1418"/>
      <c r="E32" s="53" t="s">
        <v>169</v>
      </c>
      <c r="F32" s="3">
        <f>単価表!AV23</f>
        <v>0</v>
      </c>
      <c r="G32" s="3">
        <f>単価表!AV25</f>
        <v>0</v>
      </c>
      <c r="H32" s="3">
        <f>単価表!AV27</f>
        <v>0</v>
      </c>
      <c r="I32" s="3">
        <f>単価表!AV29</f>
        <v>0</v>
      </c>
      <c r="J32" s="3">
        <f>単価表!AW23</f>
        <v>0</v>
      </c>
      <c r="K32" s="3">
        <f>単価表!AW25</f>
        <v>0</v>
      </c>
      <c r="L32" s="3">
        <f>単価表!AW27</f>
        <v>0</v>
      </c>
      <c r="M32" s="3">
        <f>単価表!AW29</f>
        <v>0</v>
      </c>
      <c r="O32" s="1444"/>
      <c r="P32" s="630">
        <f>P6</f>
        <v>0</v>
      </c>
      <c r="Q32" s="3">
        <f>児童数!R31</f>
        <v>0</v>
      </c>
      <c r="R32" s="3">
        <f>児童数!S31</f>
        <v>0</v>
      </c>
      <c r="S32" s="3">
        <f>児童数!T31</f>
        <v>0</v>
      </c>
      <c r="T32" s="3">
        <f>児童数!U31</f>
        <v>0</v>
      </c>
      <c r="U32" s="3">
        <f>児童数!W31</f>
        <v>0</v>
      </c>
      <c r="V32" s="3">
        <f>児童数!X31</f>
        <v>0</v>
      </c>
      <c r="W32" s="3">
        <f>児童数!Y31</f>
        <v>0</v>
      </c>
      <c r="X32" s="3">
        <f>児童数!Z31</f>
        <v>0</v>
      </c>
      <c r="Y32" s="64">
        <f>SUM(Q32:X32)</f>
        <v>0</v>
      </c>
      <c r="Z32" s="2"/>
      <c r="AA32" s="57"/>
      <c r="AB32" s="57"/>
      <c r="AM32" s="1413"/>
      <c r="AN32" s="1418" t="s">
        <v>17</v>
      </c>
      <c r="AO32" s="1418"/>
      <c r="AP32" s="53" t="s">
        <v>169</v>
      </c>
      <c r="AQ32" s="85">
        <f>SUMPRODUCT(F32:M32,$Q$37:$X$37)</f>
        <v>0</v>
      </c>
    </row>
    <row r="33" spans="2:43" s="1" customFormat="1" ht="15" customHeight="1">
      <c r="B33" s="1413"/>
      <c r="C33" s="1418"/>
      <c r="D33" s="1418"/>
      <c r="E33" s="53" t="s">
        <v>167</v>
      </c>
      <c r="F33" s="3">
        <f>単価表!AX23*基本情報!G7</f>
        <v>0</v>
      </c>
      <c r="G33" s="3">
        <f>単価表!AX25*基本情報!G7</f>
        <v>0</v>
      </c>
      <c r="H33" s="3">
        <f>単価表!AX27*基本情報!G7</f>
        <v>0</v>
      </c>
      <c r="I33" s="3">
        <f>単価表!AX29*基本情報!G7</f>
        <v>0</v>
      </c>
      <c r="J33" s="3">
        <f>単価表!AY23*基本情報!G7</f>
        <v>0</v>
      </c>
      <c r="K33" s="3">
        <f>単価表!AY25*基本情報!G7</f>
        <v>0</v>
      </c>
      <c r="L33" s="3">
        <f>単価表!AY27*基本情報!G7</f>
        <v>0</v>
      </c>
      <c r="M33" s="3">
        <f>単価表!AY29*基本情報!G7</f>
        <v>0</v>
      </c>
      <c r="O33" s="1444"/>
      <c r="P33" s="631">
        <f>P7</f>
        <v>0</v>
      </c>
      <c r="Q33" s="3">
        <f>児童数!R45</f>
        <v>0</v>
      </c>
      <c r="R33" s="3">
        <f>児童数!S45</f>
        <v>0</v>
      </c>
      <c r="S33" s="3">
        <f>児童数!T45</f>
        <v>0</v>
      </c>
      <c r="T33" s="3">
        <f>児童数!U45</f>
        <v>0</v>
      </c>
      <c r="U33" s="3">
        <f>児童数!W45</f>
        <v>0</v>
      </c>
      <c r="V33" s="3">
        <f>児童数!X45</f>
        <v>0</v>
      </c>
      <c r="W33" s="3">
        <f>児童数!Y45</f>
        <v>0</v>
      </c>
      <c r="X33" s="3">
        <f>児童数!Z45</f>
        <v>0</v>
      </c>
      <c r="Y33" s="64">
        <f t="shared" ref="Y33:Y36" si="25">SUM(Q33:X33)</f>
        <v>0</v>
      </c>
      <c r="Z33" s="2"/>
      <c r="AA33" s="62"/>
      <c r="AB33" s="57"/>
      <c r="AM33" s="1413"/>
      <c r="AN33" s="1418"/>
      <c r="AO33" s="1418"/>
      <c r="AP33" s="53" t="s">
        <v>167</v>
      </c>
      <c r="AQ33" s="85">
        <f t="shared" ref="AQ33:AQ53" si="26">SUMPRODUCT(F33:M33,$Q$37:$X$37)</f>
        <v>0</v>
      </c>
    </row>
    <row r="34" spans="2:43" ht="16.5">
      <c r="B34" s="1413"/>
      <c r="C34" s="1419" t="s">
        <v>203</v>
      </c>
      <c r="D34" s="1422" t="s">
        <v>37</v>
      </c>
      <c r="E34" s="53" t="s">
        <v>169</v>
      </c>
      <c r="F34" s="6"/>
      <c r="G34" s="3">
        <f>IF(基本情報!E5="",0,G8)</f>
        <v>0</v>
      </c>
      <c r="H34" s="6"/>
      <c r="I34" s="6"/>
      <c r="J34" s="6"/>
      <c r="K34" s="3">
        <f>IF(基本情報!E5="",0,K8)</f>
        <v>0</v>
      </c>
      <c r="L34" s="6"/>
      <c r="M34" s="6"/>
      <c r="N34" s="1"/>
      <c r="O34" s="1444"/>
      <c r="P34" s="632">
        <f>P8</f>
        <v>0</v>
      </c>
      <c r="Q34" s="3">
        <f>児童数!R59</f>
        <v>0</v>
      </c>
      <c r="R34" s="3">
        <f>児童数!S59</f>
        <v>0</v>
      </c>
      <c r="S34" s="3">
        <f>児童数!T59</f>
        <v>0</v>
      </c>
      <c r="T34" s="3">
        <f>児童数!U59</f>
        <v>0</v>
      </c>
      <c r="U34" s="3">
        <f>児童数!W59</f>
        <v>0</v>
      </c>
      <c r="V34" s="3">
        <f>児童数!X59</f>
        <v>0</v>
      </c>
      <c r="W34" s="3">
        <f>児童数!Y59</f>
        <v>0</v>
      </c>
      <c r="X34" s="3">
        <f>児童数!Z59</f>
        <v>0</v>
      </c>
      <c r="Y34" s="64">
        <f t="shared" si="25"/>
        <v>0</v>
      </c>
      <c r="AA34" s="62"/>
      <c r="AB34" s="62"/>
      <c r="AE34" s="1"/>
      <c r="AM34" s="1413"/>
      <c r="AN34" s="1419" t="s">
        <v>203</v>
      </c>
      <c r="AO34" s="1422" t="s">
        <v>37</v>
      </c>
      <c r="AP34" s="732" t="s">
        <v>559</v>
      </c>
      <c r="AQ34" s="85">
        <f t="shared" si="26"/>
        <v>0</v>
      </c>
    </row>
    <row r="35" spans="2:43">
      <c r="B35" s="1413"/>
      <c r="C35" s="1420"/>
      <c r="D35" s="1422"/>
      <c r="E35" s="53" t="s">
        <v>167</v>
      </c>
      <c r="F35" s="6"/>
      <c r="G35" s="3">
        <f>IF(基本情報!E5="",0,G9)</f>
        <v>0</v>
      </c>
      <c r="H35" s="6"/>
      <c r="I35" s="6"/>
      <c r="J35" s="6"/>
      <c r="K35" s="3">
        <f>IF(基本情報!E5="",0,K9)</f>
        <v>0</v>
      </c>
      <c r="L35" s="6"/>
      <c r="M35" s="6"/>
      <c r="O35" s="1444"/>
      <c r="P35" s="633">
        <f>P9</f>
        <v>0</v>
      </c>
      <c r="Q35" s="3">
        <f>児童数!R73</f>
        <v>0</v>
      </c>
      <c r="R35" s="3">
        <f>児童数!S73</f>
        <v>0</v>
      </c>
      <c r="S35" s="3">
        <f>児童数!T73</f>
        <v>0</v>
      </c>
      <c r="T35" s="3">
        <f>児童数!U73</f>
        <v>0</v>
      </c>
      <c r="U35" s="3">
        <f>児童数!W73</f>
        <v>0</v>
      </c>
      <c r="V35" s="3">
        <f>児童数!X73</f>
        <v>0</v>
      </c>
      <c r="W35" s="3">
        <f>児童数!Y73</f>
        <v>0</v>
      </c>
      <c r="X35" s="3">
        <f>児童数!Z73</f>
        <v>0</v>
      </c>
      <c r="Y35" s="64">
        <f t="shared" si="25"/>
        <v>0</v>
      </c>
      <c r="AA35" s="62"/>
      <c r="AB35" s="62"/>
      <c r="AM35" s="1413"/>
      <c r="AN35" s="1420"/>
      <c r="AO35" s="1422"/>
      <c r="AP35" s="53" t="s">
        <v>167</v>
      </c>
      <c r="AQ35" s="85">
        <f t="shared" si="26"/>
        <v>0</v>
      </c>
    </row>
    <row r="36" spans="2:43">
      <c r="B36" s="1413"/>
      <c r="C36" s="1420"/>
      <c r="D36" s="383" t="s">
        <v>69</v>
      </c>
      <c r="E36" s="60"/>
      <c r="F36" s="3">
        <f>IF(基本情報!E5="",0,F10)</f>
        <v>0</v>
      </c>
      <c r="G36" s="3">
        <f>$F36</f>
        <v>0</v>
      </c>
      <c r="H36" s="3">
        <f t="shared" ref="H36:M36" si="27">$F36</f>
        <v>0</v>
      </c>
      <c r="I36" s="3">
        <f t="shared" si="27"/>
        <v>0</v>
      </c>
      <c r="J36" s="3">
        <f t="shared" si="27"/>
        <v>0</v>
      </c>
      <c r="K36" s="3">
        <f t="shared" si="27"/>
        <v>0</v>
      </c>
      <c r="L36" s="3">
        <f t="shared" si="27"/>
        <v>0</v>
      </c>
      <c r="M36" s="3">
        <f t="shared" si="27"/>
        <v>0</v>
      </c>
      <c r="O36" s="1444"/>
      <c r="P36" s="634">
        <f>P10</f>
        <v>0</v>
      </c>
      <c r="Q36" s="3">
        <f>児童数!R87</f>
        <v>0</v>
      </c>
      <c r="R36" s="3">
        <f>児童数!S87</f>
        <v>0</v>
      </c>
      <c r="S36" s="3">
        <f>児童数!T87</f>
        <v>0</v>
      </c>
      <c r="T36" s="3">
        <f>児童数!U87</f>
        <v>0</v>
      </c>
      <c r="U36" s="3">
        <f>児童数!W87</f>
        <v>0</v>
      </c>
      <c r="V36" s="3">
        <f>児童数!X87</f>
        <v>0</v>
      </c>
      <c r="W36" s="3">
        <f>児童数!Y87</f>
        <v>0</v>
      </c>
      <c r="X36" s="3">
        <f>児童数!Z87</f>
        <v>0</v>
      </c>
      <c r="Y36" s="64">
        <f t="shared" si="25"/>
        <v>0</v>
      </c>
      <c r="AA36" s="62"/>
      <c r="AB36" s="62"/>
      <c r="AM36" s="1413"/>
      <c r="AN36" s="1420"/>
      <c r="AO36" s="383" t="s">
        <v>69</v>
      </c>
      <c r="AP36" s="629"/>
      <c r="AQ36" s="85">
        <f t="shared" si="26"/>
        <v>0</v>
      </c>
    </row>
    <row r="37" spans="2:43">
      <c r="B37" s="1413"/>
      <c r="C37" s="1420"/>
      <c r="D37" s="1422" t="s">
        <v>161</v>
      </c>
      <c r="E37" s="53" t="s">
        <v>169</v>
      </c>
      <c r="F37" s="3">
        <f>IF(基本情報!E5="",0,F11)</f>
        <v>0</v>
      </c>
      <c r="G37" s="3">
        <f>F37</f>
        <v>0</v>
      </c>
      <c r="H37" s="3">
        <f>IF(基本情報!E5="",0,H11)</f>
        <v>0</v>
      </c>
      <c r="I37" s="3">
        <f>H37</f>
        <v>0</v>
      </c>
      <c r="J37" s="3">
        <f>F37</f>
        <v>0</v>
      </c>
      <c r="K37" s="3">
        <f>F37</f>
        <v>0</v>
      </c>
      <c r="L37" s="3">
        <f>H37</f>
        <v>0</v>
      </c>
      <c r="M37" s="3">
        <f>H37</f>
        <v>0</v>
      </c>
      <c r="O37" s="1445"/>
      <c r="P37" s="635" t="s">
        <v>36</v>
      </c>
      <c r="Q37" s="3">
        <f>SUM(Q32:Q36)</f>
        <v>0</v>
      </c>
      <c r="R37" s="3">
        <f t="shared" ref="R37:Y37" si="28">SUM(R32:R36)</f>
        <v>0</v>
      </c>
      <c r="S37" s="3">
        <f t="shared" si="28"/>
        <v>0</v>
      </c>
      <c r="T37" s="3">
        <f t="shared" si="28"/>
        <v>0</v>
      </c>
      <c r="U37" s="3">
        <f t="shared" si="28"/>
        <v>0</v>
      </c>
      <c r="V37" s="3">
        <f t="shared" si="28"/>
        <v>0</v>
      </c>
      <c r="W37" s="3">
        <f t="shared" si="28"/>
        <v>0</v>
      </c>
      <c r="X37" s="3">
        <f t="shared" si="28"/>
        <v>0</v>
      </c>
      <c r="Y37" s="3">
        <f t="shared" si="28"/>
        <v>0</v>
      </c>
      <c r="Z37" s="55" t="s">
        <v>176</v>
      </c>
      <c r="AA37" s="71" t="str">
        <f>IF(SUM(Q37:X37)=I2,"OK",SUM(Q37:X37)-G27)</f>
        <v>OK</v>
      </c>
      <c r="AM37" s="1413"/>
      <c r="AN37" s="1420"/>
      <c r="AO37" s="1422" t="s">
        <v>161</v>
      </c>
      <c r="AP37" s="53" t="s">
        <v>169</v>
      </c>
      <c r="AQ37" s="85">
        <f t="shared" si="26"/>
        <v>0</v>
      </c>
    </row>
    <row r="38" spans="2:43">
      <c r="B38" s="1413"/>
      <c r="C38" s="1420"/>
      <c r="D38" s="1422"/>
      <c r="E38" s="53" t="s">
        <v>167</v>
      </c>
      <c r="F38" s="3">
        <f>IF(基本情報!E5="",0,F12)</f>
        <v>0</v>
      </c>
      <c r="G38" s="3">
        <f t="shared" ref="G38:M42" si="29">$F38</f>
        <v>0</v>
      </c>
      <c r="H38" s="3">
        <f t="shared" si="29"/>
        <v>0</v>
      </c>
      <c r="I38" s="3">
        <f t="shared" si="29"/>
        <v>0</v>
      </c>
      <c r="J38" s="3">
        <f t="shared" si="29"/>
        <v>0</v>
      </c>
      <c r="K38" s="3">
        <f t="shared" si="29"/>
        <v>0</v>
      </c>
      <c r="L38" s="3">
        <f t="shared" si="29"/>
        <v>0</v>
      </c>
      <c r="M38" s="3">
        <f t="shared" si="29"/>
        <v>0</v>
      </c>
      <c r="O38" s="58"/>
      <c r="P38" s="58"/>
      <c r="Q38" s="10"/>
      <c r="R38" s="10"/>
      <c r="S38" s="10"/>
      <c r="T38" s="10"/>
      <c r="U38" s="10"/>
      <c r="V38" s="10"/>
      <c r="W38" s="10"/>
      <c r="X38" s="10"/>
      <c r="Y38" s="11"/>
      <c r="Z38" s="11"/>
      <c r="AM38" s="1413"/>
      <c r="AN38" s="1420"/>
      <c r="AO38" s="1422"/>
      <c r="AP38" s="53" t="s">
        <v>167</v>
      </c>
      <c r="AQ38" s="85">
        <f t="shared" si="26"/>
        <v>0</v>
      </c>
    </row>
    <row r="39" spans="2:43" ht="16.5">
      <c r="B39" s="1413"/>
      <c r="C39" s="1420"/>
      <c r="D39" s="366" t="s">
        <v>162</v>
      </c>
      <c r="E39" s="59"/>
      <c r="F39" s="3">
        <f>IF(基本情報!E5="",0,F13)</f>
        <v>0</v>
      </c>
      <c r="G39" s="3">
        <f t="shared" si="29"/>
        <v>0</v>
      </c>
      <c r="H39" s="3">
        <f t="shared" si="29"/>
        <v>0</v>
      </c>
      <c r="I39" s="3">
        <f t="shared" si="29"/>
        <v>0</v>
      </c>
      <c r="J39" s="3">
        <f t="shared" si="29"/>
        <v>0</v>
      </c>
      <c r="K39" s="3">
        <f t="shared" si="29"/>
        <v>0</v>
      </c>
      <c r="L39" s="3">
        <f t="shared" si="29"/>
        <v>0</v>
      </c>
      <c r="M39" s="3">
        <f t="shared" si="29"/>
        <v>0</v>
      </c>
      <c r="O39" s="1443" t="s">
        <v>189</v>
      </c>
      <c r="P39" s="1446" t="s">
        <v>171</v>
      </c>
      <c r="Q39" s="1440" t="s">
        <v>15</v>
      </c>
      <c r="R39" s="1440"/>
      <c r="S39" s="1440"/>
      <c r="T39" s="1440"/>
      <c r="U39" s="1440" t="s">
        <v>16</v>
      </c>
      <c r="V39" s="1440"/>
      <c r="W39" s="1440"/>
      <c r="X39" s="1440"/>
      <c r="Y39" s="1441" t="s">
        <v>177</v>
      </c>
      <c r="AM39" s="1413"/>
      <c r="AN39" s="1420"/>
      <c r="AO39" s="720" t="s">
        <v>162</v>
      </c>
      <c r="AP39" s="731" t="s">
        <v>353</v>
      </c>
      <c r="AQ39" s="85">
        <f t="shared" si="26"/>
        <v>0</v>
      </c>
    </row>
    <row r="40" spans="2:43" ht="16.5">
      <c r="B40" s="1413"/>
      <c r="C40" s="1420"/>
      <c r="D40" s="366" t="s">
        <v>54</v>
      </c>
      <c r="E40" s="59"/>
      <c r="F40" s="3">
        <f>IF(基本情報!E5="",0,F14)</f>
        <v>0</v>
      </c>
      <c r="G40" s="3">
        <f t="shared" si="29"/>
        <v>0</v>
      </c>
      <c r="H40" s="3">
        <f t="shared" si="29"/>
        <v>0</v>
      </c>
      <c r="I40" s="3">
        <f t="shared" si="29"/>
        <v>0</v>
      </c>
      <c r="J40" s="3">
        <f t="shared" si="29"/>
        <v>0</v>
      </c>
      <c r="K40" s="3">
        <f t="shared" si="29"/>
        <v>0</v>
      </c>
      <c r="L40" s="3">
        <f t="shared" si="29"/>
        <v>0</v>
      </c>
      <c r="M40" s="3">
        <f t="shared" si="29"/>
        <v>0</v>
      </c>
      <c r="O40" s="1444"/>
      <c r="P40" s="1446"/>
      <c r="Q40" s="368" t="s">
        <v>6</v>
      </c>
      <c r="R40" s="368" t="s">
        <v>7</v>
      </c>
      <c r="S40" s="368" t="s">
        <v>8</v>
      </c>
      <c r="T40" s="368" t="s">
        <v>9</v>
      </c>
      <c r="U40" s="368" t="s">
        <v>6</v>
      </c>
      <c r="V40" s="368" t="s">
        <v>7</v>
      </c>
      <c r="W40" s="368" t="s">
        <v>8</v>
      </c>
      <c r="X40" s="368" t="s">
        <v>9</v>
      </c>
      <c r="Y40" s="1442"/>
      <c r="AM40" s="1413"/>
      <c r="AN40" s="1420"/>
      <c r="AO40" s="720" t="s">
        <v>54</v>
      </c>
      <c r="AP40" s="731" t="s">
        <v>353</v>
      </c>
      <c r="AQ40" s="85">
        <f t="shared" si="26"/>
        <v>0</v>
      </c>
    </row>
    <row r="41" spans="2:43" ht="16.5">
      <c r="B41" s="1413"/>
      <c r="C41" s="1420"/>
      <c r="D41" s="1422" t="s">
        <v>38</v>
      </c>
      <c r="E41" s="53" t="s">
        <v>169</v>
      </c>
      <c r="F41" s="3">
        <f>IF(基本情報!E5="",0,F15)</f>
        <v>0</v>
      </c>
      <c r="G41" s="3">
        <f t="shared" si="29"/>
        <v>0</v>
      </c>
      <c r="H41" s="3">
        <f t="shared" si="29"/>
        <v>0</v>
      </c>
      <c r="I41" s="3">
        <f t="shared" si="29"/>
        <v>0</v>
      </c>
      <c r="J41" s="3">
        <f t="shared" si="29"/>
        <v>0</v>
      </c>
      <c r="K41" s="3">
        <f t="shared" si="29"/>
        <v>0</v>
      </c>
      <c r="L41" s="3">
        <f t="shared" si="29"/>
        <v>0</v>
      </c>
      <c r="M41" s="3">
        <f t="shared" si="29"/>
        <v>0</v>
      </c>
      <c r="O41" s="1444"/>
      <c r="P41" s="630">
        <f>P32</f>
        <v>0</v>
      </c>
      <c r="Q41" s="3">
        <f t="shared" ref="Q41:X41" si="30">F54*Q32</f>
        <v>0</v>
      </c>
      <c r="R41" s="3">
        <f t="shared" si="30"/>
        <v>0</v>
      </c>
      <c r="S41" s="3">
        <f t="shared" si="30"/>
        <v>0</v>
      </c>
      <c r="T41" s="3">
        <f t="shared" si="30"/>
        <v>0</v>
      </c>
      <c r="U41" s="3">
        <f t="shared" si="30"/>
        <v>0</v>
      </c>
      <c r="V41" s="3">
        <f t="shared" si="30"/>
        <v>0</v>
      </c>
      <c r="W41" s="3">
        <f t="shared" si="30"/>
        <v>0</v>
      </c>
      <c r="X41" s="3">
        <f t="shared" si="30"/>
        <v>0</v>
      </c>
      <c r="Y41" s="3">
        <f>SUM(Q41:X41)</f>
        <v>0</v>
      </c>
      <c r="AM41" s="1413"/>
      <c r="AN41" s="1420"/>
      <c r="AO41" s="1422" t="s">
        <v>38</v>
      </c>
      <c r="AP41" s="732" t="s">
        <v>559</v>
      </c>
      <c r="AQ41" s="85">
        <f t="shared" si="26"/>
        <v>0</v>
      </c>
    </row>
    <row r="42" spans="2:43">
      <c r="B42" s="1413"/>
      <c r="C42" s="1421"/>
      <c r="D42" s="1422"/>
      <c r="E42" s="53" t="s">
        <v>167</v>
      </c>
      <c r="F42" s="3">
        <f>IF(基本情報!E5="",0,F16)</f>
        <v>0</v>
      </c>
      <c r="G42" s="3">
        <f t="shared" si="29"/>
        <v>0</v>
      </c>
      <c r="H42" s="3">
        <f t="shared" si="29"/>
        <v>0</v>
      </c>
      <c r="I42" s="3">
        <f t="shared" si="29"/>
        <v>0</v>
      </c>
      <c r="J42" s="3">
        <f t="shared" si="29"/>
        <v>0</v>
      </c>
      <c r="K42" s="3">
        <f t="shared" si="29"/>
        <v>0</v>
      </c>
      <c r="L42" s="3">
        <f t="shared" si="29"/>
        <v>0</v>
      </c>
      <c r="M42" s="3">
        <f t="shared" si="29"/>
        <v>0</v>
      </c>
      <c r="O42" s="1444"/>
      <c r="P42" s="631">
        <f>P33</f>
        <v>0</v>
      </c>
      <c r="Q42" s="3">
        <f t="shared" ref="Q42:X42" si="31">F54*Q33</f>
        <v>0</v>
      </c>
      <c r="R42" s="3">
        <f t="shared" si="31"/>
        <v>0</v>
      </c>
      <c r="S42" s="3">
        <f t="shared" si="31"/>
        <v>0</v>
      </c>
      <c r="T42" s="3">
        <f t="shared" si="31"/>
        <v>0</v>
      </c>
      <c r="U42" s="3">
        <f t="shared" si="31"/>
        <v>0</v>
      </c>
      <c r="V42" s="3">
        <f t="shared" si="31"/>
        <v>0</v>
      </c>
      <c r="W42" s="3">
        <f t="shared" si="31"/>
        <v>0</v>
      </c>
      <c r="X42" s="3">
        <f t="shared" si="31"/>
        <v>0</v>
      </c>
      <c r="Y42" s="3">
        <f t="shared" ref="Y42:Y45" si="32">SUM(Q42:X42)</f>
        <v>0</v>
      </c>
      <c r="AM42" s="1413"/>
      <c r="AN42" s="1421"/>
      <c r="AO42" s="1422"/>
      <c r="AP42" s="53" t="s">
        <v>167</v>
      </c>
      <c r="AQ42" s="85">
        <f t="shared" si="26"/>
        <v>0</v>
      </c>
    </row>
    <row r="43" spans="2:43">
      <c r="B43" s="1413"/>
      <c r="C43" s="1423" t="s">
        <v>205</v>
      </c>
      <c r="D43" s="371" t="s">
        <v>164</v>
      </c>
      <c r="E43" s="60"/>
      <c r="F43" s="3">
        <f t="shared" ref="F43:M43" si="33">-ROUNDDOWN((F32+F33)*$P$2%,-1)</f>
        <v>0</v>
      </c>
      <c r="G43" s="3">
        <f t="shared" si="33"/>
        <v>0</v>
      </c>
      <c r="H43" s="3">
        <f t="shared" si="33"/>
        <v>0</v>
      </c>
      <c r="I43" s="3">
        <f t="shared" si="33"/>
        <v>0</v>
      </c>
      <c r="J43" s="3">
        <f t="shared" si="33"/>
        <v>0</v>
      </c>
      <c r="K43" s="3">
        <f t="shared" si="33"/>
        <v>0</v>
      </c>
      <c r="L43" s="3">
        <f t="shared" si="33"/>
        <v>0</v>
      </c>
      <c r="M43" s="3">
        <f t="shared" si="33"/>
        <v>0</v>
      </c>
      <c r="O43" s="1444"/>
      <c r="P43" s="632">
        <f>P34</f>
        <v>0</v>
      </c>
      <c r="Q43" s="3">
        <f t="shared" ref="Q43:X43" si="34">F54*Q34</f>
        <v>0</v>
      </c>
      <c r="R43" s="3">
        <f t="shared" si="34"/>
        <v>0</v>
      </c>
      <c r="S43" s="3">
        <f t="shared" si="34"/>
        <v>0</v>
      </c>
      <c r="T43" s="3">
        <f t="shared" si="34"/>
        <v>0</v>
      </c>
      <c r="U43" s="3">
        <f t="shared" si="34"/>
        <v>0</v>
      </c>
      <c r="V43" s="3">
        <f t="shared" si="34"/>
        <v>0</v>
      </c>
      <c r="W43" s="3">
        <f t="shared" si="34"/>
        <v>0</v>
      </c>
      <c r="X43" s="3">
        <f t="shared" si="34"/>
        <v>0</v>
      </c>
      <c r="Y43" s="3">
        <f t="shared" si="32"/>
        <v>0</v>
      </c>
      <c r="AM43" s="1413"/>
      <c r="AN43" s="1423" t="s">
        <v>205</v>
      </c>
      <c r="AO43" s="717" t="s">
        <v>164</v>
      </c>
      <c r="AP43" s="60"/>
      <c r="AQ43" s="85">
        <f t="shared" si="26"/>
        <v>0</v>
      </c>
    </row>
    <row r="44" spans="2:43">
      <c r="B44" s="1413"/>
      <c r="C44" s="1423"/>
      <c r="D44" s="1424" t="s">
        <v>43</v>
      </c>
      <c r="E44" s="53" t="s">
        <v>169</v>
      </c>
      <c r="F44" s="74">
        <f>IF(基本情報!E5="",0,-IF(加算と減算!N32="○",単価表!AZ23,0))</f>
        <v>0</v>
      </c>
      <c r="G44" s="74">
        <f>F44</f>
        <v>0</v>
      </c>
      <c r="H44" s="74">
        <f>F44</f>
        <v>0</v>
      </c>
      <c r="I44" s="74">
        <f>F44</f>
        <v>0</v>
      </c>
      <c r="J44" s="74">
        <f>F44</f>
        <v>0</v>
      </c>
      <c r="K44" s="74">
        <f>F44</f>
        <v>0</v>
      </c>
      <c r="L44" s="74">
        <f>F44</f>
        <v>0</v>
      </c>
      <c r="M44" s="74">
        <f>F44</f>
        <v>0</v>
      </c>
      <c r="O44" s="1444"/>
      <c r="P44" s="633">
        <f>P35</f>
        <v>0</v>
      </c>
      <c r="Q44" s="3">
        <f t="shared" ref="Q44:X44" si="35">F54*Q35</f>
        <v>0</v>
      </c>
      <c r="R44" s="3">
        <f t="shared" si="35"/>
        <v>0</v>
      </c>
      <c r="S44" s="3">
        <f t="shared" si="35"/>
        <v>0</v>
      </c>
      <c r="T44" s="3">
        <f t="shared" si="35"/>
        <v>0</v>
      </c>
      <c r="U44" s="3">
        <f t="shared" si="35"/>
        <v>0</v>
      </c>
      <c r="V44" s="3">
        <f t="shared" si="35"/>
        <v>0</v>
      </c>
      <c r="W44" s="3">
        <f t="shared" si="35"/>
        <v>0</v>
      </c>
      <c r="X44" s="3">
        <f t="shared" si="35"/>
        <v>0</v>
      </c>
      <c r="Y44" s="3">
        <f t="shared" si="32"/>
        <v>0</v>
      </c>
      <c r="AM44" s="1413"/>
      <c r="AN44" s="1423"/>
      <c r="AO44" s="1424" t="s">
        <v>43</v>
      </c>
      <c r="AP44" s="53" t="s">
        <v>169</v>
      </c>
      <c r="AQ44" s="85">
        <f t="shared" si="26"/>
        <v>0</v>
      </c>
    </row>
    <row r="45" spans="2:43">
      <c r="B45" s="1413"/>
      <c r="C45" s="1423"/>
      <c r="D45" s="1424"/>
      <c r="E45" s="53" t="s">
        <v>167</v>
      </c>
      <c r="F45" s="74">
        <f>IF(基本情報!E5="",0,-IF(加算と減算!N32="○",単価表!BA23*基本情報!G7,0))</f>
        <v>0</v>
      </c>
      <c r="G45" s="74">
        <f>F45</f>
        <v>0</v>
      </c>
      <c r="H45" s="74">
        <f>F45</f>
        <v>0</v>
      </c>
      <c r="I45" s="74">
        <f>F45</f>
        <v>0</v>
      </c>
      <c r="J45" s="74">
        <f>F45</f>
        <v>0</v>
      </c>
      <c r="K45" s="74">
        <f>F45</f>
        <v>0</v>
      </c>
      <c r="L45" s="74">
        <f>F45</f>
        <v>0</v>
      </c>
      <c r="M45" s="74">
        <f>F45</f>
        <v>0</v>
      </c>
      <c r="O45" s="1444"/>
      <c r="P45" s="634">
        <f>P36</f>
        <v>0</v>
      </c>
      <c r="Q45" s="3">
        <f t="shared" ref="Q45:X45" si="36">F54*Q36</f>
        <v>0</v>
      </c>
      <c r="R45" s="3">
        <f t="shared" si="36"/>
        <v>0</v>
      </c>
      <c r="S45" s="3">
        <f t="shared" si="36"/>
        <v>0</v>
      </c>
      <c r="T45" s="3">
        <f t="shared" si="36"/>
        <v>0</v>
      </c>
      <c r="U45" s="3">
        <f t="shared" si="36"/>
        <v>0</v>
      </c>
      <c r="V45" s="3">
        <f t="shared" si="36"/>
        <v>0</v>
      </c>
      <c r="W45" s="3">
        <f t="shared" si="36"/>
        <v>0</v>
      </c>
      <c r="X45" s="3">
        <f t="shared" si="36"/>
        <v>0</v>
      </c>
      <c r="Y45" s="3">
        <f t="shared" si="32"/>
        <v>0</v>
      </c>
      <c r="AM45" s="1413"/>
      <c r="AN45" s="1423"/>
      <c r="AO45" s="1424"/>
      <c r="AP45" s="53" t="s">
        <v>167</v>
      </c>
      <c r="AQ45" s="85">
        <f t="shared" si="26"/>
        <v>0</v>
      </c>
    </row>
    <row r="46" spans="2:43">
      <c r="B46" s="1413"/>
      <c r="C46" s="1423"/>
      <c r="D46" s="371" t="s">
        <v>165</v>
      </c>
      <c r="E46" s="60"/>
      <c r="F46" s="74">
        <f t="shared" ref="F46:M46" si="37">-ROUNDDOWN((F32+F33+F37+F38+F34+F35)*$T$2/100,-1)</f>
        <v>0</v>
      </c>
      <c r="G46" s="74">
        <f t="shared" si="37"/>
        <v>0</v>
      </c>
      <c r="H46" s="74">
        <f t="shared" si="37"/>
        <v>0</v>
      </c>
      <c r="I46" s="74">
        <f t="shared" si="37"/>
        <v>0</v>
      </c>
      <c r="J46" s="74">
        <f t="shared" si="37"/>
        <v>0</v>
      </c>
      <c r="K46" s="74">
        <f t="shared" si="37"/>
        <v>0</v>
      </c>
      <c r="L46" s="74">
        <f t="shared" si="37"/>
        <v>0</v>
      </c>
      <c r="M46" s="74">
        <f t="shared" si="37"/>
        <v>0</v>
      </c>
      <c r="O46" s="1445"/>
      <c r="P46" s="635" t="s">
        <v>36</v>
      </c>
      <c r="Q46" s="3">
        <f>SUM(Q41:Q45)</f>
        <v>0</v>
      </c>
      <c r="R46" s="3">
        <f t="shared" ref="R46:Y46" si="38">SUM(R41:R45)</f>
        <v>0</v>
      </c>
      <c r="S46" s="3">
        <f t="shared" si="38"/>
        <v>0</v>
      </c>
      <c r="T46" s="3">
        <f t="shared" si="38"/>
        <v>0</v>
      </c>
      <c r="U46" s="3">
        <f t="shared" si="38"/>
        <v>0</v>
      </c>
      <c r="V46" s="3">
        <f t="shared" si="38"/>
        <v>0</v>
      </c>
      <c r="W46" s="3">
        <f t="shared" si="38"/>
        <v>0</v>
      </c>
      <c r="X46" s="3">
        <f t="shared" si="38"/>
        <v>0</v>
      </c>
      <c r="Y46" s="3">
        <f t="shared" si="38"/>
        <v>0</v>
      </c>
      <c r="AM46" s="1413"/>
      <c r="AN46" s="1423"/>
      <c r="AO46" s="717" t="s">
        <v>165</v>
      </c>
      <c r="AP46" s="60"/>
      <c r="AQ46" s="85">
        <f t="shared" si="26"/>
        <v>0</v>
      </c>
    </row>
    <row r="47" spans="2:43" ht="15" customHeight="1">
      <c r="B47" s="1413"/>
      <c r="C47" s="1423"/>
      <c r="D47" s="371" t="s">
        <v>166</v>
      </c>
      <c r="E47" s="60"/>
      <c r="F47" s="74">
        <f>IF(基本情報!E5="",0,-ROUNDUP(SUM(F32:F46)*$W$2/100,-1))</f>
        <v>0</v>
      </c>
      <c r="G47" s="74">
        <f t="shared" ref="G47:M47" si="39">-ROUNDUP(SUM(G32:G46)*$W$2/100,-1)</f>
        <v>0</v>
      </c>
      <c r="H47" s="74">
        <f t="shared" si="39"/>
        <v>0</v>
      </c>
      <c r="I47" s="74">
        <f t="shared" si="39"/>
        <v>0</v>
      </c>
      <c r="J47" s="74">
        <f t="shared" si="39"/>
        <v>0</v>
      </c>
      <c r="K47" s="74">
        <f t="shared" si="39"/>
        <v>0</v>
      </c>
      <c r="L47" s="74">
        <f t="shared" si="39"/>
        <v>0</v>
      </c>
      <c r="M47" s="74">
        <f t="shared" si="39"/>
        <v>0</v>
      </c>
      <c r="O47" s="8"/>
      <c r="P47" s="58"/>
      <c r="Q47" s="7"/>
      <c r="R47" s="7"/>
      <c r="S47" s="7"/>
      <c r="T47" s="7"/>
      <c r="U47" s="7"/>
      <c r="V47" s="7"/>
      <c r="W47" s="7"/>
      <c r="X47" s="7"/>
      <c r="Y47" s="4"/>
      <c r="Z47" s="4"/>
      <c r="AM47" s="1413"/>
      <c r="AN47" s="1423"/>
      <c r="AO47" s="717" t="s">
        <v>166</v>
      </c>
      <c r="AP47" s="60"/>
      <c r="AQ47" s="85">
        <f t="shared" si="26"/>
        <v>0</v>
      </c>
    </row>
    <row r="48" spans="2:43" ht="15" customHeight="1">
      <c r="B48" s="1413"/>
      <c r="C48" s="1419" t="s">
        <v>204</v>
      </c>
      <c r="D48" s="366" t="s">
        <v>18</v>
      </c>
      <c r="E48" s="59"/>
      <c r="F48" s="3">
        <f>IF(基本情報!E5="",0,F21)</f>
        <v>0</v>
      </c>
      <c r="G48" s="3">
        <f>$F48</f>
        <v>0</v>
      </c>
      <c r="H48" s="3">
        <f t="shared" ref="H48:M48" si="40">$F48</f>
        <v>0</v>
      </c>
      <c r="I48" s="3">
        <f t="shared" si="40"/>
        <v>0</v>
      </c>
      <c r="J48" s="3">
        <f t="shared" si="40"/>
        <v>0</v>
      </c>
      <c r="K48" s="3">
        <f t="shared" si="40"/>
        <v>0</v>
      </c>
      <c r="L48" s="3">
        <f t="shared" si="40"/>
        <v>0</v>
      </c>
      <c r="M48" s="3">
        <f t="shared" si="40"/>
        <v>0</v>
      </c>
      <c r="O48" s="1443" t="s">
        <v>180</v>
      </c>
      <c r="P48" s="367" t="s">
        <v>171</v>
      </c>
      <c r="Q48" s="61" t="s">
        <v>178</v>
      </c>
      <c r="R48" s="40" t="s">
        <v>179</v>
      </c>
      <c r="S48" s="4"/>
      <c r="T48" s="1443" t="s">
        <v>190</v>
      </c>
      <c r="U48" s="367" t="s">
        <v>171</v>
      </c>
      <c r="V48" s="40" t="s">
        <v>179</v>
      </c>
      <c r="X48" s="1431" t="s">
        <v>186</v>
      </c>
      <c r="Y48" s="1431"/>
      <c r="AM48" s="1413"/>
      <c r="AN48" s="1419" t="s">
        <v>204</v>
      </c>
      <c r="AO48" s="720" t="s">
        <v>18</v>
      </c>
      <c r="AP48" s="732" t="s">
        <v>559</v>
      </c>
      <c r="AQ48" s="85">
        <f t="shared" si="26"/>
        <v>0</v>
      </c>
    </row>
    <row r="49" spans="2:43" ht="16.5">
      <c r="B49" s="1413"/>
      <c r="C49" s="1420"/>
      <c r="D49" s="366" t="s">
        <v>62</v>
      </c>
      <c r="E49" s="59"/>
      <c r="F49" s="3">
        <f>IF(基本情報!E5="",0,F22)</f>
        <v>0</v>
      </c>
      <c r="G49" s="3">
        <f t="shared" ref="G49:M53" si="41">$F49</f>
        <v>0</v>
      </c>
      <c r="H49" s="3">
        <f t="shared" si="41"/>
        <v>0</v>
      </c>
      <c r="I49" s="3">
        <f t="shared" si="41"/>
        <v>0</v>
      </c>
      <c r="J49" s="3">
        <f t="shared" si="41"/>
        <v>0</v>
      </c>
      <c r="K49" s="3">
        <f t="shared" si="41"/>
        <v>0</v>
      </c>
      <c r="L49" s="3">
        <f t="shared" si="41"/>
        <v>0</v>
      </c>
      <c r="M49" s="3">
        <f t="shared" si="41"/>
        <v>0</v>
      </c>
      <c r="O49" s="1444"/>
      <c r="P49" s="630">
        <f>P32</f>
        <v>0</v>
      </c>
      <c r="Q49" s="3">
        <f>児童数!AF31</f>
        <v>0</v>
      </c>
      <c r="R49" s="64">
        <f>4500*Q49</f>
        <v>0</v>
      </c>
      <c r="S49" s="4"/>
      <c r="T49" s="1444"/>
      <c r="U49" s="630">
        <f>P32</f>
        <v>0</v>
      </c>
      <c r="V49" s="65">
        <f>Y41+R49</f>
        <v>0</v>
      </c>
      <c r="X49" s="630">
        <f>P32</f>
        <v>0</v>
      </c>
      <c r="Y49" s="65" t="e">
        <f>V23+V49</f>
        <v>#VALUE!</v>
      </c>
      <c r="AM49" s="1413"/>
      <c r="AN49" s="1420"/>
      <c r="AO49" s="720" t="s">
        <v>62</v>
      </c>
      <c r="AP49" s="732" t="s">
        <v>559</v>
      </c>
      <c r="AQ49" s="85">
        <f t="shared" si="26"/>
        <v>0</v>
      </c>
    </row>
    <row r="50" spans="2:43" ht="16.5">
      <c r="B50" s="1413"/>
      <c r="C50" s="1420"/>
      <c r="D50" s="366" t="s">
        <v>19</v>
      </c>
      <c r="E50" s="59"/>
      <c r="F50" s="3">
        <f>IF(基本情報!E5="",0,F23)</f>
        <v>0</v>
      </c>
      <c r="G50" s="3">
        <f t="shared" si="41"/>
        <v>0</v>
      </c>
      <c r="H50" s="3">
        <f t="shared" si="41"/>
        <v>0</v>
      </c>
      <c r="I50" s="3">
        <f t="shared" si="41"/>
        <v>0</v>
      </c>
      <c r="J50" s="3">
        <f t="shared" si="41"/>
        <v>0</v>
      </c>
      <c r="K50" s="3">
        <f t="shared" si="41"/>
        <v>0</v>
      </c>
      <c r="L50" s="3">
        <f t="shared" si="41"/>
        <v>0</v>
      </c>
      <c r="M50" s="3">
        <f t="shared" si="41"/>
        <v>0</v>
      </c>
      <c r="O50" s="1444"/>
      <c r="P50" s="631">
        <f>P33</f>
        <v>0</v>
      </c>
      <c r="Q50" s="3">
        <f>児童数!AF45</f>
        <v>0</v>
      </c>
      <c r="R50" s="64">
        <f t="shared" ref="R50:R53" si="42">4500*Q50</f>
        <v>0</v>
      </c>
      <c r="S50" s="4"/>
      <c r="T50" s="1444"/>
      <c r="U50" s="631">
        <f>P33</f>
        <v>0</v>
      </c>
      <c r="V50" s="66">
        <f>Y42+R50</f>
        <v>0</v>
      </c>
      <c r="X50" s="631">
        <f>P33</f>
        <v>0</v>
      </c>
      <c r="Y50" s="66" t="e">
        <f>V24+V50</f>
        <v>#VALUE!</v>
      </c>
      <c r="AM50" s="1413"/>
      <c r="AN50" s="1420"/>
      <c r="AO50" s="720" t="s">
        <v>19</v>
      </c>
      <c r="AP50" s="732" t="s">
        <v>559</v>
      </c>
      <c r="AQ50" s="85">
        <f t="shared" si="26"/>
        <v>0</v>
      </c>
    </row>
    <row r="51" spans="2:43" ht="16.5">
      <c r="B51" s="1413"/>
      <c r="C51" s="1420"/>
      <c r="D51" s="366" t="s">
        <v>41</v>
      </c>
      <c r="E51" s="59"/>
      <c r="F51" s="3">
        <f>IF(基本情報!E5="",0,F24)</f>
        <v>0</v>
      </c>
      <c r="G51" s="3">
        <f t="shared" si="41"/>
        <v>0</v>
      </c>
      <c r="H51" s="3">
        <f t="shared" si="41"/>
        <v>0</v>
      </c>
      <c r="I51" s="3">
        <f t="shared" si="41"/>
        <v>0</v>
      </c>
      <c r="J51" s="3">
        <f t="shared" si="41"/>
        <v>0</v>
      </c>
      <c r="K51" s="3">
        <f t="shared" si="41"/>
        <v>0</v>
      </c>
      <c r="L51" s="3">
        <f t="shared" si="41"/>
        <v>0</v>
      </c>
      <c r="M51" s="3">
        <f t="shared" si="41"/>
        <v>0</v>
      </c>
      <c r="O51" s="1444"/>
      <c r="P51" s="632">
        <f>P34</f>
        <v>0</v>
      </c>
      <c r="Q51" s="3">
        <f>児童数!AF59</f>
        <v>0</v>
      </c>
      <c r="R51" s="64">
        <f t="shared" si="42"/>
        <v>0</v>
      </c>
      <c r="S51" s="4"/>
      <c r="T51" s="1444"/>
      <c r="U51" s="632">
        <f>P34</f>
        <v>0</v>
      </c>
      <c r="V51" s="67">
        <f>Y43+R51</f>
        <v>0</v>
      </c>
      <c r="X51" s="632">
        <f>P34</f>
        <v>0</v>
      </c>
      <c r="Y51" s="67" t="e">
        <f>V25+V51</f>
        <v>#VALUE!</v>
      </c>
      <c r="AM51" s="1413"/>
      <c r="AN51" s="1420"/>
      <c r="AO51" s="720" t="s">
        <v>41</v>
      </c>
      <c r="AP51" s="732" t="s">
        <v>559</v>
      </c>
      <c r="AQ51" s="85">
        <f t="shared" si="26"/>
        <v>0</v>
      </c>
    </row>
    <row r="52" spans="2:43" ht="16.5">
      <c r="B52" s="1413"/>
      <c r="C52" s="1420"/>
      <c r="D52" s="366" t="s">
        <v>42</v>
      </c>
      <c r="E52" s="59"/>
      <c r="F52" s="3">
        <f>IF(基本情報!E5="",0,F25)</f>
        <v>0</v>
      </c>
      <c r="G52" s="3">
        <f t="shared" si="41"/>
        <v>0</v>
      </c>
      <c r="H52" s="3">
        <f t="shared" si="41"/>
        <v>0</v>
      </c>
      <c r="I52" s="3">
        <f t="shared" si="41"/>
        <v>0</v>
      </c>
      <c r="J52" s="3">
        <f t="shared" si="41"/>
        <v>0</v>
      </c>
      <c r="K52" s="3">
        <f t="shared" si="41"/>
        <v>0</v>
      </c>
      <c r="L52" s="3">
        <f t="shared" si="41"/>
        <v>0</v>
      </c>
      <c r="M52" s="3">
        <f t="shared" si="41"/>
        <v>0</v>
      </c>
      <c r="O52" s="1444"/>
      <c r="P52" s="633">
        <f>P35</f>
        <v>0</v>
      </c>
      <c r="Q52" s="3">
        <f>児童数!AF73</f>
        <v>0</v>
      </c>
      <c r="R52" s="64">
        <f t="shared" si="42"/>
        <v>0</v>
      </c>
      <c r="S52" s="4"/>
      <c r="T52" s="1444"/>
      <c r="U52" s="633">
        <f>P35</f>
        <v>0</v>
      </c>
      <c r="V52" s="68">
        <f>Y44+R52</f>
        <v>0</v>
      </c>
      <c r="X52" s="633">
        <f>P35</f>
        <v>0</v>
      </c>
      <c r="Y52" s="68" t="e">
        <f>V26+V52</f>
        <v>#VALUE!</v>
      </c>
      <c r="AM52" s="1413"/>
      <c r="AN52" s="1420"/>
      <c r="AO52" s="720" t="s">
        <v>42</v>
      </c>
      <c r="AP52" s="731" t="s">
        <v>353</v>
      </c>
      <c r="AQ52" s="85">
        <f t="shared" si="26"/>
        <v>0</v>
      </c>
    </row>
    <row r="53" spans="2:43" ht="16.5">
      <c r="B53" s="1413"/>
      <c r="C53" s="1421"/>
      <c r="D53" s="366" t="s">
        <v>80</v>
      </c>
      <c r="E53" s="59"/>
      <c r="F53" s="3">
        <f>IF(基本情報!E5="",0,F26)</f>
        <v>0</v>
      </c>
      <c r="G53" s="3">
        <f>$F53</f>
        <v>0</v>
      </c>
      <c r="H53" s="3">
        <f t="shared" si="41"/>
        <v>0</v>
      </c>
      <c r="I53" s="3">
        <f t="shared" si="41"/>
        <v>0</v>
      </c>
      <c r="J53" s="3">
        <f t="shared" si="41"/>
        <v>0</v>
      </c>
      <c r="K53" s="3">
        <f t="shared" si="41"/>
        <v>0</v>
      </c>
      <c r="L53" s="3">
        <f t="shared" si="41"/>
        <v>0</v>
      </c>
      <c r="M53" s="3">
        <f t="shared" si="41"/>
        <v>0</v>
      </c>
      <c r="O53" s="1444"/>
      <c r="P53" s="634">
        <f>P36</f>
        <v>0</v>
      </c>
      <c r="Q53" s="3">
        <f>児童数!AF87</f>
        <v>0</v>
      </c>
      <c r="R53" s="64">
        <f t="shared" si="42"/>
        <v>0</v>
      </c>
      <c r="S53" s="4"/>
      <c r="T53" s="1444"/>
      <c r="U53" s="634">
        <f>P36</f>
        <v>0</v>
      </c>
      <c r="V53" s="69">
        <f>Y45+R53</f>
        <v>0</v>
      </c>
      <c r="X53" s="634">
        <f>P36</f>
        <v>0</v>
      </c>
      <c r="Y53" s="69" t="e">
        <f>V27+V53</f>
        <v>#VALUE!</v>
      </c>
      <c r="AM53" s="1413"/>
      <c r="AN53" s="1421"/>
      <c r="AO53" s="720" t="s">
        <v>80</v>
      </c>
      <c r="AP53" s="731" t="s">
        <v>353</v>
      </c>
      <c r="AQ53" s="85">
        <f t="shared" si="26"/>
        <v>0</v>
      </c>
    </row>
    <row r="54" spans="2:43" ht="17.25" thickBot="1">
      <c r="B54" s="1414"/>
      <c r="C54" s="1410" t="s">
        <v>44</v>
      </c>
      <c r="D54" s="1411"/>
      <c r="E54" s="53"/>
      <c r="F54" s="5">
        <f t="shared" ref="F54:M54" si="43">SUM(F32:F53)</f>
        <v>0</v>
      </c>
      <c r="G54" s="5">
        <f t="shared" si="43"/>
        <v>0</v>
      </c>
      <c r="H54" s="5">
        <f t="shared" si="43"/>
        <v>0</v>
      </c>
      <c r="I54" s="5">
        <f t="shared" si="43"/>
        <v>0</v>
      </c>
      <c r="J54" s="5">
        <f t="shared" si="43"/>
        <v>0</v>
      </c>
      <c r="K54" s="5">
        <f t="shared" si="43"/>
        <v>0</v>
      </c>
      <c r="L54" s="5">
        <f t="shared" si="43"/>
        <v>0</v>
      </c>
      <c r="M54" s="5">
        <f t="shared" si="43"/>
        <v>0</v>
      </c>
      <c r="O54" s="1445"/>
      <c r="P54" s="635" t="s">
        <v>36</v>
      </c>
      <c r="Q54" s="3">
        <f>SUM(Q49:Q53)</f>
        <v>0</v>
      </c>
      <c r="R54" s="3">
        <f>SUM(R49:R53)</f>
        <v>0</v>
      </c>
      <c r="S54" s="4"/>
      <c r="T54" s="1445"/>
      <c r="U54" s="635" t="s">
        <v>36</v>
      </c>
      <c r="V54" s="70">
        <f>SUM(V49:V53)</f>
        <v>0</v>
      </c>
      <c r="X54" s="635" t="s">
        <v>36</v>
      </c>
      <c r="Y54" s="70" t="e">
        <f>SUM(Y49:Y53)</f>
        <v>#VALUE!</v>
      </c>
      <c r="AM54" s="1414"/>
      <c r="AN54" s="1425" t="s">
        <v>562</v>
      </c>
      <c r="AO54" s="1425"/>
      <c r="AP54" s="733" t="s">
        <v>376</v>
      </c>
      <c r="AQ54" s="85">
        <f>R54</f>
        <v>0</v>
      </c>
    </row>
    <row r="55" spans="2:43" ht="15.75" thickBot="1">
      <c r="C55" s="57"/>
      <c r="D55" s="57"/>
      <c r="E55" s="58" t="s">
        <v>167</v>
      </c>
      <c r="F55" s="264">
        <f>F33+F35+F38+F42+F45</f>
        <v>0</v>
      </c>
      <c r="G55" s="264">
        <f t="shared" ref="G55:M55" si="44">G33+G35+G38+G42+G45</f>
        <v>0</v>
      </c>
      <c r="H55" s="264">
        <f t="shared" si="44"/>
        <v>0</v>
      </c>
      <c r="I55" s="264">
        <f t="shared" si="44"/>
        <v>0</v>
      </c>
      <c r="J55" s="264">
        <f t="shared" si="44"/>
        <v>0</v>
      </c>
      <c r="K55" s="264">
        <f t="shared" si="44"/>
        <v>0</v>
      </c>
      <c r="L55" s="264">
        <f t="shared" si="44"/>
        <v>0</v>
      </c>
      <c r="M55" s="264">
        <f t="shared" si="44"/>
        <v>0</v>
      </c>
      <c r="AG55" s="288">
        <f>ROUNDUP(SUMPRODUCT(F55:M55,Q37:X37)*90%,-1)</f>
        <v>0</v>
      </c>
      <c r="AN55" s="1410" t="s">
        <v>44</v>
      </c>
      <c r="AO55" s="1411"/>
      <c r="AP55" s="53"/>
      <c r="AQ55" s="85">
        <f>SUM(AQ32:AQ54)</f>
        <v>0</v>
      </c>
    </row>
    <row r="56" spans="2:43">
      <c r="E56" s="1020" t="s">
        <v>703</v>
      </c>
      <c r="F56" s="264">
        <f>-ROUNDUP(SUM(F32:F35,F37:F46)*$W$2/100,-1)</f>
        <v>0</v>
      </c>
      <c r="G56" s="264">
        <f>-ROUNDUP(SUM(G32:G35,G37:G46)*$W$2/100,-1)</f>
        <v>0</v>
      </c>
      <c r="H56" s="264">
        <f t="shared" ref="H56:K56" si="45">-ROUNDUP(SUM(H32:H35,H37:H46)*$W$2/100,-1)</f>
        <v>0</v>
      </c>
      <c r="I56" s="264">
        <f t="shared" si="45"/>
        <v>0</v>
      </c>
      <c r="J56" s="264">
        <f t="shared" si="45"/>
        <v>0</v>
      </c>
      <c r="K56" s="264">
        <f t="shared" si="45"/>
        <v>0</v>
      </c>
      <c r="L56" s="264">
        <f>-ROUNDUP(SUM(L32:L35,L37:L46)*$W$2/100,-1)</f>
        <v>0</v>
      </c>
      <c r="M56" s="264">
        <f>-ROUNDUP(SUM(M32:M35,M37:M46)*$W$2/100,-1)</f>
        <v>0</v>
      </c>
      <c r="O56" s="1430" t="s">
        <v>428</v>
      </c>
      <c r="P56" s="1430"/>
      <c r="X56" s="1430" t="s">
        <v>427</v>
      </c>
      <c r="Y56" s="1430"/>
      <c r="AO56" s="1"/>
      <c r="AP56" s="57"/>
    </row>
    <row r="57" spans="2:43" ht="15.75" thickBot="1">
      <c r="O57" s="83" t="s">
        <v>429</v>
      </c>
      <c r="P57" s="83" t="s">
        <v>206</v>
      </c>
      <c r="Q57" s="83" t="s">
        <v>207</v>
      </c>
      <c r="R57" s="83" t="s">
        <v>448</v>
      </c>
      <c r="S57" s="83" t="s">
        <v>214</v>
      </c>
      <c r="T57" s="83" t="s">
        <v>215</v>
      </c>
      <c r="U57" s="83" t="s">
        <v>216</v>
      </c>
      <c r="V57" s="282" t="s">
        <v>455</v>
      </c>
      <c r="W57" s="261"/>
      <c r="X57" s="83" t="s">
        <v>429</v>
      </c>
      <c r="Y57" s="83" t="s">
        <v>206</v>
      </c>
      <c r="Z57" s="83" t="s">
        <v>207</v>
      </c>
      <c r="AA57" s="83" t="s">
        <v>448</v>
      </c>
      <c r="AB57" s="83" t="s">
        <v>218</v>
      </c>
      <c r="AC57" s="83" t="s">
        <v>215</v>
      </c>
      <c r="AD57" s="280" t="s">
        <v>453</v>
      </c>
      <c r="AE57" s="282" t="s">
        <v>455</v>
      </c>
    </row>
    <row r="58" spans="2:43" ht="15.75" thickBot="1">
      <c r="C58" s="310" t="s">
        <v>479</v>
      </c>
      <c r="D58" s="311"/>
      <c r="E58" s="312"/>
      <c r="F58" s="313"/>
      <c r="G58" s="313"/>
      <c r="H58" s="313"/>
      <c r="I58" s="313"/>
      <c r="J58" s="313"/>
      <c r="K58" s="313"/>
      <c r="L58" s="313"/>
      <c r="M58" s="314"/>
      <c r="O58" s="61" t="str">
        <f>IF(月途中入退所情報!$D8=$B$2,月途中入退所情報!F8,"-")</f>
        <v>-</v>
      </c>
      <c r="P58" s="61" t="str">
        <f>IF(月途中入退所情報!$D8=$B$2,月途中入退所情報!G8,"-")</f>
        <v>-</v>
      </c>
      <c r="Q58" s="61" t="str">
        <f>IF(月途中入退所情報!$D8=$B$2,月途中入退所情報!H8,"-")</f>
        <v>-</v>
      </c>
      <c r="R58" s="61" t="str">
        <f>IF(月途中入退所情報!$D8=$B$2,月途中入退所情報!I8,"-")</f>
        <v>-</v>
      </c>
      <c r="S58" s="61" t="str">
        <f>IF(月途中入退所情報!$D8=$B$2,月途中入退所情報!J8,"-")</f>
        <v>-</v>
      </c>
      <c r="T58" s="84">
        <f>IF($Q58="標準時間",HLOOKUP($P58,$F$5:$I$27,23,FALSE)-SUM($F$10,$F$21:$F$24,$F$26)-HLOOKUP($P58,$F$5:$I$27,16,FALSE)+HLOOKUP($P58,$F$5:$I$29,25,FALSE),IF($Q58="短時間",HLOOKUP($P58,$J$5:$M$27,23,FALSE)-SUM($F$10,$F$21:$F$24,$F$26)-HLOOKUP($P58,$J$5:$M$27,16,FALSE)+HLOOKUP($P58,$J$5:$M$29,25,FALSE),0))+IF(R58="○",加算と減算!$AH$3,0)</f>
        <v>0</v>
      </c>
      <c r="U58" s="85">
        <f t="shared" ref="U58:U77" si="46">IFERROR(ROUNDDOWN(T58*S58/25,-1),0)</f>
        <v>0</v>
      </c>
      <c r="V58" s="262">
        <f>IFERROR(ROUNDDOWN(IF($Q58="標準時間",HLOOKUP($P58,$F$5:$I$28,24,FALSE),IF($Q58="短時間",HLOOKUP($P58,$J$5:$M$28,24,FALSE),0))*S58/25,-1),0)</f>
        <v>0</v>
      </c>
      <c r="W58" s="262"/>
      <c r="X58" s="61" t="str">
        <f>IF(月途中入退所情報!$N8=$B$2,月途中入退所情報!$P8,"-")</f>
        <v>-</v>
      </c>
      <c r="Y58" s="61" t="str">
        <f>IF(月途中入退所情報!$N8=$B$2,月途中入退所情報!$Q8,"-")</f>
        <v>-</v>
      </c>
      <c r="Z58" s="61" t="str">
        <f>IF(月途中入退所情報!$N8=$B$2,月途中入退所情報!$R8,"-")</f>
        <v>-</v>
      </c>
      <c r="AA58" s="61" t="str">
        <f>IF(月途中入退所情報!$N8=$B$2,月途中入退所情報!$S8,"-")</f>
        <v>-</v>
      </c>
      <c r="AB58" s="61" t="str">
        <f>IF(月途中入退所情報!$N8=$B$2,月途中入退所情報!$T8,"-")</f>
        <v>-</v>
      </c>
      <c r="AC58" s="84">
        <f>IF($Z58="標準時間",HLOOKUP($Y58,$F$5:$I$27,23,FALSE)-SUM($F$10,$F$21:$F$24,$F$26)-HLOOKUP($Y58,$F$5:$I$27,16,FALSE)+HLOOKUP($Y58,$F$5:$I$29,25,FALSE),IF($Z58="短時間",HLOOKUP($Y58,$J$5:$M$27,23,FALSE)-SUM($F$10,$F$21:$F$24,$F$26)-HLOOKUP($Y58,$J$5:$M$27,16,FALSE)+HLOOKUP($Y58,$J$5:$M$29,25,FALSE),0))+IF(AA58="○",加算と減算!$AH$3,0)</f>
        <v>0</v>
      </c>
      <c r="AD58" s="85">
        <f t="shared" ref="AD58:AD77" si="47">IFERROR(-ROUNDUP(AC58*AB58/25,-1),0)</f>
        <v>0</v>
      </c>
      <c r="AE58" s="262">
        <f t="shared" ref="AE58:AE77" si="48">IFERROR(-ROUNDUP(IF($Z58="標準時間",HLOOKUP($Y58,$F$5:$I$28,24,FALSE),IF($Z58="短時間",HLOOKUP($Y58,$J$5:$M$28,24,FALSE),0))*AB58/25,-1),0)</f>
        <v>0</v>
      </c>
    </row>
    <row r="59" spans="2:43">
      <c r="C59" s="307"/>
      <c r="D59" s="308"/>
      <c r="E59" s="309"/>
      <c r="F59" s="1417" t="s">
        <v>15</v>
      </c>
      <c r="G59" s="1417"/>
      <c r="H59" s="1417"/>
      <c r="I59" s="1417"/>
      <c r="J59" s="1417" t="s">
        <v>16</v>
      </c>
      <c r="K59" s="1417"/>
      <c r="L59" s="1417"/>
      <c r="M59" s="1417"/>
      <c r="O59" s="61" t="str">
        <f>IF(月途中入退所情報!$D9=$B$2,月途中入退所情報!F9,"-")</f>
        <v>-</v>
      </c>
      <c r="P59" s="61" t="str">
        <f>IF(月途中入退所情報!$D9=$B$2,月途中入退所情報!G9,"-")</f>
        <v>-</v>
      </c>
      <c r="Q59" s="61" t="str">
        <f>IF(月途中入退所情報!$D9=$B$2,月途中入退所情報!H9,"-")</f>
        <v>-</v>
      </c>
      <c r="R59" s="61" t="str">
        <f>IF(月途中入退所情報!$D9=$B$2,月途中入退所情報!I9,"-")</f>
        <v>-</v>
      </c>
      <c r="S59" s="61" t="str">
        <f>IF(月途中入退所情報!$D9=$B$2,月途中入退所情報!J9,"-")</f>
        <v>-</v>
      </c>
      <c r="T59" s="84">
        <f>IF($Q59="標準時間",HLOOKUP($P59,$F$5:$I$27,23,FALSE)-SUM($F$10,$F$21:$F$24,$F$26)-HLOOKUP($P59,$F$5:$I$27,16,FALSE)+HLOOKUP($P59,$F$5:$I$29,25,FALSE),IF($Q59="短時間",HLOOKUP($P59,$J$5:$M$27,23,FALSE)-SUM($F$10,$F$21:$F$24,$F$26)-HLOOKUP($P59,$J$5:$M$27,16,FALSE)+HLOOKUP($P59,$J$5:$M$29,25,FALSE),0))+IF(R59="○",加算と減算!$AH$3,0)</f>
        <v>0</v>
      </c>
      <c r="U59" s="85">
        <f t="shared" si="46"/>
        <v>0</v>
      </c>
      <c r="V59" s="262">
        <f t="shared" ref="V59:V77" si="49">IFERROR(ROUNDDOWN(IF($Q59="標準時間",HLOOKUP($P59,$F$5:$I$28,24,FALSE),IF($Q59="短時間",HLOOKUP($P59,$J$5:$M$28,24,FALSE),0))*S59/25,-1),0)</f>
        <v>0</v>
      </c>
      <c r="W59" s="262"/>
      <c r="X59" s="61" t="str">
        <f>IF(月途中入退所情報!$N9=$B$2,月途中入退所情報!$P9,"-")</f>
        <v>-</v>
      </c>
      <c r="Y59" s="61" t="str">
        <f>IF(月途中入退所情報!$N9=$B$2,月途中入退所情報!$Q9,"-")</f>
        <v>-</v>
      </c>
      <c r="Z59" s="61" t="str">
        <f>IF(月途中入退所情報!$N9=$B$2,月途中入退所情報!$R9,"-")</f>
        <v>-</v>
      </c>
      <c r="AA59" s="61" t="str">
        <f>IF(月途中入退所情報!$N9=$B$2,月途中入退所情報!$S9,"-")</f>
        <v>-</v>
      </c>
      <c r="AB59" s="61" t="str">
        <f>IF(月途中入退所情報!$N9=$B$2,月途中入退所情報!$T9,"-")</f>
        <v>-</v>
      </c>
      <c r="AC59" s="84">
        <f>IF($Z59="標準時間",HLOOKUP($Y59,$F$5:$I$27,23,FALSE)-SUM($F$10,$F$21:$F$24,$F$26)-HLOOKUP($Y59,$F$5:$I$27,16,FALSE)+HLOOKUP($Y59,$F$5:$I$29,25,FALSE),IF($Z59="短時間",HLOOKUP($Y59,$J$5:$M$27,23,FALSE)-SUM($F$10,$F$21:$F$24,$F$26)-HLOOKUP($Y59,$J$5:$M$27,16,FALSE)+HLOOKUP($Y59,$J$5:$M$29,25,FALSE),0))+IF(AA59="○",加算と減算!$AH$3,0)</f>
        <v>0</v>
      </c>
      <c r="AD59" s="85">
        <f t="shared" si="47"/>
        <v>0</v>
      </c>
      <c r="AE59" s="262">
        <f t="shared" si="48"/>
        <v>0</v>
      </c>
    </row>
    <row r="60" spans="2:43">
      <c r="C60" s="307"/>
      <c r="D60" s="308"/>
      <c r="E60" s="309"/>
      <c r="F60" s="369" t="s">
        <v>6</v>
      </c>
      <c r="G60" s="369" t="s">
        <v>7</v>
      </c>
      <c r="H60" s="369" t="s">
        <v>8</v>
      </c>
      <c r="I60" s="369" t="s">
        <v>9</v>
      </c>
      <c r="J60" s="369" t="s">
        <v>6</v>
      </c>
      <c r="K60" s="369" t="s">
        <v>7</v>
      </c>
      <c r="L60" s="369" t="s">
        <v>8</v>
      </c>
      <c r="M60" s="369" t="s">
        <v>9</v>
      </c>
      <c r="O60" s="61" t="str">
        <f>IF(月途中入退所情報!$D10=$B$2,月途中入退所情報!F10,"-")</f>
        <v>-</v>
      </c>
      <c r="P60" s="61" t="str">
        <f>IF(月途中入退所情報!$D10=$B$2,月途中入退所情報!G10,"-")</f>
        <v>-</v>
      </c>
      <c r="Q60" s="61" t="str">
        <f>IF(月途中入退所情報!$D10=$B$2,月途中入退所情報!H10,"-")</f>
        <v>-</v>
      </c>
      <c r="R60" s="61" t="str">
        <f>IF(月途中入退所情報!$D10=$B$2,月途中入退所情報!I10,"-")</f>
        <v>-</v>
      </c>
      <c r="S60" s="61" t="str">
        <f>IF(月途中入退所情報!$D10=$B$2,月途中入退所情報!J10,"-")</f>
        <v>-</v>
      </c>
      <c r="T60" s="84">
        <f>IF($Q60="標準時間",HLOOKUP($P60,$F$5:$I$27,23,FALSE)-SUM($F$10,$F$21:$F$24,$F$26)-HLOOKUP($P60,$F$5:$I$27,16,FALSE)+HLOOKUP($P60,$F$5:$I$29,25,FALSE),IF($Q60="短時間",HLOOKUP($P60,$J$5:$M$27,23,FALSE)-SUM($F$10,$F$21:$F$24,$F$26)-HLOOKUP($P60,$J$5:$M$27,16,FALSE)+HLOOKUP($P60,$J$5:$M$29,25,FALSE),0))+IF(R60="○",加算と減算!$AH$3,0)</f>
        <v>0</v>
      </c>
      <c r="U60" s="85">
        <f t="shared" si="46"/>
        <v>0</v>
      </c>
      <c r="V60" s="262">
        <f t="shared" si="49"/>
        <v>0</v>
      </c>
      <c r="W60" s="262"/>
      <c r="X60" s="61" t="str">
        <f>IF(月途中入退所情報!$N10=$B$2,月途中入退所情報!$P10,"-")</f>
        <v>-</v>
      </c>
      <c r="Y60" s="61" t="str">
        <f>IF(月途中入退所情報!$N10=$B$2,月途中入退所情報!$Q10,"-")</f>
        <v>-</v>
      </c>
      <c r="Z60" s="61" t="str">
        <f>IF(月途中入退所情報!$N10=$B$2,月途中入退所情報!$R10,"-")</f>
        <v>-</v>
      </c>
      <c r="AA60" s="61" t="str">
        <f>IF(月途中入退所情報!$N10=$B$2,月途中入退所情報!$S10,"-")</f>
        <v>-</v>
      </c>
      <c r="AB60" s="61" t="str">
        <f>IF(月途中入退所情報!$N10=$B$2,月途中入退所情報!$T10,"-")</f>
        <v>-</v>
      </c>
      <c r="AC60" s="84">
        <f>IF($Z60="標準時間",HLOOKUP($Y60,$F$5:$I$27,23,FALSE)-SUM($F$10,$F$21:$F$24,$F$26)-HLOOKUP($Y60,$F$5:$I$27,16,FALSE)+HLOOKUP($Y60,$F$5:$I$29,25,FALSE),IF($Z60="短時間",HLOOKUP($Y60,$J$5:$M$27,23,FALSE)-SUM($F$10,$F$21:$F$24,$F$26)-HLOOKUP($Y60,$J$5:$M$27,16,FALSE)+HLOOKUP($Y60,$J$5:$M$29,25,FALSE),0))+IF(AA60="○",加算と減算!$AH$3,0)</f>
        <v>0</v>
      </c>
      <c r="AD60" s="85">
        <f t="shared" si="47"/>
        <v>0</v>
      </c>
      <c r="AE60" s="262">
        <f t="shared" si="48"/>
        <v>0</v>
      </c>
    </row>
    <row r="61" spans="2:43">
      <c r="C61" s="307"/>
      <c r="D61" s="1432" t="s">
        <v>482</v>
      </c>
      <c r="E61" s="320" t="s">
        <v>480</v>
      </c>
      <c r="F61" s="85" t="e">
        <f t="shared" ref="F61:M61" si="50">-ROUNDDOWN((F7+F9+F1)*$S$2%,-1)</f>
        <v>#VALUE!</v>
      </c>
      <c r="G61" s="85" t="e">
        <f t="shared" si="50"/>
        <v>#VALUE!</v>
      </c>
      <c r="H61" s="85" t="e">
        <f t="shared" si="50"/>
        <v>#VALUE!</v>
      </c>
      <c r="I61" s="85" t="e">
        <f t="shared" si="50"/>
        <v>#VALUE!</v>
      </c>
      <c r="J61" s="85" t="e">
        <f t="shared" si="50"/>
        <v>#VALUE!</v>
      </c>
      <c r="K61" s="85" t="e">
        <f t="shared" si="50"/>
        <v>#VALUE!</v>
      </c>
      <c r="L61" s="85" t="e">
        <f t="shared" si="50"/>
        <v>#VALUE!</v>
      </c>
      <c r="M61" s="85" t="e">
        <f t="shared" si="50"/>
        <v>#VALUE!</v>
      </c>
      <c r="O61" s="61" t="str">
        <f>IF(月途中入退所情報!$D11=$B$2,月途中入退所情報!F11,"-")</f>
        <v>-</v>
      </c>
      <c r="P61" s="61" t="str">
        <f>IF(月途中入退所情報!$D11=$B$2,月途中入退所情報!G11,"-")</f>
        <v>-</v>
      </c>
      <c r="Q61" s="61" t="str">
        <f>IF(月途中入退所情報!$D11=$B$2,月途中入退所情報!H11,"-")</f>
        <v>-</v>
      </c>
      <c r="R61" s="61" t="str">
        <f>IF(月途中入退所情報!$D11=$B$2,月途中入退所情報!I11,"-")</f>
        <v>-</v>
      </c>
      <c r="S61" s="61" t="str">
        <f>IF(月途中入退所情報!$D11=$B$2,月途中入退所情報!J11,"-")</f>
        <v>-</v>
      </c>
      <c r="T61" s="84">
        <f>IF($Q61="標準時間",HLOOKUP($P61,$F$5:$I$27,23,FALSE)-SUM($F$10,$F$21:$F$24,$F$26)-HLOOKUP($P61,$F$5:$I$27,16,FALSE)+HLOOKUP($P61,$F$5:$I$29,25,FALSE),IF($Q61="短時間",HLOOKUP($P61,$J$5:$M$27,23,FALSE)-SUM($F$10,$F$21:$F$24,$F$26)-HLOOKUP($P61,$J$5:$M$27,16,FALSE)+HLOOKUP($P61,$J$5:$M$29,25,FALSE),0))+IF(R61="○",加算と減算!$AH$3,0)</f>
        <v>0</v>
      </c>
      <c r="U61" s="85">
        <f t="shared" si="46"/>
        <v>0</v>
      </c>
      <c r="V61" s="262">
        <f t="shared" si="49"/>
        <v>0</v>
      </c>
      <c r="W61" s="262"/>
      <c r="X61" s="61" t="str">
        <f>IF(月途中入退所情報!$N11=$B$2,月途中入退所情報!$P11,"-")</f>
        <v>-</v>
      </c>
      <c r="Y61" s="61" t="str">
        <f>IF(月途中入退所情報!$N11=$B$2,月途中入退所情報!$Q11,"-")</f>
        <v>-</v>
      </c>
      <c r="Z61" s="61" t="str">
        <f>IF(月途中入退所情報!$N11=$B$2,月途中入退所情報!$R11,"-")</f>
        <v>-</v>
      </c>
      <c r="AA61" s="61" t="str">
        <f>IF(月途中入退所情報!$N11=$B$2,月途中入退所情報!$S11,"-")</f>
        <v>-</v>
      </c>
      <c r="AB61" s="61" t="str">
        <f>IF(月途中入退所情報!$N11=$B$2,月途中入退所情報!$T11,"-")</f>
        <v>-</v>
      </c>
      <c r="AC61" s="84">
        <f>IF($Z61="標準時間",HLOOKUP($Y61,$F$5:$I$27,23,FALSE)-SUM($F$10,$F$21:$F$24,$F$26)-HLOOKUP($Y61,$F$5:$I$27,16,FALSE)+HLOOKUP($Y61,$F$5:$I$29,25,FALSE),IF($Z61="短時間",HLOOKUP($Y61,$J$5:$M$27,23,FALSE)-SUM($F$10,$F$21:$F$24,$F$26)-HLOOKUP($Y61,$J$5:$M$27,16,FALSE)+HLOOKUP($Y61,$J$5:$M$29,25,FALSE),0))+IF(AA61="○",加算と減算!$AH$3,0)</f>
        <v>0</v>
      </c>
      <c r="AD61" s="85">
        <f t="shared" si="47"/>
        <v>0</v>
      </c>
      <c r="AE61" s="262">
        <f t="shared" si="48"/>
        <v>0</v>
      </c>
    </row>
    <row r="62" spans="2:43">
      <c r="C62" s="307"/>
      <c r="D62" s="1432"/>
      <c r="E62" s="320" t="s">
        <v>481</v>
      </c>
      <c r="F62" s="85" t="e">
        <f>F61*Q11</f>
        <v>#VALUE!</v>
      </c>
      <c r="G62" s="85" t="e">
        <f t="shared" ref="G62:M62" si="51">G61*R11</f>
        <v>#VALUE!</v>
      </c>
      <c r="H62" s="85" t="e">
        <f t="shared" si="51"/>
        <v>#VALUE!</v>
      </c>
      <c r="I62" s="85" t="e">
        <f t="shared" si="51"/>
        <v>#VALUE!</v>
      </c>
      <c r="J62" s="85" t="e">
        <f t="shared" si="51"/>
        <v>#VALUE!</v>
      </c>
      <c r="K62" s="85" t="e">
        <f t="shared" si="51"/>
        <v>#VALUE!</v>
      </c>
      <c r="L62" s="85" t="e">
        <f t="shared" si="51"/>
        <v>#VALUE!</v>
      </c>
      <c r="M62" s="85" t="e">
        <f t="shared" si="51"/>
        <v>#VALUE!</v>
      </c>
      <c r="O62" s="61" t="str">
        <f>IF(月途中入退所情報!$D12=$B$2,月途中入退所情報!F12,"-")</f>
        <v>-</v>
      </c>
      <c r="P62" s="61" t="str">
        <f>IF(月途中入退所情報!$D12=$B$2,月途中入退所情報!G12,"-")</f>
        <v>-</v>
      </c>
      <c r="Q62" s="61" t="str">
        <f>IF(月途中入退所情報!$D12=$B$2,月途中入退所情報!H12,"-")</f>
        <v>-</v>
      </c>
      <c r="R62" s="61" t="str">
        <f>IF(月途中入退所情報!$D12=$B$2,月途中入退所情報!I12,"-")</f>
        <v>-</v>
      </c>
      <c r="S62" s="61" t="str">
        <f>IF(月途中入退所情報!$D12=$B$2,月途中入退所情報!J12,"-")</f>
        <v>-</v>
      </c>
      <c r="T62" s="84">
        <f>IF($Q62="標準時間",HLOOKUP($P62,$F$5:$I$27,23,FALSE)-SUM($F$10,$F$21:$F$24,$F$26)-HLOOKUP($P62,$F$5:$I$27,16,FALSE)+HLOOKUP($P62,$F$5:$I$29,25,FALSE),IF($Q62="短時間",HLOOKUP($P62,$J$5:$M$27,23,FALSE)-SUM($F$10,$F$21:$F$24,$F$26)-HLOOKUP($P62,$J$5:$M$27,16,FALSE)+HLOOKUP($P62,$J$5:$M$29,25,FALSE),0))+IF(R62="○",加算と減算!$AH$3,0)</f>
        <v>0</v>
      </c>
      <c r="U62" s="85">
        <f t="shared" si="46"/>
        <v>0</v>
      </c>
      <c r="V62" s="262">
        <f t="shared" si="49"/>
        <v>0</v>
      </c>
      <c r="W62" s="262"/>
      <c r="X62" s="61" t="str">
        <f>IF(月途中入退所情報!$N12=$B$2,月途中入退所情報!$P12,"-")</f>
        <v>-</v>
      </c>
      <c r="Y62" s="61" t="str">
        <f>IF(月途中入退所情報!$N12=$B$2,月途中入退所情報!$Q12,"-")</f>
        <v>-</v>
      </c>
      <c r="Z62" s="61" t="str">
        <f>IF(月途中入退所情報!$N12=$B$2,月途中入退所情報!$R12,"-")</f>
        <v>-</v>
      </c>
      <c r="AA62" s="61" t="str">
        <f>IF(月途中入退所情報!$N12=$B$2,月途中入退所情報!$S12,"-")</f>
        <v>-</v>
      </c>
      <c r="AB62" s="61" t="str">
        <f>IF(月途中入退所情報!$N12=$B$2,月途中入退所情報!$T12,"-")</f>
        <v>-</v>
      </c>
      <c r="AC62" s="84">
        <f>IF($Z62="標準時間",HLOOKUP($Y62,$F$5:$I$27,23,FALSE)-SUM($F$10,$F$21:$F$24,$F$26)-HLOOKUP($Y62,$F$5:$I$27,16,FALSE)+HLOOKUP($Y62,$F$5:$I$29,25,FALSE),IF($Z62="短時間",HLOOKUP($Y62,$J$5:$M$27,23,FALSE)-SUM($F$10,$F$21:$F$24,$F$26)-HLOOKUP($Y62,$J$5:$M$27,16,FALSE)+HLOOKUP($Y62,$J$5:$M$29,25,FALSE),0))+IF(AA62="○",加算と減算!$AH$3,0)</f>
        <v>0</v>
      </c>
      <c r="AD62" s="85">
        <f t="shared" si="47"/>
        <v>0</v>
      </c>
      <c r="AE62" s="262">
        <f t="shared" si="48"/>
        <v>0</v>
      </c>
    </row>
    <row r="63" spans="2:43">
      <c r="C63" s="307"/>
      <c r="D63" s="317"/>
      <c r="E63" s="315"/>
      <c r="F63" s="316"/>
      <c r="G63" s="316"/>
      <c r="H63" s="316"/>
      <c r="I63" s="316"/>
      <c r="J63" s="316"/>
      <c r="K63" s="316"/>
      <c r="L63" s="316"/>
      <c r="M63" s="316"/>
      <c r="O63" s="61" t="str">
        <f>IF(月途中入退所情報!$D13=$B$2,月途中入退所情報!F13,"-")</f>
        <v>-</v>
      </c>
      <c r="P63" s="61" t="str">
        <f>IF(月途中入退所情報!$D13=$B$2,月途中入退所情報!G13,"-")</f>
        <v>-</v>
      </c>
      <c r="Q63" s="61" t="str">
        <f>IF(月途中入退所情報!$D13=$B$2,月途中入退所情報!H13,"-")</f>
        <v>-</v>
      </c>
      <c r="R63" s="61" t="str">
        <f>IF(月途中入退所情報!$D13=$B$2,月途中入退所情報!I13,"-")</f>
        <v>-</v>
      </c>
      <c r="S63" s="61" t="str">
        <f>IF(月途中入退所情報!$D13=$B$2,月途中入退所情報!J13,"-")</f>
        <v>-</v>
      </c>
      <c r="T63" s="84">
        <f>IF($Q63="標準時間",HLOOKUP($P63,$F$5:$I$27,23,FALSE)-SUM($F$10,$F$21:$F$24,$F$26)-HLOOKUP($P63,$F$5:$I$27,16,FALSE)+HLOOKUP($P63,$F$5:$I$29,25,FALSE),IF($Q63="短時間",HLOOKUP($P63,$J$5:$M$27,23,FALSE)-SUM($F$10,$F$21:$F$24,$F$26)-HLOOKUP($P63,$J$5:$M$27,16,FALSE)+HLOOKUP($P63,$J$5:$M$29,25,FALSE),0))+IF(R63="○",加算と減算!$AH$3,0)</f>
        <v>0</v>
      </c>
      <c r="U63" s="85">
        <f t="shared" si="46"/>
        <v>0</v>
      </c>
      <c r="V63" s="262">
        <f t="shared" si="49"/>
        <v>0</v>
      </c>
      <c r="W63" s="262"/>
      <c r="X63" s="61" t="str">
        <f>IF(月途中入退所情報!$N13=$B$2,月途中入退所情報!$P13,"-")</f>
        <v>-</v>
      </c>
      <c r="Y63" s="61" t="str">
        <f>IF(月途中入退所情報!$N13=$B$2,月途中入退所情報!$Q13,"-")</f>
        <v>-</v>
      </c>
      <c r="Z63" s="61" t="str">
        <f>IF(月途中入退所情報!$N13=$B$2,月途中入退所情報!$R13,"-")</f>
        <v>-</v>
      </c>
      <c r="AA63" s="61" t="str">
        <f>IF(月途中入退所情報!$N13=$B$2,月途中入退所情報!$S13,"-")</f>
        <v>-</v>
      </c>
      <c r="AB63" s="61" t="str">
        <f>IF(月途中入退所情報!$N13=$B$2,月途中入退所情報!$T13,"-")</f>
        <v>-</v>
      </c>
      <c r="AC63" s="84">
        <f>IF($Z63="標準時間",HLOOKUP($Y63,$F$5:$I$27,23,FALSE)-SUM($F$10,$F$21:$F$24,$F$26)-HLOOKUP($Y63,$F$5:$I$27,16,FALSE)+HLOOKUP($Y63,$F$5:$I$29,25,FALSE),IF($Z63="短時間",HLOOKUP($Y63,$J$5:$M$27,23,FALSE)-SUM($F$10,$F$21:$F$24,$F$26)-HLOOKUP($Y63,$J$5:$M$27,16,FALSE)+HLOOKUP($Y63,$J$5:$M$29,25,FALSE),0))+IF(AA63="○",加算と減算!$AH$3,0)</f>
        <v>0</v>
      </c>
      <c r="AD63" s="85">
        <f t="shared" si="47"/>
        <v>0</v>
      </c>
      <c r="AE63" s="262">
        <f t="shared" si="48"/>
        <v>0</v>
      </c>
    </row>
    <row r="64" spans="2:43">
      <c r="C64" s="307"/>
      <c r="D64" s="308"/>
      <c r="E64" s="309"/>
      <c r="F64" s="369" t="s">
        <v>6</v>
      </c>
      <c r="G64" s="369" t="s">
        <v>7</v>
      </c>
      <c r="H64" s="369" t="s">
        <v>8</v>
      </c>
      <c r="I64" s="369" t="s">
        <v>9</v>
      </c>
      <c r="J64" s="369" t="s">
        <v>6</v>
      </c>
      <c r="K64" s="369" t="s">
        <v>7</v>
      </c>
      <c r="L64" s="369" t="s">
        <v>8</v>
      </c>
      <c r="M64" s="369" t="s">
        <v>9</v>
      </c>
      <c r="O64" s="61" t="str">
        <f>IF(月途中入退所情報!$D14=$B$2,月途中入退所情報!F14,"-")</f>
        <v>-</v>
      </c>
      <c r="P64" s="61" t="str">
        <f>IF(月途中入退所情報!$D14=$B$2,月途中入退所情報!G14,"-")</f>
        <v>-</v>
      </c>
      <c r="Q64" s="61" t="str">
        <f>IF(月途中入退所情報!$D14=$B$2,月途中入退所情報!H14,"-")</f>
        <v>-</v>
      </c>
      <c r="R64" s="61" t="str">
        <f>IF(月途中入退所情報!$D14=$B$2,月途中入退所情報!I14,"-")</f>
        <v>-</v>
      </c>
      <c r="S64" s="61" t="str">
        <f>IF(月途中入退所情報!$D14=$B$2,月途中入退所情報!J14,"-")</f>
        <v>-</v>
      </c>
      <c r="T64" s="84">
        <f>IF($Q64="標準時間",HLOOKUP($P64,$F$5:$I$27,23,FALSE)-SUM($F$10,$F$21:$F$24,$F$26)-HLOOKUP($P64,$F$5:$I$27,16,FALSE)+HLOOKUP($P64,$F$5:$I$29,25,FALSE),IF($Q64="短時間",HLOOKUP($P64,$J$5:$M$27,23,FALSE)-SUM($F$10,$F$21:$F$24,$F$26)-HLOOKUP($P64,$J$5:$M$27,16,FALSE)+HLOOKUP($P64,$J$5:$M$29,25,FALSE),0))+IF(R64="○",加算と減算!$AH$3,0)</f>
        <v>0</v>
      </c>
      <c r="U64" s="85">
        <f t="shared" si="46"/>
        <v>0</v>
      </c>
      <c r="V64" s="262">
        <f t="shared" si="49"/>
        <v>0</v>
      </c>
      <c r="W64" s="262"/>
      <c r="X64" s="61" t="str">
        <f>IF(月途中入退所情報!$N14=$B$2,月途中入退所情報!$P14,"-")</f>
        <v>-</v>
      </c>
      <c r="Y64" s="61" t="str">
        <f>IF(月途中入退所情報!$N14=$B$2,月途中入退所情報!$Q14,"-")</f>
        <v>-</v>
      </c>
      <c r="Z64" s="61" t="str">
        <f>IF(月途中入退所情報!$N14=$B$2,月途中入退所情報!$R14,"-")</f>
        <v>-</v>
      </c>
      <c r="AA64" s="61" t="str">
        <f>IF(月途中入退所情報!$N14=$B$2,月途中入退所情報!$S14,"-")</f>
        <v>-</v>
      </c>
      <c r="AB64" s="61" t="str">
        <f>IF(月途中入退所情報!$N14=$B$2,月途中入退所情報!$T14,"-")</f>
        <v>-</v>
      </c>
      <c r="AC64" s="84">
        <f>IF($Z64="標準時間",HLOOKUP($Y64,$F$5:$I$27,23,FALSE)-SUM($F$10,$F$21:$F$24,$F$26)-HLOOKUP($Y64,$F$5:$I$27,16,FALSE)+HLOOKUP($Y64,$F$5:$I$29,25,FALSE),IF($Z64="短時間",HLOOKUP($Y64,$J$5:$M$27,23,FALSE)-SUM($F$10,$F$21:$F$24,$F$26)-HLOOKUP($Y64,$J$5:$M$27,16,FALSE)+HLOOKUP($Y64,$J$5:$M$29,25,FALSE),0))+IF(AA64="○",加算と減算!$AH$3,0)</f>
        <v>0</v>
      </c>
      <c r="AD64" s="85">
        <f t="shared" si="47"/>
        <v>0</v>
      </c>
      <c r="AE64" s="262">
        <f t="shared" si="48"/>
        <v>0</v>
      </c>
    </row>
    <row r="65" spans="3:31">
      <c r="C65" s="307"/>
      <c r="D65" s="1432" t="s">
        <v>483</v>
      </c>
      <c r="E65" s="320" t="s">
        <v>480</v>
      </c>
      <c r="F65" s="85">
        <f t="shared" ref="F65:M65" si="52">-ROUNDDOWN((F33+F35+F38)*$T$2%,-1)</f>
        <v>0</v>
      </c>
      <c r="G65" s="85">
        <f t="shared" si="52"/>
        <v>0</v>
      </c>
      <c r="H65" s="85">
        <f t="shared" si="52"/>
        <v>0</v>
      </c>
      <c r="I65" s="85">
        <f t="shared" si="52"/>
        <v>0</v>
      </c>
      <c r="J65" s="85">
        <f t="shared" si="52"/>
        <v>0</v>
      </c>
      <c r="K65" s="85">
        <f t="shared" si="52"/>
        <v>0</v>
      </c>
      <c r="L65" s="85">
        <f t="shared" si="52"/>
        <v>0</v>
      </c>
      <c r="M65" s="85">
        <f t="shared" si="52"/>
        <v>0</v>
      </c>
      <c r="O65" s="61" t="str">
        <f>IF(月途中入退所情報!$D15=$B$2,月途中入退所情報!F15,"-")</f>
        <v>-</v>
      </c>
      <c r="P65" s="61" t="str">
        <f>IF(月途中入退所情報!$D15=$B$2,月途中入退所情報!G15,"-")</f>
        <v>-</v>
      </c>
      <c r="Q65" s="61" t="str">
        <f>IF(月途中入退所情報!$D15=$B$2,月途中入退所情報!H15,"-")</f>
        <v>-</v>
      </c>
      <c r="R65" s="61" t="str">
        <f>IF(月途中入退所情報!$D15=$B$2,月途中入退所情報!I15,"-")</f>
        <v>-</v>
      </c>
      <c r="S65" s="61" t="str">
        <f>IF(月途中入退所情報!$D15=$B$2,月途中入退所情報!J15,"-")</f>
        <v>-</v>
      </c>
      <c r="T65" s="84">
        <f>IF($Q65="標準時間",HLOOKUP($P65,$F$5:$I$27,23,FALSE)-SUM($F$10,$F$21:$F$24,$F$26)-HLOOKUP($P65,$F$5:$I$27,16,FALSE)+HLOOKUP($P65,$F$5:$I$29,25,FALSE),IF($Q65="短時間",HLOOKUP($P65,$J$5:$M$27,23,FALSE)-SUM($F$10,$F$21:$F$24,$F$26)-HLOOKUP($P65,$J$5:$M$27,16,FALSE)+HLOOKUP($P65,$J$5:$M$29,25,FALSE),0))+IF(R65="○",加算と減算!$AH$3,0)</f>
        <v>0</v>
      </c>
      <c r="U65" s="85">
        <f t="shared" si="46"/>
        <v>0</v>
      </c>
      <c r="V65" s="262">
        <f t="shared" si="49"/>
        <v>0</v>
      </c>
      <c r="W65" s="262"/>
      <c r="X65" s="61" t="str">
        <f>IF(月途中入退所情報!$N15=$B$2,月途中入退所情報!$P15,"-")</f>
        <v>-</v>
      </c>
      <c r="Y65" s="61" t="str">
        <f>IF(月途中入退所情報!$N15=$B$2,月途中入退所情報!$Q15,"-")</f>
        <v>-</v>
      </c>
      <c r="Z65" s="61" t="str">
        <f>IF(月途中入退所情報!$N15=$B$2,月途中入退所情報!$R15,"-")</f>
        <v>-</v>
      </c>
      <c r="AA65" s="61" t="str">
        <f>IF(月途中入退所情報!$N15=$B$2,月途中入退所情報!$S15,"-")</f>
        <v>-</v>
      </c>
      <c r="AB65" s="61" t="str">
        <f>IF(月途中入退所情報!$N15=$B$2,月途中入退所情報!$T15,"-")</f>
        <v>-</v>
      </c>
      <c r="AC65" s="84">
        <f>IF($Z65="標準時間",HLOOKUP($Y65,$F$5:$I$27,23,FALSE)-SUM($F$10,$F$21:$F$24,$F$26)-HLOOKUP($Y65,$F$5:$I$27,16,FALSE)+HLOOKUP($Y65,$F$5:$I$29,25,FALSE),IF($Z65="短時間",HLOOKUP($Y65,$J$5:$M$27,23,FALSE)-SUM($F$10,$F$21:$F$24,$F$26)-HLOOKUP($Y65,$J$5:$M$27,16,FALSE)+HLOOKUP($Y65,$J$5:$M$29,25,FALSE),0))+IF(AA65="○",加算と減算!$AH$3,0)</f>
        <v>0</v>
      </c>
      <c r="AD65" s="85">
        <f t="shared" si="47"/>
        <v>0</v>
      </c>
      <c r="AE65" s="262">
        <f t="shared" si="48"/>
        <v>0</v>
      </c>
    </row>
    <row r="66" spans="3:31">
      <c r="C66" s="307"/>
      <c r="D66" s="1432"/>
      <c r="E66" s="320" t="s">
        <v>481</v>
      </c>
      <c r="F66" s="85">
        <f>F65*Q37</f>
        <v>0</v>
      </c>
      <c r="G66" s="85">
        <f t="shared" ref="G66:M66" si="53">G65*R37</f>
        <v>0</v>
      </c>
      <c r="H66" s="85">
        <f t="shared" si="53"/>
        <v>0</v>
      </c>
      <c r="I66" s="85">
        <f t="shared" si="53"/>
        <v>0</v>
      </c>
      <c r="J66" s="85">
        <f t="shared" si="53"/>
        <v>0</v>
      </c>
      <c r="K66" s="85">
        <f t="shared" si="53"/>
        <v>0</v>
      </c>
      <c r="L66" s="85">
        <f t="shared" si="53"/>
        <v>0</v>
      </c>
      <c r="M66" s="85">
        <f t="shared" si="53"/>
        <v>0</v>
      </c>
      <c r="O66" s="61" t="str">
        <f>IF(月途中入退所情報!$D16=$B$2,月途中入退所情報!F16,"-")</f>
        <v>-</v>
      </c>
      <c r="P66" s="61" t="str">
        <f>IF(月途中入退所情報!$D16=$B$2,月途中入退所情報!G16,"-")</f>
        <v>-</v>
      </c>
      <c r="Q66" s="61" t="str">
        <f>IF(月途中入退所情報!$D16=$B$2,月途中入退所情報!H16,"-")</f>
        <v>-</v>
      </c>
      <c r="R66" s="61" t="str">
        <f>IF(月途中入退所情報!$D16=$B$2,月途中入退所情報!I16,"-")</f>
        <v>-</v>
      </c>
      <c r="S66" s="61" t="str">
        <f>IF(月途中入退所情報!$D16=$B$2,月途中入退所情報!J16,"-")</f>
        <v>-</v>
      </c>
      <c r="T66" s="84">
        <f>IF($Q66="標準時間",HLOOKUP($P66,$F$5:$I$27,23,FALSE)-SUM($F$10,$F$21:$F$24,$F$26)-HLOOKUP($P66,$F$5:$I$27,16,FALSE)+HLOOKUP($P66,$F$5:$I$29,25,FALSE),IF($Q66="短時間",HLOOKUP($P66,$J$5:$M$27,23,FALSE)-SUM($F$10,$F$21:$F$24,$F$26)-HLOOKUP($P66,$J$5:$M$27,16,FALSE)+HLOOKUP($P66,$J$5:$M$29,25,FALSE),0))+IF(R66="○",加算と減算!$AH$3,0)</f>
        <v>0</v>
      </c>
      <c r="U66" s="85">
        <f t="shared" si="46"/>
        <v>0</v>
      </c>
      <c r="V66" s="262">
        <f t="shared" si="49"/>
        <v>0</v>
      </c>
      <c r="W66" s="262"/>
      <c r="X66" s="61" t="str">
        <f>IF(月途中入退所情報!$N16=$B$2,月途中入退所情報!$P16,"-")</f>
        <v>-</v>
      </c>
      <c r="Y66" s="61" t="str">
        <f>IF(月途中入退所情報!$N16=$B$2,月途中入退所情報!$Q16,"-")</f>
        <v>-</v>
      </c>
      <c r="Z66" s="61" t="str">
        <f>IF(月途中入退所情報!$N16=$B$2,月途中入退所情報!$R16,"-")</f>
        <v>-</v>
      </c>
      <c r="AA66" s="61" t="str">
        <f>IF(月途中入退所情報!$N16=$B$2,月途中入退所情報!$S16,"-")</f>
        <v>-</v>
      </c>
      <c r="AB66" s="61" t="str">
        <f>IF(月途中入退所情報!$N16=$B$2,月途中入退所情報!$T16,"-")</f>
        <v>-</v>
      </c>
      <c r="AC66" s="84">
        <f>IF($Z66="標準時間",HLOOKUP($Y66,$F$5:$I$27,23,FALSE)-SUM($F$10,$F$21:$F$24,$F$26)-HLOOKUP($Y66,$F$5:$I$27,16,FALSE)+HLOOKUP($Y66,$F$5:$I$29,25,FALSE),IF($Z66="短時間",HLOOKUP($Y66,$J$5:$M$27,23,FALSE)-SUM($F$10,$F$21:$F$24,$F$26)-HLOOKUP($Y66,$J$5:$M$27,16,FALSE)+HLOOKUP($Y66,$J$5:$M$29,25,FALSE),0))+IF(AA66="○",加算と減算!$AH$3,0)</f>
        <v>0</v>
      </c>
      <c r="AD66" s="85">
        <f t="shared" si="47"/>
        <v>0</v>
      </c>
      <c r="AE66" s="262">
        <f t="shared" si="48"/>
        <v>0</v>
      </c>
    </row>
    <row r="67" spans="3:31" ht="15.75" thickBot="1">
      <c r="C67" s="307"/>
      <c r="D67" s="317"/>
      <c r="E67" s="315"/>
      <c r="F67" s="316"/>
      <c r="G67" s="316"/>
      <c r="H67" s="316"/>
      <c r="I67" s="316"/>
      <c r="J67" s="316"/>
      <c r="K67" s="316"/>
      <c r="L67" s="316"/>
      <c r="M67" s="316"/>
      <c r="O67" s="61" t="str">
        <f>IF(月途中入退所情報!$D17=$B$2,月途中入退所情報!F17,"-")</f>
        <v>-</v>
      </c>
      <c r="P67" s="61" t="str">
        <f>IF(月途中入退所情報!$D17=$B$2,月途中入退所情報!G17,"-")</f>
        <v>-</v>
      </c>
      <c r="Q67" s="61" t="str">
        <f>IF(月途中入退所情報!$D17=$B$2,月途中入退所情報!H17,"-")</f>
        <v>-</v>
      </c>
      <c r="R67" s="61" t="str">
        <f>IF(月途中入退所情報!$D17=$B$2,月途中入退所情報!I17,"-")</f>
        <v>-</v>
      </c>
      <c r="S67" s="61" t="str">
        <f>IF(月途中入退所情報!$D17=$B$2,月途中入退所情報!J17,"-")</f>
        <v>-</v>
      </c>
      <c r="T67" s="84">
        <f>IF($Q67="標準時間",HLOOKUP($P67,$F$5:$I$27,23,FALSE)-SUM($F$10,$F$21:$F$24,$F$26)-HLOOKUP($P67,$F$5:$I$27,16,FALSE)+HLOOKUP($P67,$F$5:$I$29,25,FALSE),IF($Q67="短時間",HLOOKUP($P67,$J$5:$M$27,23,FALSE)-SUM($F$10,$F$21:$F$24,$F$26)-HLOOKUP($P67,$J$5:$M$27,16,FALSE)+HLOOKUP($P67,$J$5:$M$29,25,FALSE),0))+IF(R67="○",加算と減算!$AH$3,0)</f>
        <v>0</v>
      </c>
      <c r="U67" s="85">
        <f t="shared" si="46"/>
        <v>0</v>
      </c>
      <c r="V67" s="262">
        <f t="shared" si="49"/>
        <v>0</v>
      </c>
      <c r="W67" s="262"/>
      <c r="X67" s="61" t="str">
        <f>IF(月途中入退所情報!$N17=$B$2,月途中入退所情報!$P17,"-")</f>
        <v>-</v>
      </c>
      <c r="Y67" s="61" t="str">
        <f>IF(月途中入退所情報!$N17=$B$2,月途中入退所情報!$Q17,"-")</f>
        <v>-</v>
      </c>
      <c r="Z67" s="61" t="str">
        <f>IF(月途中入退所情報!$N17=$B$2,月途中入退所情報!$R17,"-")</f>
        <v>-</v>
      </c>
      <c r="AA67" s="61" t="str">
        <f>IF(月途中入退所情報!$N17=$B$2,月途中入退所情報!$S17,"-")</f>
        <v>-</v>
      </c>
      <c r="AB67" s="61" t="str">
        <f>IF(月途中入退所情報!$N17=$B$2,月途中入退所情報!$T17,"-")</f>
        <v>-</v>
      </c>
      <c r="AC67" s="84">
        <f>IF($Z67="標準時間",HLOOKUP($Y67,$F$5:$I$27,23,FALSE)-SUM($F$10,$F$21:$F$24,$F$26)-HLOOKUP($Y67,$F$5:$I$27,16,FALSE)+HLOOKUP($Y67,$F$5:$I$29,25,FALSE),IF($Z67="短時間",HLOOKUP($Y67,$J$5:$M$27,23,FALSE)-SUM($F$10,$F$21:$F$24,$F$26)-HLOOKUP($Y67,$J$5:$M$27,16,FALSE)+HLOOKUP($Y67,$J$5:$M$29,25,FALSE),0))+IF(AA67="○",加算と減算!$AH$3,0)</f>
        <v>0</v>
      </c>
      <c r="AD67" s="85">
        <f t="shared" si="47"/>
        <v>0</v>
      </c>
      <c r="AE67" s="262">
        <f t="shared" si="48"/>
        <v>0</v>
      </c>
    </row>
    <row r="68" spans="3:31" ht="15.75" thickBot="1">
      <c r="D68" s="1433" t="s">
        <v>484</v>
      </c>
      <c r="E68" s="1434"/>
      <c r="F68" s="321" t="e">
        <f>F62+F66</f>
        <v>#VALUE!</v>
      </c>
      <c r="G68" s="321" t="e">
        <f t="shared" ref="G68:M68" si="54">G62+G66</f>
        <v>#VALUE!</v>
      </c>
      <c r="H68" s="321" t="e">
        <f t="shared" si="54"/>
        <v>#VALUE!</v>
      </c>
      <c r="I68" s="321" t="e">
        <f t="shared" si="54"/>
        <v>#VALUE!</v>
      </c>
      <c r="J68" s="321" t="e">
        <f t="shared" si="54"/>
        <v>#VALUE!</v>
      </c>
      <c r="K68" s="321" t="e">
        <f t="shared" si="54"/>
        <v>#VALUE!</v>
      </c>
      <c r="L68" s="321" t="e">
        <f t="shared" si="54"/>
        <v>#VALUE!</v>
      </c>
      <c r="M68" s="322" t="e">
        <f t="shared" si="54"/>
        <v>#VALUE!</v>
      </c>
      <c r="O68" s="61" t="str">
        <f>IF(月途中入退所情報!$D18=$B$2,月途中入退所情報!F18,"-")</f>
        <v>-</v>
      </c>
      <c r="P68" s="61" t="str">
        <f>IF(月途中入退所情報!$D18=$B$2,月途中入退所情報!G18,"-")</f>
        <v>-</v>
      </c>
      <c r="Q68" s="61" t="str">
        <f>IF(月途中入退所情報!$D18=$B$2,月途中入退所情報!H18,"-")</f>
        <v>-</v>
      </c>
      <c r="R68" s="61" t="str">
        <f>IF(月途中入退所情報!$D18=$B$2,月途中入退所情報!I18,"-")</f>
        <v>-</v>
      </c>
      <c r="S68" s="61" t="str">
        <f>IF(月途中入退所情報!$D18=$B$2,月途中入退所情報!J18,"-")</f>
        <v>-</v>
      </c>
      <c r="T68" s="84">
        <f>IF($Q68="標準時間",HLOOKUP($P68,$F$5:$I$27,23,FALSE)-SUM($F$10,$F$21:$F$24,$F$26)-HLOOKUP($P68,$F$5:$I$27,16,FALSE)+HLOOKUP($P68,$F$5:$I$29,25,FALSE),IF($Q68="短時間",HLOOKUP($P68,$J$5:$M$27,23,FALSE)-SUM($F$10,$F$21:$F$24,$F$26)-HLOOKUP($P68,$J$5:$M$27,16,FALSE)+HLOOKUP($P68,$J$5:$M$29,25,FALSE),0))+IF(R68="○",加算と減算!$AH$3,0)</f>
        <v>0</v>
      </c>
      <c r="U68" s="85">
        <f t="shared" si="46"/>
        <v>0</v>
      </c>
      <c r="V68" s="262">
        <f t="shared" si="49"/>
        <v>0</v>
      </c>
      <c r="W68" s="262"/>
      <c r="X68" s="61" t="str">
        <f>IF(月途中入退所情報!$N18=$B$2,月途中入退所情報!$P18,"-")</f>
        <v>-</v>
      </c>
      <c r="Y68" s="61" t="str">
        <f>IF(月途中入退所情報!$N18=$B$2,月途中入退所情報!$Q18,"-")</f>
        <v>-</v>
      </c>
      <c r="Z68" s="61" t="str">
        <f>IF(月途中入退所情報!$N18=$B$2,月途中入退所情報!$R18,"-")</f>
        <v>-</v>
      </c>
      <c r="AA68" s="61" t="str">
        <f>IF(月途中入退所情報!$N18=$B$2,月途中入退所情報!$S18,"-")</f>
        <v>-</v>
      </c>
      <c r="AB68" s="61" t="str">
        <f>IF(月途中入退所情報!$N18=$B$2,月途中入退所情報!$T18,"-")</f>
        <v>-</v>
      </c>
      <c r="AC68" s="84">
        <f>IF($Z68="標準時間",HLOOKUP($Y68,$F$5:$I$27,23,FALSE)-SUM($F$10,$F$21:$F$24,$F$26)-HLOOKUP($Y68,$F$5:$I$27,16,FALSE)+HLOOKUP($Y68,$F$5:$I$29,25,FALSE),IF($Z68="短時間",HLOOKUP($Y68,$J$5:$M$27,23,FALSE)-SUM($F$10,$F$21:$F$24,$F$26)-HLOOKUP($Y68,$J$5:$M$27,16,FALSE)+HLOOKUP($Y68,$J$5:$M$29,25,FALSE),0))+IF(AA68="○",加算と減算!$AH$3,0)</f>
        <v>0</v>
      </c>
      <c r="AD68" s="85">
        <f t="shared" si="47"/>
        <v>0</v>
      </c>
      <c r="AE68" s="262">
        <f t="shared" si="48"/>
        <v>0</v>
      </c>
    </row>
    <row r="69" spans="3:31" ht="15.75" thickBot="1">
      <c r="D69" s="1435"/>
      <c r="E69" s="1436"/>
      <c r="F69" s="1437" t="e">
        <f>SUM(F68:M68)</f>
        <v>#VALUE!</v>
      </c>
      <c r="G69" s="1438"/>
      <c r="H69" s="1438"/>
      <c r="I69" s="1438"/>
      <c r="J69" s="1438"/>
      <c r="K69" s="1438"/>
      <c r="L69" s="1438"/>
      <c r="M69" s="1439"/>
      <c r="O69" s="61" t="str">
        <f>IF(月途中入退所情報!$D19=$B$2,月途中入退所情報!F19,"-")</f>
        <v>-</v>
      </c>
      <c r="P69" s="61" t="str">
        <f>IF(月途中入退所情報!$D19=$B$2,月途中入退所情報!G19,"-")</f>
        <v>-</v>
      </c>
      <c r="Q69" s="61" t="str">
        <f>IF(月途中入退所情報!$D19=$B$2,月途中入退所情報!H19,"-")</f>
        <v>-</v>
      </c>
      <c r="R69" s="61" t="str">
        <f>IF(月途中入退所情報!$D19=$B$2,月途中入退所情報!I19,"-")</f>
        <v>-</v>
      </c>
      <c r="S69" s="61" t="str">
        <f>IF(月途中入退所情報!$D19=$B$2,月途中入退所情報!J19,"-")</f>
        <v>-</v>
      </c>
      <c r="T69" s="84">
        <f>IF($Q69="標準時間",HLOOKUP($P69,$F$5:$I$27,23,FALSE)-SUM($F$10,$F$21:$F$24,$F$26)-HLOOKUP($P69,$F$5:$I$27,16,FALSE)+HLOOKUP($P69,$F$5:$I$29,25,FALSE),IF($Q69="短時間",HLOOKUP($P69,$J$5:$M$27,23,FALSE)-SUM($F$10,$F$21:$F$24,$F$26)-HLOOKUP($P69,$J$5:$M$27,16,FALSE)+HLOOKUP($P69,$J$5:$M$29,25,FALSE),0))+IF(R69="○",加算と減算!$AH$3,0)</f>
        <v>0</v>
      </c>
      <c r="U69" s="85">
        <f t="shared" si="46"/>
        <v>0</v>
      </c>
      <c r="V69" s="262">
        <f t="shared" si="49"/>
        <v>0</v>
      </c>
      <c r="W69" s="262"/>
      <c r="X69" s="61" t="str">
        <f>IF(月途中入退所情報!$N19=$B$2,月途中入退所情報!$P19,"-")</f>
        <v>-</v>
      </c>
      <c r="Y69" s="61" t="str">
        <f>IF(月途中入退所情報!$N19=$B$2,月途中入退所情報!$Q19,"-")</f>
        <v>-</v>
      </c>
      <c r="Z69" s="61" t="str">
        <f>IF(月途中入退所情報!$N19=$B$2,月途中入退所情報!$R19,"-")</f>
        <v>-</v>
      </c>
      <c r="AA69" s="61" t="str">
        <f>IF(月途中入退所情報!$N19=$B$2,月途中入退所情報!$S19,"-")</f>
        <v>-</v>
      </c>
      <c r="AB69" s="61" t="str">
        <f>IF(月途中入退所情報!$N19=$B$2,月途中入退所情報!$T19,"-")</f>
        <v>-</v>
      </c>
      <c r="AC69" s="84">
        <f>IF($Z69="標準時間",HLOOKUP($Y69,$F$5:$I$27,23,FALSE)-SUM($F$10,$F$21:$F$24,$F$26)-HLOOKUP($Y69,$F$5:$I$27,16,FALSE)+HLOOKUP($Y69,$F$5:$I$29,25,FALSE),IF($Z69="短時間",HLOOKUP($Y69,$J$5:$M$27,23,FALSE)-SUM($F$10,$F$21:$F$24,$F$26)-HLOOKUP($Y69,$J$5:$M$27,16,FALSE)+HLOOKUP($Y69,$J$5:$M$29,25,FALSE),0))+IF(AA69="○",加算と減算!$AH$3,0)</f>
        <v>0</v>
      </c>
      <c r="AD69" s="85">
        <f t="shared" si="47"/>
        <v>0</v>
      </c>
      <c r="AE69" s="262">
        <f t="shared" si="48"/>
        <v>0</v>
      </c>
    </row>
    <row r="70" spans="3:31">
      <c r="O70" s="61" t="str">
        <f>IF(月途中入退所情報!$D20=$B$2,月途中入退所情報!F20,"-")</f>
        <v>-</v>
      </c>
      <c r="P70" s="61" t="str">
        <f>IF(月途中入退所情報!$D20=$B$2,月途中入退所情報!G20,"-")</f>
        <v>-</v>
      </c>
      <c r="Q70" s="61" t="str">
        <f>IF(月途中入退所情報!$D20=$B$2,月途中入退所情報!H20,"-")</f>
        <v>-</v>
      </c>
      <c r="R70" s="61" t="str">
        <f>IF(月途中入退所情報!$D20=$B$2,月途中入退所情報!I20,"-")</f>
        <v>-</v>
      </c>
      <c r="S70" s="61" t="str">
        <f>IF(月途中入退所情報!$D20=$B$2,月途中入退所情報!J20,"-")</f>
        <v>-</v>
      </c>
      <c r="T70" s="84">
        <f>IF($Q70="標準時間",HLOOKUP($P70,$F$5:$I$27,23,FALSE)-SUM($F$10,$F$21:$F$24,$F$26)-HLOOKUP($P70,$F$5:$I$27,16,FALSE)+HLOOKUP($P70,$F$5:$I$29,25,FALSE),IF($Q70="短時間",HLOOKUP($P70,$J$5:$M$27,23,FALSE)-SUM($F$10,$F$21:$F$24,$F$26)-HLOOKUP($P70,$J$5:$M$27,16,FALSE)+HLOOKUP($P70,$J$5:$M$29,25,FALSE),0))+IF(R70="○",加算と減算!$AH$3,0)</f>
        <v>0</v>
      </c>
      <c r="U70" s="85">
        <f t="shared" si="46"/>
        <v>0</v>
      </c>
      <c r="V70" s="262">
        <f t="shared" si="49"/>
        <v>0</v>
      </c>
      <c r="W70" s="262"/>
      <c r="X70" s="61" t="str">
        <f>IF(月途中入退所情報!$N20=$B$2,月途中入退所情報!$P20,"-")</f>
        <v>-</v>
      </c>
      <c r="Y70" s="61" t="str">
        <f>IF(月途中入退所情報!$N20=$B$2,月途中入退所情報!$Q20,"-")</f>
        <v>-</v>
      </c>
      <c r="Z70" s="61" t="str">
        <f>IF(月途中入退所情報!$N20=$B$2,月途中入退所情報!$R20,"-")</f>
        <v>-</v>
      </c>
      <c r="AA70" s="61" t="str">
        <f>IF(月途中入退所情報!$N20=$B$2,月途中入退所情報!$S20,"-")</f>
        <v>-</v>
      </c>
      <c r="AB70" s="61" t="str">
        <f>IF(月途中入退所情報!$N20=$B$2,月途中入退所情報!$T20,"-")</f>
        <v>-</v>
      </c>
      <c r="AC70" s="84">
        <f>IF($Z70="標準時間",HLOOKUP($Y70,$F$5:$I$27,23,FALSE)-SUM($F$10,$F$21:$F$24,$F$26)-HLOOKUP($Y70,$F$5:$I$27,16,FALSE)+HLOOKUP($Y70,$F$5:$I$29,25,FALSE),IF($Z70="短時間",HLOOKUP($Y70,$J$5:$M$27,23,FALSE)-SUM($F$10,$F$21:$F$24,$F$26)-HLOOKUP($Y70,$J$5:$M$27,16,FALSE)+HLOOKUP($Y70,$J$5:$M$29,25,FALSE),0))+IF(AA70="○",加算と減算!$AH$3,0)</f>
        <v>0</v>
      </c>
      <c r="AD70" s="85">
        <f t="shared" si="47"/>
        <v>0</v>
      </c>
      <c r="AE70" s="262">
        <f t="shared" si="48"/>
        <v>0</v>
      </c>
    </row>
    <row r="71" spans="3:31">
      <c r="O71" s="61" t="str">
        <f>IF(月途中入退所情報!$D21=$B$2,月途中入退所情報!F21,"-")</f>
        <v>-</v>
      </c>
      <c r="P71" s="61" t="str">
        <f>IF(月途中入退所情報!$D21=$B$2,月途中入退所情報!G21,"-")</f>
        <v>-</v>
      </c>
      <c r="Q71" s="61" t="str">
        <f>IF(月途中入退所情報!$D21=$B$2,月途中入退所情報!H21,"-")</f>
        <v>-</v>
      </c>
      <c r="R71" s="61" t="str">
        <f>IF(月途中入退所情報!$D21=$B$2,月途中入退所情報!I21,"-")</f>
        <v>-</v>
      </c>
      <c r="S71" s="61" t="str">
        <f>IF(月途中入退所情報!$D21=$B$2,月途中入退所情報!J21,"-")</f>
        <v>-</v>
      </c>
      <c r="T71" s="84">
        <f>IF($Q71="標準時間",HLOOKUP($P71,$F$5:$I$27,23,FALSE)-SUM($F$10,$F$21:$F$24,$F$26)-HLOOKUP($P71,$F$5:$I$27,16,FALSE)+HLOOKUP($P71,$F$5:$I$29,25,FALSE),IF($Q71="短時間",HLOOKUP($P71,$J$5:$M$27,23,FALSE)-SUM($F$10,$F$21:$F$24,$F$26)-HLOOKUP($P71,$J$5:$M$27,16,FALSE)+HLOOKUP($P71,$J$5:$M$29,25,FALSE),0))+IF(R71="○",加算と減算!$AH$3,0)</f>
        <v>0</v>
      </c>
      <c r="U71" s="85">
        <f t="shared" si="46"/>
        <v>0</v>
      </c>
      <c r="V71" s="262">
        <f t="shared" si="49"/>
        <v>0</v>
      </c>
      <c r="W71" s="262"/>
      <c r="X71" s="61" t="str">
        <f>IF(月途中入退所情報!$N21=$B$2,月途中入退所情報!$P21,"-")</f>
        <v>-</v>
      </c>
      <c r="Y71" s="61" t="str">
        <f>IF(月途中入退所情報!$N21=$B$2,月途中入退所情報!$Q21,"-")</f>
        <v>-</v>
      </c>
      <c r="Z71" s="61" t="str">
        <f>IF(月途中入退所情報!$N21=$B$2,月途中入退所情報!$R21,"-")</f>
        <v>-</v>
      </c>
      <c r="AA71" s="61" t="str">
        <f>IF(月途中入退所情報!$N21=$B$2,月途中入退所情報!$S21,"-")</f>
        <v>-</v>
      </c>
      <c r="AB71" s="61" t="str">
        <f>IF(月途中入退所情報!$N21=$B$2,月途中入退所情報!$T21,"-")</f>
        <v>-</v>
      </c>
      <c r="AC71" s="84">
        <f>IF($Z71="標準時間",HLOOKUP($Y71,$F$5:$I$27,23,FALSE)-SUM($F$10,$F$21:$F$24,$F$26)-HLOOKUP($Y71,$F$5:$I$27,16,FALSE)+HLOOKUP($Y71,$F$5:$I$29,25,FALSE),IF($Z71="短時間",HLOOKUP($Y71,$J$5:$M$27,23,FALSE)-SUM($F$10,$F$21:$F$24,$F$26)-HLOOKUP($Y71,$J$5:$M$27,16,FALSE)+HLOOKUP($Y71,$J$5:$M$29,25,FALSE),0))+IF(AA71="○",加算と減算!$AH$3,0)</f>
        <v>0</v>
      </c>
      <c r="AD71" s="85">
        <f t="shared" si="47"/>
        <v>0</v>
      </c>
      <c r="AE71" s="262">
        <f t="shared" si="48"/>
        <v>0</v>
      </c>
    </row>
    <row r="72" spans="3:31">
      <c r="O72" s="61" t="str">
        <f>IF(月途中入退所情報!$D22=$B$2,月途中入退所情報!F22,"-")</f>
        <v>-</v>
      </c>
      <c r="P72" s="61" t="str">
        <f>IF(月途中入退所情報!$D22=$B$2,月途中入退所情報!G22,"-")</f>
        <v>-</v>
      </c>
      <c r="Q72" s="61" t="str">
        <f>IF(月途中入退所情報!$D22=$B$2,月途中入退所情報!H22,"-")</f>
        <v>-</v>
      </c>
      <c r="R72" s="61" t="str">
        <f>IF(月途中入退所情報!$D22=$B$2,月途中入退所情報!I22,"-")</f>
        <v>-</v>
      </c>
      <c r="S72" s="61" t="str">
        <f>IF(月途中入退所情報!$D22=$B$2,月途中入退所情報!J22,"-")</f>
        <v>-</v>
      </c>
      <c r="T72" s="84">
        <f>IF($Q72="標準時間",HLOOKUP($P72,$F$5:$I$27,23,FALSE)-SUM($F$10,$F$21:$F$24,$F$26)-HLOOKUP($P72,$F$5:$I$27,16,FALSE)+HLOOKUP($P72,$F$5:$I$29,25,FALSE),IF($Q72="短時間",HLOOKUP($P72,$J$5:$M$27,23,FALSE)-SUM($F$10,$F$21:$F$24,$F$26)-HLOOKUP($P72,$J$5:$M$27,16,FALSE)+HLOOKUP($P72,$J$5:$M$29,25,FALSE),0))+IF(R72="○",加算と減算!$AH$3,0)</f>
        <v>0</v>
      </c>
      <c r="U72" s="85">
        <f t="shared" si="46"/>
        <v>0</v>
      </c>
      <c r="V72" s="262">
        <f t="shared" si="49"/>
        <v>0</v>
      </c>
      <c r="W72" s="262"/>
      <c r="X72" s="61" t="str">
        <f>IF(月途中入退所情報!$N22=$B$2,月途中入退所情報!$P22,"-")</f>
        <v>-</v>
      </c>
      <c r="Y72" s="61" t="str">
        <f>IF(月途中入退所情報!$N22=$B$2,月途中入退所情報!$Q22,"-")</f>
        <v>-</v>
      </c>
      <c r="Z72" s="61" t="str">
        <f>IF(月途中入退所情報!$N22=$B$2,月途中入退所情報!$R22,"-")</f>
        <v>-</v>
      </c>
      <c r="AA72" s="61" t="str">
        <f>IF(月途中入退所情報!$N22=$B$2,月途中入退所情報!$S22,"-")</f>
        <v>-</v>
      </c>
      <c r="AB72" s="61" t="str">
        <f>IF(月途中入退所情報!$N22=$B$2,月途中入退所情報!$T22,"-")</f>
        <v>-</v>
      </c>
      <c r="AC72" s="84">
        <f>IF($Z72="標準時間",HLOOKUP($Y72,$F$5:$I$27,23,FALSE)-SUM($F$10,$F$21:$F$24,$F$26)-HLOOKUP($Y72,$F$5:$I$27,16,FALSE)+HLOOKUP($Y72,$F$5:$I$29,25,FALSE),IF($Z72="短時間",HLOOKUP($Y72,$J$5:$M$27,23,FALSE)-SUM($F$10,$F$21:$F$24,$F$26)-HLOOKUP($Y72,$J$5:$M$27,16,FALSE)+HLOOKUP($Y72,$J$5:$M$29,25,FALSE),0))+IF(AA72="○",加算と減算!$AH$3,0)</f>
        <v>0</v>
      </c>
      <c r="AD72" s="85">
        <f t="shared" si="47"/>
        <v>0</v>
      </c>
      <c r="AE72" s="262">
        <f t="shared" si="48"/>
        <v>0</v>
      </c>
    </row>
    <row r="73" spans="3:31">
      <c r="O73" s="61" t="str">
        <f>IF(月途中入退所情報!$D23=$B$2,月途中入退所情報!F23,"-")</f>
        <v>-</v>
      </c>
      <c r="P73" s="61" t="str">
        <f>IF(月途中入退所情報!$D23=$B$2,月途中入退所情報!G23,"-")</f>
        <v>-</v>
      </c>
      <c r="Q73" s="61" t="str">
        <f>IF(月途中入退所情報!$D23=$B$2,月途中入退所情報!H23,"-")</f>
        <v>-</v>
      </c>
      <c r="R73" s="61" t="str">
        <f>IF(月途中入退所情報!$D23=$B$2,月途中入退所情報!I23,"-")</f>
        <v>-</v>
      </c>
      <c r="S73" s="61" t="str">
        <f>IF(月途中入退所情報!$D23=$B$2,月途中入退所情報!J23,"-")</f>
        <v>-</v>
      </c>
      <c r="T73" s="84">
        <f>IF($Q73="標準時間",HLOOKUP($P73,$F$5:$I$27,23,FALSE)-SUM($F$10,$F$21:$F$24,$F$26)-HLOOKUP($P73,$F$5:$I$27,16,FALSE)+HLOOKUP($P73,$F$5:$I$29,25,FALSE),IF($Q73="短時間",HLOOKUP($P73,$J$5:$M$27,23,FALSE)-SUM($F$10,$F$21:$F$24,$F$26)-HLOOKUP($P73,$J$5:$M$27,16,FALSE)+HLOOKUP($P73,$J$5:$M$29,25,FALSE),0))+IF(R73="○",加算と減算!$AH$3,0)</f>
        <v>0</v>
      </c>
      <c r="U73" s="85">
        <f t="shared" si="46"/>
        <v>0</v>
      </c>
      <c r="V73" s="262">
        <f t="shared" si="49"/>
        <v>0</v>
      </c>
      <c r="W73" s="262"/>
      <c r="X73" s="61" t="str">
        <f>IF(月途中入退所情報!$N23=$B$2,月途中入退所情報!$P23,"-")</f>
        <v>-</v>
      </c>
      <c r="Y73" s="61" t="str">
        <f>IF(月途中入退所情報!$N23=$B$2,月途中入退所情報!$Q23,"-")</f>
        <v>-</v>
      </c>
      <c r="Z73" s="61" t="str">
        <f>IF(月途中入退所情報!$N23=$B$2,月途中入退所情報!$R23,"-")</f>
        <v>-</v>
      </c>
      <c r="AA73" s="61" t="str">
        <f>IF(月途中入退所情報!$N23=$B$2,月途中入退所情報!$S23,"-")</f>
        <v>-</v>
      </c>
      <c r="AB73" s="61" t="str">
        <f>IF(月途中入退所情報!$N23=$B$2,月途中入退所情報!$T23,"-")</f>
        <v>-</v>
      </c>
      <c r="AC73" s="84">
        <f>IF($Z73="標準時間",HLOOKUP($Y73,$F$5:$I$27,23,FALSE)-SUM($F$10,$F$21:$F$24,$F$26)-HLOOKUP($Y73,$F$5:$I$27,16,FALSE)+HLOOKUP($Y73,$F$5:$I$29,25,FALSE),IF($Z73="短時間",HLOOKUP($Y73,$J$5:$M$27,23,FALSE)-SUM($F$10,$F$21:$F$24,$F$26)-HLOOKUP($Y73,$J$5:$M$27,16,FALSE)+HLOOKUP($Y73,$J$5:$M$29,25,FALSE),0))+IF(AA73="○",加算と減算!$AH$3,0)</f>
        <v>0</v>
      </c>
      <c r="AD73" s="85">
        <f t="shared" si="47"/>
        <v>0</v>
      </c>
      <c r="AE73" s="262">
        <f t="shared" si="48"/>
        <v>0</v>
      </c>
    </row>
    <row r="74" spans="3:31">
      <c r="O74" s="61" t="str">
        <f>IF(月途中入退所情報!$D24=$B$2,月途中入退所情報!F24,"-")</f>
        <v>-</v>
      </c>
      <c r="P74" s="61" t="str">
        <f>IF(月途中入退所情報!$D24=$B$2,月途中入退所情報!G24,"-")</f>
        <v>-</v>
      </c>
      <c r="Q74" s="61" t="str">
        <f>IF(月途中入退所情報!$D24=$B$2,月途中入退所情報!H24,"-")</f>
        <v>-</v>
      </c>
      <c r="R74" s="61" t="str">
        <f>IF(月途中入退所情報!$D24=$B$2,月途中入退所情報!I24,"-")</f>
        <v>-</v>
      </c>
      <c r="S74" s="61" t="str">
        <f>IF(月途中入退所情報!$D24=$B$2,月途中入退所情報!J24,"-")</f>
        <v>-</v>
      </c>
      <c r="T74" s="84">
        <f>IF($Q74="標準時間",HLOOKUP($P74,$F$5:$I$27,23,FALSE)-SUM($F$10,$F$21:$F$24,$F$26)-HLOOKUP($P74,$F$5:$I$27,16,FALSE)+HLOOKUP($P74,$F$5:$I$29,25,FALSE),IF($Q74="短時間",HLOOKUP($P74,$J$5:$M$27,23,FALSE)-SUM($F$10,$F$21:$F$24,$F$26)-HLOOKUP($P74,$J$5:$M$27,16,FALSE)+HLOOKUP($P74,$J$5:$M$29,25,FALSE),0))+IF(R74="○",加算と減算!$AH$3,0)</f>
        <v>0</v>
      </c>
      <c r="U74" s="85">
        <f t="shared" si="46"/>
        <v>0</v>
      </c>
      <c r="V74" s="262">
        <f t="shared" si="49"/>
        <v>0</v>
      </c>
      <c r="W74" s="262"/>
      <c r="X74" s="61" t="str">
        <f>IF(月途中入退所情報!$N24=$B$2,月途中入退所情報!$P24,"-")</f>
        <v>-</v>
      </c>
      <c r="Y74" s="61" t="str">
        <f>IF(月途中入退所情報!$N24=$B$2,月途中入退所情報!$Q24,"-")</f>
        <v>-</v>
      </c>
      <c r="Z74" s="61" t="str">
        <f>IF(月途中入退所情報!$N24=$B$2,月途中入退所情報!$R24,"-")</f>
        <v>-</v>
      </c>
      <c r="AA74" s="61" t="str">
        <f>IF(月途中入退所情報!$N24=$B$2,月途中入退所情報!$S24,"-")</f>
        <v>-</v>
      </c>
      <c r="AB74" s="61" t="str">
        <f>IF(月途中入退所情報!$N24=$B$2,月途中入退所情報!$T24,"-")</f>
        <v>-</v>
      </c>
      <c r="AC74" s="84">
        <f>IF($Z74="標準時間",HLOOKUP($Y74,$F$5:$I$27,23,FALSE)-SUM($F$10,$F$21:$F$24,$F$26)-HLOOKUP($Y74,$F$5:$I$27,16,FALSE)+HLOOKUP($Y74,$F$5:$I$29,25,FALSE),IF($Z74="短時間",HLOOKUP($Y74,$J$5:$M$27,23,FALSE)-SUM($F$10,$F$21:$F$24,$F$26)-HLOOKUP($Y74,$J$5:$M$27,16,FALSE)+HLOOKUP($Y74,$J$5:$M$29,25,FALSE),0))+IF(AA74="○",加算と減算!$AH$3,0)</f>
        <v>0</v>
      </c>
      <c r="AD74" s="85">
        <f t="shared" si="47"/>
        <v>0</v>
      </c>
      <c r="AE74" s="262">
        <f t="shared" si="48"/>
        <v>0</v>
      </c>
    </row>
    <row r="75" spans="3:31">
      <c r="O75" s="61" t="str">
        <f>IF(月途中入退所情報!$D25=$B$2,月途中入退所情報!F25,"-")</f>
        <v>-</v>
      </c>
      <c r="P75" s="61" t="str">
        <f>IF(月途中入退所情報!$D25=$B$2,月途中入退所情報!G25,"-")</f>
        <v>-</v>
      </c>
      <c r="Q75" s="61" t="str">
        <f>IF(月途中入退所情報!$D25=$B$2,月途中入退所情報!H25,"-")</f>
        <v>-</v>
      </c>
      <c r="R75" s="61" t="str">
        <f>IF(月途中入退所情報!$D25=$B$2,月途中入退所情報!I25,"-")</f>
        <v>-</v>
      </c>
      <c r="S75" s="61" t="str">
        <f>IF(月途中入退所情報!$D25=$B$2,月途中入退所情報!J25,"-")</f>
        <v>-</v>
      </c>
      <c r="T75" s="84">
        <f>IF($Q75="標準時間",HLOOKUP($P75,$F$5:$I$27,23,FALSE)-SUM($F$10,$F$21:$F$24,$F$26)-HLOOKUP($P75,$F$5:$I$27,16,FALSE)+HLOOKUP($P75,$F$5:$I$29,25,FALSE),IF($Q75="短時間",HLOOKUP($P75,$J$5:$M$27,23,FALSE)-SUM($F$10,$F$21:$F$24,$F$26)-HLOOKUP($P75,$J$5:$M$27,16,FALSE)+HLOOKUP($P75,$J$5:$M$29,25,FALSE),0))+IF(R75="○",加算と減算!$AH$3,0)</f>
        <v>0</v>
      </c>
      <c r="U75" s="85">
        <f t="shared" si="46"/>
        <v>0</v>
      </c>
      <c r="V75" s="262">
        <f t="shared" si="49"/>
        <v>0</v>
      </c>
      <c r="W75" s="262"/>
      <c r="X75" s="61" t="str">
        <f>IF(月途中入退所情報!$N25=$B$2,月途中入退所情報!$P25,"-")</f>
        <v>-</v>
      </c>
      <c r="Y75" s="61" t="str">
        <f>IF(月途中入退所情報!$N25=$B$2,月途中入退所情報!$Q25,"-")</f>
        <v>-</v>
      </c>
      <c r="Z75" s="61" t="str">
        <f>IF(月途中入退所情報!$N25=$B$2,月途中入退所情報!$R25,"-")</f>
        <v>-</v>
      </c>
      <c r="AA75" s="61" t="str">
        <f>IF(月途中入退所情報!$N25=$B$2,月途中入退所情報!$S25,"-")</f>
        <v>-</v>
      </c>
      <c r="AB75" s="61" t="str">
        <f>IF(月途中入退所情報!$N25=$B$2,月途中入退所情報!$T25,"-")</f>
        <v>-</v>
      </c>
      <c r="AC75" s="84">
        <f>IF($Z75="標準時間",HLOOKUP($Y75,$F$5:$I$27,23,FALSE)-SUM($F$10,$F$21:$F$24,$F$26)-HLOOKUP($Y75,$F$5:$I$27,16,FALSE)+HLOOKUP($Y75,$F$5:$I$29,25,FALSE),IF($Z75="短時間",HLOOKUP($Y75,$J$5:$M$27,23,FALSE)-SUM($F$10,$F$21:$F$24,$F$26)-HLOOKUP($Y75,$J$5:$M$27,16,FALSE)+HLOOKUP($Y75,$J$5:$M$29,25,FALSE),0))+IF(AA75="○",加算と減算!$AH$3,0)</f>
        <v>0</v>
      </c>
      <c r="AD75" s="85">
        <f t="shared" si="47"/>
        <v>0</v>
      </c>
      <c r="AE75" s="262">
        <f t="shared" si="48"/>
        <v>0</v>
      </c>
    </row>
    <row r="76" spans="3:31">
      <c r="O76" s="61" t="str">
        <f>IF(月途中入退所情報!$D26=$B$2,月途中入退所情報!F26,"-")</f>
        <v>-</v>
      </c>
      <c r="P76" s="61" t="str">
        <f>IF(月途中入退所情報!$D26=$B$2,月途中入退所情報!G26,"-")</f>
        <v>-</v>
      </c>
      <c r="Q76" s="61" t="str">
        <f>IF(月途中入退所情報!$D26=$B$2,月途中入退所情報!H26,"-")</f>
        <v>-</v>
      </c>
      <c r="R76" s="61" t="str">
        <f>IF(月途中入退所情報!$D26=$B$2,月途中入退所情報!I26,"-")</f>
        <v>-</v>
      </c>
      <c r="S76" s="61" t="str">
        <f>IF(月途中入退所情報!$D26=$B$2,月途中入退所情報!J26,"-")</f>
        <v>-</v>
      </c>
      <c r="T76" s="84">
        <f>IF($Q76="標準時間",HLOOKUP($P76,$F$5:$I$27,23,FALSE)-SUM($F$10,$F$21:$F$24,$F$26)-HLOOKUP($P76,$F$5:$I$27,16,FALSE)+HLOOKUP($P76,$F$5:$I$29,25,FALSE),IF($Q76="短時間",HLOOKUP($P76,$J$5:$M$27,23,FALSE)-SUM($F$10,$F$21:$F$24,$F$26)-HLOOKUP($P76,$J$5:$M$27,16,FALSE)+HLOOKUP($P76,$J$5:$M$29,25,FALSE),0))+IF(R76="○",加算と減算!$AH$3,0)</f>
        <v>0</v>
      </c>
      <c r="U76" s="85">
        <f t="shared" si="46"/>
        <v>0</v>
      </c>
      <c r="V76" s="262">
        <f t="shared" si="49"/>
        <v>0</v>
      </c>
      <c r="W76" s="262"/>
      <c r="X76" s="61" t="str">
        <f>IF(月途中入退所情報!$N26=$B$2,月途中入退所情報!$P26,"-")</f>
        <v>-</v>
      </c>
      <c r="Y76" s="61" t="str">
        <f>IF(月途中入退所情報!$N26=$B$2,月途中入退所情報!$Q26,"-")</f>
        <v>-</v>
      </c>
      <c r="Z76" s="61" t="str">
        <f>IF(月途中入退所情報!$N26=$B$2,月途中入退所情報!$R26,"-")</f>
        <v>-</v>
      </c>
      <c r="AA76" s="61" t="str">
        <f>IF(月途中入退所情報!$N26=$B$2,月途中入退所情報!$S26,"-")</f>
        <v>-</v>
      </c>
      <c r="AB76" s="61" t="str">
        <f>IF(月途中入退所情報!$N26=$B$2,月途中入退所情報!$T26,"-")</f>
        <v>-</v>
      </c>
      <c r="AC76" s="84">
        <f>IF($Z76="標準時間",HLOOKUP($Y76,$F$5:$I$27,23,FALSE)-SUM($F$10,$F$21:$F$24,$F$26)-HLOOKUP($Y76,$F$5:$I$27,16,FALSE)+HLOOKUP($Y76,$F$5:$I$29,25,FALSE),IF($Z76="短時間",HLOOKUP($Y76,$J$5:$M$27,23,FALSE)-SUM($F$10,$F$21:$F$24,$F$26)-HLOOKUP($Y76,$J$5:$M$27,16,FALSE)+HLOOKUP($Y76,$J$5:$M$29,25,FALSE),0))+IF(AA76="○",加算と減算!$AH$3,0)</f>
        <v>0</v>
      </c>
      <c r="AD76" s="85">
        <f t="shared" si="47"/>
        <v>0</v>
      </c>
      <c r="AE76" s="262">
        <f t="shared" si="48"/>
        <v>0</v>
      </c>
    </row>
    <row r="77" spans="3:31">
      <c r="O77" s="61" t="str">
        <f>IF(月途中入退所情報!$D27=$B$2,月途中入退所情報!F27,"-")</f>
        <v>-</v>
      </c>
      <c r="P77" s="61" t="str">
        <f>IF(月途中入退所情報!$D27=$B$2,月途中入退所情報!G27,"-")</f>
        <v>-</v>
      </c>
      <c r="Q77" s="61" t="str">
        <f>IF(月途中入退所情報!$D27=$B$2,月途中入退所情報!H27,"-")</f>
        <v>-</v>
      </c>
      <c r="R77" s="61" t="str">
        <f>IF(月途中入退所情報!$D27=$B$2,月途中入退所情報!I27,"-")</f>
        <v>-</v>
      </c>
      <c r="S77" s="61" t="str">
        <f>IF(月途中入退所情報!$D27=$B$2,月途中入退所情報!J27,"-")</f>
        <v>-</v>
      </c>
      <c r="T77" s="84">
        <f>IF($Q77="標準時間",HLOOKUP($P77,$F$5:$I$27,23,FALSE)-SUM($F$10,$F$21:$F$24,$F$26)-HLOOKUP($P77,$F$5:$I$27,16,FALSE)+HLOOKUP($P77,$F$5:$I$29,25,FALSE),IF($Q77="短時間",HLOOKUP($P77,$J$5:$M$27,23,FALSE)-SUM($F$10,$F$21:$F$24,$F$26)-HLOOKUP($P77,$J$5:$M$27,16,FALSE)+HLOOKUP($P77,$J$5:$M$29,25,FALSE),0))+IF(R77="○",加算と減算!$AH$3,0)</f>
        <v>0</v>
      </c>
      <c r="U77" s="85">
        <f t="shared" si="46"/>
        <v>0</v>
      </c>
      <c r="V77" s="262">
        <f t="shared" si="49"/>
        <v>0</v>
      </c>
      <c r="W77" s="262"/>
      <c r="X77" s="61" t="str">
        <f>IF(月途中入退所情報!$N27=$B$2,月途中入退所情報!$P27,"-")</f>
        <v>-</v>
      </c>
      <c r="Y77" s="61" t="str">
        <f>IF(月途中入退所情報!$N27=$B$2,月途中入退所情報!$Q27,"-")</f>
        <v>-</v>
      </c>
      <c r="Z77" s="61" t="str">
        <f>IF(月途中入退所情報!$N27=$B$2,月途中入退所情報!$R27,"-")</f>
        <v>-</v>
      </c>
      <c r="AA77" s="61" t="str">
        <f>IF(月途中入退所情報!$N27=$B$2,月途中入退所情報!$S27,"-")</f>
        <v>-</v>
      </c>
      <c r="AB77" s="61" t="str">
        <f>IF(月途中入退所情報!$N27=$B$2,月途中入退所情報!$T27,"-")</f>
        <v>-</v>
      </c>
      <c r="AC77" s="84">
        <f>IF($Z77="標準時間",HLOOKUP($Y77,$F$5:$I$27,23,FALSE)-SUM($F$10,$F$21:$F$24,$F$26)-HLOOKUP($Y77,$F$5:$I$27,16,FALSE)+HLOOKUP($Y77,$F$5:$I$29,25,FALSE),IF($Z77="短時間",HLOOKUP($Y77,$J$5:$M$27,23,FALSE)-SUM($F$10,$F$21:$F$24,$F$26)-HLOOKUP($Y77,$J$5:$M$27,16,FALSE)+HLOOKUP($Y77,$J$5:$M$29,25,FALSE),0))+IF(AA77="○",加算と減算!$AH$3,0)</f>
        <v>0</v>
      </c>
      <c r="AD77" s="85">
        <f t="shared" si="47"/>
        <v>0</v>
      </c>
      <c r="AE77" s="262">
        <f t="shared" si="48"/>
        <v>0</v>
      </c>
    </row>
    <row r="78" spans="3:31">
      <c r="T78" s="86" t="s">
        <v>36</v>
      </c>
      <c r="U78" s="85">
        <f>SUM(U58:U77)</f>
        <v>0</v>
      </c>
      <c r="V78" s="262">
        <f>SUM(V58:V77)</f>
        <v>0</v>
      </c>
      <c r="W78" s="262"/>
      <c r="AC78" s="86" t="s">
        <v>36</v>
      </c>
      <c r="AD78" s="85">
        <f>SUM(AD58:AD77)</f>
        <v>0</v>
      </c>
      <c r="AE78" s="264">
        <f>SUM(AE58:AE77)</f>
        <v>0</v>
      </c>
    </row>
    <row r="79" spans="3:31">
      <c r="O79" s="1430" t="s">
        <v>430</v>
      </c>
      <c r="P79" s="1430"/>
      <c r="X79" s="385" t="s">
        <v>431</v>
      </c>
      <c r="Y79" s="385"/>
    </row>
    <row r="80" spans="3:31">
      <c r="O80" s="83" t="s">
        <v>429</v>
      </c>
      <c r="P80" s="83" t="s">
        <v>206</v>
      </c>
      <c r="Q80" s="83" t="s">
        <v>207</v>
      </c>
      <c r="R80" s="83" t="s">
        <v>448</v>
      </c>
      <c r="S80" s="83" t="s">
        <v>214</v>
      </c>
      <c r="T80" s="83" t="s">
        <v>215</v>
      </c>
      <c r="U80" s="83" t="s">
        <v>216</v>
      </c>
      <c r="V80" s="282" t="s">
        <v>455</v>
      </c>
      <c r="W80" s="261"/>
      <c r="X80" s="83" t="s">
        <v>429</v>
      </c>
      <c r="Y80" s="83" t="s">
        <v>206</v>
      </c>
      <c r="Z80" s="83" t="s">
        <v>207</v>
      </c>
      <c r="AA80" s="83" t="s">
        <v>448</v>
      </c>
      <c r="AB80" s="83" t="s">
        <v>218</v>
      </c>
      <c r="AC80" s="83" t="s">
        <v>215</v>
      </c>
      <c r="AD80" s="280" t="s">
        <v>453</v>
      </c>
      <c r="AE80" s="282" t="s">
        <v>455</v>
      </c>
    </row>
    <row r="81" spans="15:31">
      <c r="O81" s="61" t="str">
        <f>IF(月途中入退所情報!$D31=$B$2,月途中入退所情報!F31,"-")</f>
        <v>-</v>
      </c>
      <c r="P81" s="61" t="str">
        <f>IF(月途中入退所情報!$D31=$B$2,月途中入退所情報!G31,"-")</f>
        <v>-</v>
      </c>
      <c r="Q81" s="61" t="str">
        <f>IF(月途中入退所情報!$D31=$B$2,月途中入退所情報!H31,"-")</f>
        <v>-</v>
      </c>
      <c r="R81" s="61" t="str">
        <f>IF(月途中入退所情報!$D31=$B$2,月途中入退所情報!I31,"-")</f>
        <v>-</v>
      </c>
      <c r="S81" s="61" t="str">
        <f>IF(月途中入退所情報!$D31=$B$2,月途中入退所情報!J31,"-")</f>
        <v>-</v>
      </c>
      <c r="T81" s="84">
        <f>IF($Q81="標準時間",HLOOKUP($P81,$F$31:$I$54,24,FALSE)-SUM($F$10,$F$21:$F$24,$F$26)-HLOOKUP($P81,$F$31:$I$54,17,FALSE)+HLOOKUP($P81,$F$31:$I$56,26,FALSE),IF($Q81="短時間",HLOOKUP($P81,$J$31:$M$54,24,FALSE)-SUM($F$10,$F$21:$F$24,$F$26)-HLOOKUP($P81,$J$31:$M$54,17,FALSE)+HLOOKUP($P81,$J$31:$M$56,26,FALSE),0))+IF(R81="○",加算と減算!$AH$3,0)</f>
        <v>0</v>
      </c>
      <c r="U81" s="85">
        <f t="shared" ref="U81:U100" si="55">IFERROR(ROUNDDOWN(T81*S81/25,-1),0)</f>
        <v>0</v>
      </c>
      <c r="V81" s="262">
        <f>IFERROR(ROUNDDOWN(IF($Q81="標準時間",HLOOKUP($P81,$F$31:$I$55,25,FALSE),IF($Q81="短時間",HLOOKUP($P81,$J$31:$M$55,25,FALSE),0))*S81/25,-1),0)</f>
        <v>0</v>
      </c>
      <c r="W81" s="262"/>
      <c r="X81" s="61" t="str">
        <f>IF(月途中入退所情報!$N31=$B$2,月途中入退所情報!$P31,"-")</f>
        <v>-</v>
      </c>
      <c r="Y81" s="61" t="str">
        <f>IF(月途中入退所情報!$N31=$B$2,月途中入退所情報!$Q31,"-")</f>
        <v>-</v>
      </c>
      <c r="Z81" s="61" t="str">
        <f>IF(月途中入退所情報!$N31=$B$2,月途中入退所情報!$R31,"-")</f>
        <v>-</v>
      </c>
      <c r="AA81" s="61" t="str">
        <f>IF(月途中入退所情報!$N31=$B$2,月途中入退所情報!$S31,"-")</f>
        <v>-</v>
      </c>
      <c r="AB81" s="61" t="str">
        <f>IF(月途中入退所情報!$N31=$B$2,月途中入退所情報!$T31,"-")</f>
        <v>-</v>
      </c>
      <c r="AC81" s="84">
        <f>IF($Z81="標準時間",HLOOKUP($Y81,$F$31:$I$54,24,FALSE)-SUM($F$10,$F$21:$F$24,$F$26)-HLOOKUP($Y81,$F$31:$I$54,17,FALSE)+HLOOKUP($Y81,$F$31:$I$56,26,FALSE),IF($Z81="短時間",HLOOKUP($Y81,$J$31:$M$54,24,FALSE)-SUM($F$10,$F$21:$F$24,$F$26)-HLOOKUP($Y81,$J$31:$M$54,17,FALSE)+HLOOKUP($Y81,$J$31:$M$56,26,FALSE),0))+IF(AA81="○",加算と減算!$AH$3,0)</f>
        <v>0</v>
      </c>
      <c r="AD81" s="85">
        <f t="shared" ref="AD81:AD100" si="56">IFERROR(-ROUNDUP(AC81*AB81/25,-1),0)</f>
        <v>0</v>
      </c>
      <c r="AE81" s="262">
        <f t="shared" ref="AE81:AE100" si="57">IFERROR(-ROUNDUP(IF($Z81="標準時間",HLOOKUP($Y81,$F$31:$I$55,25,FALSE),IF($Z81="短時間",HLOOKUP($Y81,$J$31:$M$55,25,FALSE),0))*AB81/25,-1),0)</f>
        <v>0</v>
      </c>
    </row>
    <row r="82" spans="15:31">
      <c r="O82" s="61" t="str">
        <f>IF(月途中入退所情報!$D32=$B$2,月途中入退所情報!F32,"-")</f>
        <v>-</v>
      </c>
      <c r="P82" s="61" t="str">
        <f>IF(月途中入退所情報!$D32=$B$2,月途中入退所情報!G32,"-")</f>
        <v>-</v>
      </c>
      <c r="Q82" s="61" t="str">
        <f>IF(月途中入退所情報!$D32=$B$2,月途中入退所情報!H32,"-")</f>
        <v>-</v>
      </c>
      <c r="R82" s="61" t="str">
        <f>IF(月途中入退所情報!$D32=$B$2,月途中入退所情報!I32,"-")</f>
        <v>-</v>
      </c>
      <c r="S82" s="61" t="str">
        <f>IF(月途中入退所情報!$D32=$B$2,月途中入退所情報!J32,"-")</f>
        <v>-</v>
      </c>
      <c r="T82" s="84">
        <f>IF($Q82="標準時間",HLOOKUP($P82,$F$31:$I$54,24,FALSE)-SUM($F$10,$F$21:$F$24,$F$26)-HLOOKUP($P82,$F$31:$I$54,17,FALSE)+HLOOKUP($P82,$F$31:$I$56,26,FALSE),IF($Q82="短時間",HLOOKUP($P82,$J$31:$M$54,24,FALSE)-SUM($F$10,$F$21:$F$24,$F$26)-HLOOKUP($P82,$J$31:$M$54,17,FALSE)+HLOOKUP($P82,$J$31:$M$56,26,FALSE),0))+IF(R82="○",加算と減算!$AH$3,0)</f>
        <v>0</v>
      </c>
      <c r="U82" s="85">
        <f t="shared" si="55"/>
        <v>0</v>
      </c>
      <c r="V82" s="262">
        <f t="shared" ref="V82:V100" si="58">IFERROR(ROUNDDOWN(IF($Q82="標準時間",HLOOKUP($P82,$F$31:$I$55,25,FALSE),IF($Q82="短時間",HLOOKUP($P82,$J$31:$M$55,25,FALSE),0))*S82/25,-1),0)</f>
        <v>0</v>
      </c>
      <c r="W82" s="262"/>
      <c r="X82" s="61" t="str">
        <f>IF(月途中入退所情報!$N32=$B$2,月途中入退所情報!$P32,"-")</f>
        <v>-</v>
      </c>
      <c r="Y82" s="61" t="str">
        <f>IF(月途中入退所情報!$N32=$B$2,月途中入退所情報!$Q32,"-")</f>
        <v>-</v>
      </c>
      <c r="Z82" s="61" t="str">
        <f>IF(月途中入退所情報!$N32=$B$2,月途中入退所情報!$R32,"-")</f>
        <v>-</v>
      </c>
      <c r="AA82" s="61" t="str">
        <f>IF(月途中入退所情報!$N32=$B$2,月途中入退所情報!$S32,"-")</f>
        <v>-</v>
      </c>
      <c r="AB82" s="61" t="str">
        <f>IF(月途中入退所情報!$N32=$B$2,月途中入退所情報!$T32,"-")</f>
        <v>-</v>
      </c>
      <c r="AC82" s="84">
        <f>IF($Z82="標準時間",HLOOKUP($Y82,$F$31:$I$54,24,FALSE)-SUM($F$10,$F$21:$F$24,$F$26)-HLOOKUP($Y82,$F$31:$I$54,17,FALSE)+HLOOKUP($Y82,$F$31:$I$56,26,FALSE),IF($Z82="短時間",HLOOKUP($Y82,$J$31:$M$54,24,FALSE)-SUM($F$10,$F$21:$F$24,$F$26)-HLOOKUP($Y82,$J$31:$M$54,17,FALSE)+HLOOKUP($Y82,$J$31:$M$56,26,FALSE),0))+IF(AA82="○",加算と減算!$AH$3,0)</f>
        <v>0</v>
      </c>
      <c r="AD82" s="85">
        <f t="shared" si="56"/>
        <v>0</v>
      </c>
      <c r="AE82" s="262">
        <f t="shared" si="57"/>
        <v>0</v>
      </c>
    </row>
    <row r="83" spans="15:31">
      <c r="O83" s="61" t="str">
        <f>IF(月途中入退所情報!$D33=$B$2,月途中入退所情報!F33,"-")</f>
        <v>-</v>
      </c>
      <c r="P83" s="61" t="str">
        <f>IF(月途中入退所情報!$D33=$B$2,月途中入退所情報!G33,"-")</f>
        <v>-</v>
      </c>
      <c r="Q83" s="61" t="str">
        <f>IF(月途中入退所情報!$D33=$B$2,月途中入退所情報!H33,"-")</f>
        <v>-</v>
      </c>
      <c r="R83" s="61" t="str">
        <f>IF(月途中入退所情報!$D33=$B$2,月途中入退所情報!I33,"-")</f>
        <v>-</v>
      </c>
      <c r="S83" s="61" t="str">
        <f>IF(月途中入退所情報!$D33=$B$2,月途中入退所情報!J33,"-")</f>
        <v>-</v>
      </c>
      <c r="T83" s="84">
        <f>IF($Q83="標準時間",HLOOKUP($P83,$F$31:$I$54,24,FALSE)-SUM($F$10,$F$21:$F$24,$F$26)-HLOOKUP($P83,$F$31:$I$54,17,FALSE)+HLOOKUP($P83,$F$31:$I$56,26,FALSE),IF($Q83="短時間",HLOOKUP($P83,$J$31:$M$54,24,FALSE)-SUM($F$10,$F$21:$F$24,$F$26)-HLOOKUP($P83,$J$31:$M$54,17,FALSE)+HLOOKUP($P83,$J$31:$M$56,26,FALSE),0))+IF(R83="○",加算と減算!$AH$3,0)</f>
        <v>0</v>
      </c>
      <c r="U83" s="85">
        <f t="shared" si="55"/>
        <v>0</v>
      </c>
      <c r="V83" s="262">
        <f t="shared" si="58"/>
        <v>0</v>
      </c>
      <c r="W83" s="262"/>
      <c r="X83" s="61" t="str">
        <f>IF(月途中入退所情報!$N33=$B$2,月途中入退所情報!$P33,"-")</f>
        <v>-</v>
      </c>
      <c r="Y83" s="61" t="str">
        <f>IF(月途中入退所情報!$N33=$B$2,月途中入退所情報!$Q33,"-")</f>
        <v>-</v>
      </c>
      <c r="Z83" s="61" t="str">
        <f>IF(月途中入退所情報!$N33=$B$2,月途中入退所情報!$R33,"-")</f>
        <v>-</v>
      </c>
      <c r="AA83" s="61" t="str">
        <f>IF(月途中入退所情報!$N33=$B$2,月途中入退所情報!$S33,"-")</f>
        <v>-</v>
      </c>
      <c r="AB83" s="61" t="str">
        <f>IF(月途中入退所情報!$N33=$B$2,月途中入退所情報!$T33,"-")</f>
        <v>-</v>
      </c>
      <c r="AC83" s="84">
        <f>IF($Z83="標準時間",HLOOKUP($Y83,$F$31:$I$54,24,FALSE)-SUM($F$10,$F$21:$F$24,$F$26)-HLOOKUP($Y83,$F$31:$I$54,17,FALSE)+HLOOKUP($Y83,$F$31:$I$56,26,FALSE),IF($Z83="短時間",HLOOKUP($Y83,$J$31:$M$54,24,FALSE)-SUM($F$10,$F$21:$F$24,$F$26)-HLOOKUP($Y83,$J$31:$M$54,17,FALSE)+HLOOKUP($Y83,$J$31:$M$56,26,FALSE),0))+IF(AA83="○",加算と減算!$AH$3,0)</f>
        <v>0</v>
      </c>
      <c r="AD83" s="85">
        <f t="shared" si="56"/>
        <v>0</v>
      </c>
      <c r="AE83" s="262">
        <f t="shared" si="57"/>
        <v>0</v>
      </c>
    </row>
    <row r="84" spans="15:31">
      <c r="O84" s="61" t="str">
        <f>IF(月途中入退所情報!$D34=$B$2,月途中入退所情報!F34,"-")</f>
        <v>-</v>
      </c>
      <c r="P84" s="61" t="str">
        <f>IF(月途中入退所情報!$D34=$B$2,月途中入退所情報!G34,"-")</f>
        <v>-</v>
      </c>
      <c r="Q84" s="61" t="str">
        <f>IF(月途中入退所情報!$D34=$B$2,月途中入退所情報!H34,"-")</f>
        <v>-</v>
      </c>
      <c r="R84" s="61" t="str">
        <f>IF(月途中入退所情報!$D34=$B$2,月途中入退所情報!I34,"-")</f>
        <v>-</v>
      </c>
      <c r="S84" s="61" t="str">
        <f>IF(月途中入退所情報!$D34=$B$2,月途中入退所情報!J34,"-")</f>
        <v>-</v>
      </c>
      <c r="T84" s="84">
        <f>IF($Q84="標準時間",HLOOKUP($P84,$F$31:$I$54,24,FALSE)-SUM($F$10,$F$21:$F$24,$F$26)-HLOOKUP($P84,$F$31:$I$54,17,FALSE)+HLOOKUP($P84,$F$31:$I$56,26,FALSE),IF($Q84="短時間",HLOOKUP($P84,$J$31:$M$54,24,FALSE)-SUM($F$10,$F$21:$F$24,$F$26)-HLOOKUP($P84,$J$31:$M$54,17,FALSE)+HLOOKUP($P84,$J$31:$M$56,26,FALSE),0))+IF(R84="○",加算と減算!$AH$3,0)</f>
        <v>0</v>
      </c>
      <c r="U84" s="85">
        <f t="shared" si="55"/>
        <v>0</v>
      </c>
      <c r="V84" s="262">
        <f t="shared" si="58"/>
        <v>0</v>
      </c>
      <c r="W84" s="262"/>
      <c r="X84" s="61" t="str">
        <f>IF(月途中入退所情報!$N34=$B$2,月途中入退所情報!$P34,"-")</f>
        <v>-</v>
      </c>
      <c r="Y84" s="61" t="str">
        <f>IF(月途中入退所情報!$N34=$B$2,月途中入退所情報!$Q34,"-")</f>
        <v>-</v>
      </c>
      <c r="Z84" s="61" t="str">
        <f>IF(月途中入退所情報!$N34=$B$2,月途中入退所情報!$R34,"-")</f>
        <v>-</v>
      </c>
      <c r="AA84" s="61" t="str">
        <f>IF(月途中入退所情報!$N34=$B$2,月途中入退所情報!$S34,"-")</f>
        <v>-</v>
      </c>
      <c r="AB84" s="61" t="str">
        <f>IF(月途中入退所情報!$N34=$B$2,月途中入退所情報!$T34,"-")</f>
        <v>-</v>
      </c>
      <c r="AC84" s="84">
        <f>IF($Z84="標準時間",HLOOKUP($Y84,$F$31:$I$54,24,FALSE)-SUM($F$10,$F$21:$F$24,$F$26)-HLOOKUP($Y84,$F$31:$I$54,17,FALSE)+HLOOKUP($Y84,$F$31:$I$56,26,FALSE),IF($Z84="短時間",HLOOKUP($Y84,$J$31:$M$54,24,FALSE)-SUM($F$10,$F$21:$F$24,$F$26)-HLOOKUP($Y84,$J$31:$M$54,17,FALSE)+HLOOKUP($Y84,$J$31:$M$56,26,FALSE),0))+IF(AA84="○",加算と減算!$AH$3,0)</f>
        <v>0</v>
      </c>
      <c r="AD84" s="85">
        <f t="shared" si="56"/>
        <v>0</v>
      </c>
      <c r="AE84" s="262">
        <f t="shared" si="57"/>
        <v>0</v>
      </c>
    </row>
    <row r="85" spans="15:31">
      <c r="O85" s="61" t="str">
        <f>IF(月途中入退所情報!$D35=$B$2,月途中入退所情報!F35,"-")</f>
        <v>-</v>
      </c>
      <c r="P85" s="61" t="str">
        <f>IF(月途中入退所情報!$D35=$B$2,月途中入退所情報!G35,"-")</f>
        <v>-</v>
      </c>
      <c r="Q85" s="61" t="str">
        <f>IF(月途中入退所情報!$D35=$B$2,月途中入退所情報!H35,"-")</f>
        <v>-</v>
      </c>
      <c r="R85" s="61" t="str">
        <f>IF(月途中入退所情報!$D35=$B$2,月途中入退所情報!I35,"-")</f>
        <v>-</v>
      </c>
      <c r="S85" s="61" t="str">
        <f>IF(月途中入退所情報!$D35=$B$2,月途中入退所情報!J35,"-")</f>
        <v>-</v>
      </c>
      <c r="T85" s="84">
        <f>IF($Q85="標準時間",HLOOKUP($P85,$F$31:$I$54,24,FALSE)-SUM($F$10,$F$21:$F$24,$F$26)-HLOOKUP($P85,$F$31:$I$54,17,FALSE)+HLOOKUP($P85,$F$31:$I$56,26,FALSE),IF($Q85="短時間",HLOOKUP($P85,$J$31:$M$54,24,FALSE)-SUM($F$10,$F$21:$F$24,$F$26)-HLOOKUP($P85,$J$31:$M$54,17,FALSE)+HLOOKUP($P85,$J$31:$M$56,26,FALSE),0))+IF(R85="○",加算と減算!$AH$3,0)</f>
        <v>0</v>
      </c>
      <c r="U85" s="85">
        <f t="shared" si="55"/>
        <v>0</v>
      </c>
      <c r="V85" s="262">
        <f t="shared" si="58"/>
        <v>0</v>
      </c>
      <c r="W85" s="262"/>
      <c r="X85" s="61" t="str">
        <f>IF(月途中入退所情報!$N35=$B$2,月途中入退所情報!$P35,"-")</f>
        <v>-</v>
      </c>
      <c r="Y85" s="61" t="str">
        <f>IF(月途中入退所情報!$N35=$B$2,月途中入退所情報!$Q35,"-")</f>
        <v>-</v>
      </c>
      <c r="Z85" s="61" t="str">
        <f>IF(月途中入退所情報!$N35=$B$2,月途中入退所情報!$R35,"-")</f>
        <v>-</v>
      </c>
      <c r="AA85" s="61" t="str">
        <f>IF(月途中入退所情報!$N35=$B$2,月途中入退所情報!$S35,"-")</f>
        <v>-</v>
      </c>
      <c r="AB85" s="61" t="str">
        <f>IF(月途中入退所情報!$N35=$B$2,月途中入退所情報!$T35,"-")</f>
        <v>-</v>
      </c>
      <c r="AC85" s="84">
        <f>IF($Z85="標準時間",HLOOKUP($Y85,$F$31:$I$54,24,FALSE)-SUM($F$10,$F$21:$F$24,$F$26)-HLOOKUP($Y85,$F$31:$I$54,17,FALSE)+HLOOKUP($Y85,$F$31:$I$56,26,FALSE),IF($Z85="短時間",HLOOKUP($Y85,$J$31:$M$54,24,FALSE)-SUM($F$10,$F$21:$F$24,$F$26)-HLOOKUP($Y85,$J$31:$M$54,17,FALSE)+HLOOKUP($Y85,$J$31:$M$56,26,FALSE),0))+IF(AA85="○",加算と減算!$AH$3,0)</f>
        <v>0</v>
      </c>
      <c r="AD85" s="85">
        <f t="shared" si="56"/>
        <v>0</v>
      </c>
      <c r="AE85" s="262">
        <f t="shared" si="57"/>
        <v>0</v>
      </c>
    </row>
    <row r="86" spans="15:31">
      <c r="O86" s="61" t="str">
        <f>IF(月途中入退所情報!$D36=$B$2,月途中入退所情報!F36,"-")</f>
        <v>-</v>
      </c>
      <c r="P86" s="61" t="str">
        <f>IF(月途中入退所情報!$D36=$B$2,月途中入退所情報!G36,"-")</f>
        <v>-</v>
      </c>
      <c r="Q86" s="61" t="str">
        <f>IF(月途中入退所情報!$D36=$B$2,月途中入退所情報!H36,"-")</f>
        <v>-</v>
      </c>
      <c r="R86" s="61" t="str">
        <f>IF(月途中入退所情報!$D36=$B$2,月途中入退所情報!I36,"-")</f>
        <v>-</v>
      </c>
      <c r="S86" s="61" t="str">
        <f>IF(月途中入退所情報!$D36=$B$2,月途中入退所情報!J36,"-")</f>
        <v>-</v>
      </c>
      <c r="T86" s="84">
        <f>IF($Q86="標準時間",HLOOKUP($P86,$F$31:$I$54,24,FALSE)-SUM($F$10,$F$21:$F$24,$F$26)-HLOOKUP($P86,$F$31:$I$54,17,FALSE)+HLOOKUP($P86,$F$31:$I$56,26,FALSE),IF($Q86="短時間",HLOOKUP($P86,$J$31:$M$54,24,FALSE)-SUM($F$10,$F$21:$F$24,$F$26)-HLOOKUP($P86,$J$31:$M$54,17,FALSE)+HLOOKUP($P86,$J$31:$M$56,26,FALSE),0))+IF(R86="○",加算と減算!$AH$3,0)</f>
        <v>0</v>
      </c>
      <c r="U86" s="85">
        <f t="shared" si="55"/>
        <v>0</v>
      </c>
      <c r="V86" s="262">
        <f t="shared" si="58"/>
        <v>0</v>
      </c>
      <c r="W86" s="262"/>
      <c r="X86" s="61" t="str">
        <f>IF(月途中入退所情報!$N36=$B$2,月途中入退所情報!$P36,"-")</f>
        <v>-</v>
      </c>
      <c r="Y86" s="61" t="str">
        <f>IF(月途中入退所情報!$N36=$B$2,月途中入退所情報!$Q36,"-")</f>
        <v>-</v>
      </c>
      <c r="Z86" s="61" t="str">
        <f>IF(月途中入退所情報!$N36=$B$2,月途中入退所情報!$R36,"-")</f>
        <v>-</v>
      </c>
      <c r="AA86" s="61" t="str">
        <f>IF(月途中入退所情報!$N36=$B$2,月途中入退所情報!$S36,"-")</f>
        <v>-</v>
      </c>
      <c r="AB86" s="61" t="str">
        <f>IF(月途中入退所情報!$N36=$B$2,月途中入退所情報!$T36,"-")</f>
        <v>-</v>
      </c>
      <c r="AC86" s="84">
        <f>IF($Z86="標準時間",HLOOKUP($Y86,$F$31:$I$54,24,FALSE)-SUM($F$10,$F$21:$F$24,$F$26)-HLOOKUP($Y86,$F$31:$I$54,17,FALSE)+HLOOKUP($Y86,$F$31:$I$56,26,FALSE),IF($Z86="短時間",HLOOKUP($Y86,$J$31:$M$54,24,FALSE)-SUM($F$10,$F$21:$F$24,$F$26)-HLOOKUP($Y86,$J$31:$M$54,17,FALSE)+HLOOKUP($Y86,$J$31:$M$56,26,FALSE),0))+IF(AA86="○",加算と減算!$AH$3,0)</f>
        <v>0</v>
      </c>
      <c r="AD86" s="85">
        <f t="shared" si="56"/>
        <v>0</v>
      </c>
      <c r="AE86" s="262">
        <f t="shared" si="57"/>
        <v>0</v>
      </c>
    </row>
    <row r="87" spans="15:31">
      <c r="O87" s="61" t="str">
        <f>IF(月途中入退所情報!$D37=$B$2,月途中入退所情報!F37,"-")</f>
        <v>-</v>
      </c>
      <c r="P87" s="61" t="str">
        <f>IF(月途中入退所情報!$D37=$B$2,月途中入退所情報!G37,"-")</f>
        <v>-</v>
      </c>
      <c r="Q87" s="61" t="str">
        <f>IF(月途中入退所情報!$D37=$B$2,月途中入退所情報!H37,"-")</f>
        <v>-</v>
      </c>
      <c r="R87" s="61" t="str">
        <f>IF(月途中入退所情報!$D37=$B$2,月途中入退所情報!I37,"-")</f>
        <v>-</v>
      </c>
      <c r="S87" s="61" t="str">
        <f>IF(月途中入退所情報!$D37=$B$2,月途中入退所情報!J37,"-")</f>
        <v>-</v>
      </c>
      <c r="T87" s="84">
        <f>IF($Q87="標準時間",HLOOKUP($P87,$F$31:$I$54,24,FALSE)-SUM($F$10,$F$21:$F$24,$F$26)-HLOOKUP($P87,$F$31:$I$54,17,FALSE)+HLOOKUP($P87,$F$31:$I$56,26,FALSE),IF($Q87="短時間",HLOOKUP($P87,$J$31:$M$54,24,FALSE)-SUM($F$10,$F$21:$F$24,$F$26)-HLOOKUP($P87,$J$31:$M$54,17,FALSE)+HLOOKUP($P87,$J$31:$M$56,26,FALSE),0))+IF(R87="○",加算と減算!$AH$3,0)</f>
        <v>0</v>
      </c>
      <c r="U87" s="85">
        <f t="shared" si="55"/>
        <v>0</v>
      </c>
      <c r="V87" s="262">
        <f t="shared" si="58"/>
        <v>0</v>
      </c>
      <c r="W87" s="262"/>
      <c r="X87" s="61" t="str">
        <f>IF(月途中入退所情報!$N37=$B$2,月途中入退所情報!$P37,"-")</f>
        <v>-</v>
      </c>
      <c r="Y87" s="61" t="str">
        <f>IF(月途中入退所情報!$N37=$B$2,月途中入退所情報!$Q37,"-")</f>
        <v>-</v>
      </c>
      <c r="Z87" s="61" t="str">
        <f>IF(月途中入退所情報!$N37=$B$2,月途中入退所情報!$R37,"-")</f>
        <v>-</v>
      </c>
      <c r="AA87" s="61" t="str">
        <f>IF(月途中入退所情報!$N37=$B$2,月途中入退所情報!$S37,"-")</f>
        <v>-</v>
      </c>
      <c r="AB87" s="61" t="str">
        <f>IF(月途中入退所情報!$N37=$B$2,月途中入退所情報!$T37,"-")</f>
        <v>-</v>
      </c>
      <c r="AC87" s="84">
        <f>IF($Z87="標準時間",HLOOKUP($Y87,$F$31:$I$54,24,FALSE)-SUM($F$10,$F$21:$F$24,$F$26)-HLOOKUP($Y87,$F$31:$I$54,17,FALSE)+HLOOKUP($Y87,$F$31:$I$56,26,FALSE),IF($Z87="短時間",HLOOKUP($Y87,$J$31:$M$54,24,FALSE)-SUM($F$10,$F$21:$F$24,$F$26)-HLOOKUP($Y87,$J$31:$M$54,17,FALSE)+HLOOKUP($Y87,$J$31:$M$56,26,FALSE),0))+IF(AA87="○",加算と減算!$AH$3,0)</f>
        <v>0</v>
      </c>
      <c r="AD87" s="85">
        <f t="shared" si="56"/>
        <v>0</v>
      </c>
      <c r="AE87" s="262">
        <f t="shared" si="57"/>
        <v>0</v>
      </c>
    </row>
    <row r="88" spans="15:31">
      <c r="O88" s="61" t="str">
        <f>IF(月途中入退所情報!$D38=$B$2,月途中入退所情報!F38,"-")</f>
        <v>-</v>
      </c>
      <c r="P88" s="61" t="str">
        <f>IF(月途中入退所情報!$D38=$B$2,月途中入退所情報!G38,"-")</f>
        <v>-</v>
      </c>
      <c r="Q88" s="61" t="str">
        <f>IF(月途中入退所情報!$D38=$B$2,月途中入退所情報!H38,"-")</f>
        <v>-</v>
      </c>
      <c r="R88" s="61" t="str">
        <f>IF(月途中入退所情報!$D38=$B$2,月途中入退所情報!I38,"-")</f>
        <v>-</v>
      </c>
      <c r="S88" s="61" t="str">
        <f>IF(月途中入退所情報!$D38=$B$2,月途中入退所情報!J38,"-")</f>
        <v>-</v>
      </c>
      <c r="T88" s="84">
        <f>IF($Q88="標準時間",HLOOKUP($P88,$F$31:$I$54,24,FALSE)-SUM($F$10,$F$21:$F$24,$F$26)-HLOOKUP($P88,$F$31:$I$54,17,FALSE)+HLOOKUP($P88,$F$31:$I$56,26,FALSE),IF($Q88="短時間",HLOOKUP($P88,$J$31:$M$54,24,FALSE)-SUM($F$10,$F$21:$F$24,$F$26)-HLOOKUP($P88,$J$31:$M$54,17,FALSE)+HLOOKUP($P88,$J$31:$M$56,26,FALSE),0))+IF(R88="○",加算と減算!$AH$3,0)</f>
        <v>0</v>
      </c>
      <c r="U88" s="85">
        <f t="shared" si="55"/>
        <v>0</v>
      </c>
      <c r="V88" s="262">
        <f t="shared" si="58"/>
        <v>0</v>
      </c>
      <c r="W88" s="262"/>
      <c r="X88" s="61" t="str">
        <f>IF(月途中入退所情報!$N38=$B$2,月途中入退所情報!$P38,"-")</f>
        <v>-</v>
      </c>
      <c r="Y88" s="61" t="str">
        <f>IF(月途中入退所情報!$N38=$B$2,月途中入退所情報!$Q38,"-")</f>
        <v>-</v>
      </c>
      <c r="Z88" s="61" t="str">
        <f>IF(月途中入退所情報!$N38=$B$2,月途中入退所情報!$R38,"-")</f>
        <v>-</v>
      </c>
      <c r="AA88" s="61" t="str">
        <f>IF(月途中入退所情報!$N38=$B$2,月途中入退所情報!$S38,"-")</f>
        <v>-</v>
      </c>
      <c r="AB88" s="61" t="str">
        <f>IF(月途中入退所情報!$N38=$B$2,月途中入退所情報!$T38,"-")</f>
        <v>-</v>
      </c>
      <c r="AC88" s="84">
        <f>IF($Z88="標準時間",HLOOKUP($Y88,$F$31:$I$54,24,FALSE)-SUM($F$10,$F$21:$F$24,$F$26)-HLOOKUP($Y88,$F$31:$I$54,17,FALSE)+HLOOKUP($Y88,$F$31:$I$56,26,FALSE),IF($Z88="短時間",HLOOKUP($Y88,$J$31:$M$54,24,FALSE)-SUM($F$10,$F$21:$F$24,$F$26)-HLOOKUP($Y88,$J$31:$M$54,17,FALSE)+HLOOKUP($Y88,$J$31:$M$56,26,FALSE),0))+IF(AA88="○",加算と減算!$AH$3,0)</f>
        <v>0</v>
      </c>
      <c r="AD88" s="85">
        <f t="shared" si="56"/>
        <v>0</v>
      </c>
      <c r="AE88" s="262">
        <f t="shared" si="57"/>
        <v>0</v>
      </c>
    </row>
    <row r="89" spans="15:31">
      <c r="O89" s="61" t="str">
        <f>IF(月途中入退所情報!$D39=$B$2,月途中入退所情報!F39,"-")</f>
        <v>-</v>
      </c>
      <c r="P89" s="61" t="str">
        <f>IF(月途中入退所情報!$D39=$B$2,月途中入退所情報!G39,"-")</f>
        <v>-</v>
      </c>
      <c r="Q89" s="61" t="str">
        <f>IF(月途中入退所情報!$D39=$B$2,月途中入退所情報!H39,"-")</f>
        <v>-</v>
      </c>
      <c r="R89" s="61" t="str">
        <f>IF(月途中入退所情報!$D39=$B$2,月途中入退所情報!I39,"-")</f>
        <v>-</v>
      </c>
      <c r="S89" s="61" t="str">
        <f>IF(月途中入退所情報!$D39=$B$2,月途中入退所情報!J39,"-")</f>
        <v>-</v>
      </c>
      <c r="T89" s="84">
        <f>IF($Q89="標準時間",HLOOKUP($P89,$F$31:$I$54,24,FALSE)-SUM($F$10,$F$21:$F$24,$F$26)-HLOOKUP($P89,$F$31:$I$54,17,FALSE)+HLOOKUP($P89,$F$31:$I$56,26,FALSE),IF($Q89="短時間",HLOOKUP($P89,$J$31:$M$54,24,FALSE)-SUM($F$10,$F$21:$F$24,$F$26)-HLOOKUP($P89,$J$31:$M$54,17,FALSE)+HLOOKUP($P89,$J$31:$M$56,26,FALSE),0))+IF(R89="○",加算と減算!$AH$3,0)</f>
        <v>0</v>
      </c>
      <c r="U89" s="85">
        <f t="shared" si="55"/>
        <v>0</v>
      </c>
      <c r="V89" s="262">
        <f t="shared" si="58"/>
        <v>0</v>
      </c>
      <c r="W89" s="262"/>
      <c r="X89" s="61" t="str">
        <f>IF(月途中入退所情報!$N39=$B$2,月途中入退所情報!$P39,"-")</f>
        <v>-</v>
      </c>
      <c r="Y89" s="61" t="str">
        <f>IF(月途中入退所情報!$N39=$B$2,月途中入退所情報!$Q39,"-")</f>
        <v>-</v>
      </c>
      <c r="Z89" s="61" t="str">
        <f>IF(月途中入退所情報!$N39=$B$2,月途中入退所情報!$R39,"-")</f>
        <v>-</v>
      </c>
      <c r="AA89" s="61" t="str">
        <f>IF(月途中入退所情報!$N39=$B$2,月途中入退所情報!$S39,"-")</f>
        <v>-</v>
      </c>
      <c r="AB89" s="61" t="str">
        <f>IF(月途中入退所情報!$N39=$B$2,月途中入退所情報!$T39,"-")</f>
        <v>-</v>
      </c>
      <c r="AC89" s="84">
        <f>IF($Z89="標準時間",HLOOKUP($Y89,$F$31:$I$54,24,FALSE)-SUM($F$10,$F$21:$F$24,$F$26)-HLOOKUP($Y89,$F$31:$I$54,17,FALSE)+HLOOKUP($Y89,$F$31:$I$56,26,FALSE),IF($Z89="短時間",HLOOKUP($Y89,$J$31:$M$54,24,FALSE)-SUM($F$10,$F$21:$F$24,$F$26)-HLOOKUP($Y89,$J$31:$M$54,17,FALSE)+HLOOKUP($Y89,$J$31:$M$56,26,FALSE),0))+IF(AA89="○",加算と減算!$AH$3,0)</f>
        <v>0</v>
      </c>
      <c r="AD89" s="85">
        <f t="shared" si="56"/>
        <v>0</v>
      </c>
      <c r="AE89" s="262">
        <f t="shared" si="57"/>
        <v>0</v>
      </c>
    </row>
    <row r="90" spans="15:31">
      <c r="O90" s="61" t="str">
        <f>IF(月途中入退所情報!$D40=$B$2,月途中入退所情報!F40,"-")</f>
        <v>-</v>
      </c>
      <c r="P90" s="61" t="str">
        <f>IF(月途中入退所情報!$D40=$B$2,月途中入退所情報!G40,"-")</f>
        <v>-</v>
      </c>
      <c r="Q90" s="61" t="str">
        <f>IF(月途中入退所情報!$D40=$B$2,月途中入退所情報!H40,"-")</f>
        <v>-</v>
      </c>
      <c r="R90" s="61" t="str">
        <f>IF(月途中入退所情報!$D40=$B$2,月途中入退所情報!I40,"-")</f>
        <v>-</v>
      </c>
      <c r="S90" s="61" t="str">
        <f>IF(月途中入退所情報!$D40=$B$2,月途中入退所情報!J40,"-")</f>
        <v>-</v>
      </c>
      <c r="T90" s="84">
        <f>IF($Q90="標準時間",HLOOKUP($P90,$F$31:$I$54,24,FALSE)-SUM($F$10,$F$21:$F$24,$F$26)-HLOOKUP($P90,$F$31:$I$54,17,FALSE)+HLOOKUP($P90,$F$31:$I$56,26,FALSE),IF($Q90="短時間",HLOOKUP($P90,$J$31:$M$54,24,FALSE)-SUM($F$10,$F$21:$F$24,$F$26)-HLOOKUP($P90,$J$31:$M$54,17,FALSE)+HLOOKUP($P90,$J$31:$M$56,26,FALSE),0))+IF(R90="○",加算と減算!$AH$3,0)</f>
        <v>0</v>
      </c>
      <c r="U90" s="85">
        <f t="shared" si="55"/>
        <v>0</v>
      </c>
      <c r="V90" s="262">
        <f t="shared" si="58"/>
        <v>0</v>
      </c>
      <c r="W90" s="262"/>
      <c r="X90" s="61" t="str">
        <f>IF(月途中入退所情報!$N40=$B$2,月途中入退所情報!$P40,"-")</f>
        <v>-</v>
      </c>
      <c r="Y90" s="61" t="str">
        <f>IF(月途中入退所情報!$N40=$B$2,月途中入退所情報!$Q40,"-")</f>
        <v>-</v>
      </c>
      <c r="Z90" s="61" t="str">
        <f>IF(月途中入退所情報!$N40=$B$2,月途中入退所情報!$R40,"-")</f>
        <v>-</v>
      </c>
      <c r="AA90" s="61" t="str">
        <f>IF(月途中入退所情報!$N40=$B$2,月途中入退所情報!$S40,"-")</f>
        <v>-</v>
      </c>
      <c r="AB90" s="61" t="str">
        <f>IF(月途中入退所情報!$N40=$B$2,月途中入退所情報!$T40,"-")</f>
        <v>-</v>
      </c>
      <c r="AC90" s="84">
        <f>IF($Z90="標準時間",HLOOKUP($Y90,$F$31:$I$54,24,FALSE)-SUM($F$10,$F$21:$F$24,$F$26)-HLOOKUP($Y90,$F$31:$I$54,17,FALSE)+HLOOKUP($Y90,$F$31:$I$56,26,FALSE),IF($Z90="短時間",HLOOKUP($Y90,$J$31:$M$54,24,FALSE)-SUM($F$10,$F$21:$F$24,$F$26)-HLOOKUP($Y90,$J$31:$M$54,17,FALSE)+HLOOKUP($Y90,$J$31:$M$56,26,FALSE),0))+IF(AA90="○",加算と減算!$AH$3,0)</f>
        <v>0</v>
      </c>
      <c r="AD90" s="85">
        <f t="shared" si="56"/>
        <v>0</v>
      </c>
      <c r="AE90" s="262">
        <f t="shared" si="57"/>
        <v>0</v>
      </c>
    </row>
    <row r="91" spans="15:31">
      <c r="O91" s="61" t="str">
        <f>IF(月途中入退所情報!$D41=$B$2,月途中入退所情報!F41,"-")</f>
        <v>-</v>
      </c>
      <c r="P91" s="61" t="str">
        <f>IF(月途中入退所情報!$D41=$B$2,月途中入退所情報!G41,"-")</f>
        <v>-</v>
      </c>
      <c r="Q91" s="61" t="str">
        <f>IF(月途中入退所情報!$D41=$B$2,月途中入退所情報!H41,"-")</f>
        <v>-</v>
      </c>
      <c r="R91" s="61" t="str">
        <f>IF(月途中入退所情報!$D41=$B$2,月途中入退所情報!I41,"-")</f>
        <v>-</v>
      </c>
      <c r="S91" s="61" t="str">
        <f>IF(月途中入退所情報!$D41=$B$2,月途中入退所情報!J41,"-")</f>
        <v>-</v>
      </c>
      <c r="T91" s="84">
        <f>IF($Q91="標準時間",HLOOKUP($P91,$F$31:$I$54,24,FALSE)-SUM($F$10,$F$21:$F$24,$F$26)-HLOOKUP($P91,$F$31:$I$54,17,FALSE)+HLOOKUP($P91,$F$31:$I$56,26,FALSE),IF($Q91="短時間",HLOOKUP($P91,$J$31:$M$54,24,FALSE)-SUM($F$10,$F$21:$F$24,$F$26)-HLOOKUP($P91,$J$31:$M$54,17,FALSE)+HLOOKUP($P91,$J$31:$M$56,26,FALSE),0))+IF(R91="○",加算と減算!$AH$3,0)</f>
        <v>0</v>
      </c>
      <c r="U91" s="85">
        <f t="shared" si="55"/>
        <v>0</v>
      </c>
      <c r="V91" s="262">
        <f t="shared" si="58"/>
        <v>0</v>
      </c>
      <c r="W91" s="262"/>
      <c r="X91" s="61" t="str">
        <f>IF(月途中入退所情報!$N41=$B$2,月途中入退所情報!$P41,"-")</f>
        <v>-</v>
      </c>
      <c r="Y91" s="61" t="str">
        <f>IF(月途中入退所情報!$N41=$B$2,月途中入退所情報!$Q41,"-")</f>
        <v>-</v>
      </c>
      <c r="Z91" s="61" t="str">
        <f>IF(月途中入退所情報!$N41=$B$2,月途中入退所情報!$R41,"-")</f>
        <v>-</v>
      </c>
      <c r="AA91" s="61" t="str">
        <f>IF(月途中入退所情報!$N41=$B$2,月途中入退所情報!$S41,"-")</f>
        <v>-</v>
      </c>
      <c r="AB91" s="61" t="str">
        <f>IF(月途中入退所情報!$N41=$B$2,月途中入退所情報!$T41,"-")</f>
        <v>-</v>
      </c>
      <c r="AC91" s="84">
        <f>IF($Z91="標準時間",HLOOKUP($Y91,$F$31:$I$54,24,FALSE)-SUM($F$10,$F$21:$F$24,$F$26)-HLOOKUP($Y91,$F$31:$I$54,17,FALSE)+HLOOKUP($Y91,$F$31:$I$56,26,FALSE),IF($Z91="短時間",HLOOKUP($Y91,$J$31:$M$54,24,FALSE)-SUM($F$10,$F$21:$F$24,$F$26)-HLOOKUP($Y91,$J$31:$M$54,17,FALSE)+HLOOKUP($Y91,$J$31:$M$56,26,FALSE),0))+IF(AA91="○",加算と減算!$AH$3,0)</f>
        <v>0</v>
      </c>
      <c r="AD91" s="85">
        <f t="shared" si="56"/>
        <v>0</v>
      </c>
      <c r="AE91" s="262">
        <f t="shared" si="57"/>
        <v>0</v>
      </c>
    </row>
    <row r="92" spans="15:31">
      <c r="O92" s="61" t="str">
        <f>IF(月途中入退所情報!$D42=$B$2,月途中入退所情報!F42,"-")</f>
        <v>-</v>
      </c>
      <c r="P92" s="61" t="str">
        <f>IF(月途中入退所情報!$D42=$B$2,月途中入退所情報!G42,"-")</f>
        <v>-</v>
      </c>
      <c r="Q92" s="61" t="str">
        <f>IF(月途中入退所情報!$D42=$B$2,月途中入退所情報!H42,"-")</f>
        <v>-</v>
      </c>
      <c r="R92" s="61" t="str">
        <f>IF(月途中入退所情報!$D42=$B$2,月途中入退所情報!I42,"-")</f>
        <v>-</v>
      </c>
      <c r="S92" s="61" t="str">
        <f>IF(月途中入退所情報!$D42=$B$2,月途中入退所情報!J42,"-")</f>
        <v>-</v>
      </c>
      <c r="T92" s="84">
        <f>IF($Q92="標準時間",HLOOKUP($P92,$F$31:$I$54,24,FALSE)-SUM($F$10,$F$21:$F$24,$F$26)-HLOOKUP($P92,$F$31:$I$54,17,FALSE)+HLOOKUP($P92,$F$31:$I$56,26,FALSE),IF($Q92="短時間",HLOOKUP($P92,$J$31:$M$54,24,FALSE)-SUM($F$10,$F$21:$F$24,$F$26)-HLOOKUP($P92,$J$31:$M$54,17,FALSE)+HLOOKUP($P92,$J$31:$M$56,26,FALSE),0))+IF(R92="○",加算と減算!$AH$3,0)</f>
        <v>0</v>
      </c>
      <c r="U92" s="85">
        <f t="shared" si="55"/>
        <v>0</v>
      </c>
      <c r="V92" s="262">
        <f t="shared" si="58"/>
        <v>0</v>
      </c>
      <c r="W92" s="262"/>
      <c r="X92" s="61" t="str">
        <f>IF(月途中入退所情報!$N42=$B$2,月途中入退所情報!$P42,"-")</f>
        <v>-</v>
      </c>
      <c r="Y92" s="61" t="str">
        <f>IF(月途中入退所情報!$N42=$B$2,月途中入退所情報!$Q42,"-")</f>
        <v>-</v>
      </c>
      <c r="Z92" s="61" t="str">
        <f>IF(月途中入退所情報!$N42=$B$2,月途中入退所情報!$R42,"-")</f>
        <v>-</v>
      </c>
      <c r="AA92" s="61" t="str">
        <f>IF(月途中入退所情報!$N42=$B$2,月途中入退所情報!$S42,"-")</f>
        <v>-</v>
      </c>
      <c r="AB92" s="61" t="str">
        <f>IF(月途中入退所情報!$N42=$B$2,月途中入退所情報!$T42,"-")</f>
        <v>-</v>
      </c>
      <c r="AC92" s="84">
        <f>IF($Z92="標準時間",HLOOKUP($Y92,$F$31:$I$54,24,FALSE)-SUM($F$10,$F$21:$F$24,$F$26)-HLOOKUP($Y92,$F$31:$I$54,17,FALSE)+HLOOKUP($Y92,$F$31:$I$56,26,FALSE),IF($Z92="短時間",HLOOKUP($Y92,$J$31:$M$54,24,FALSE)-SUM($F$10,$F$21:$F$24,$F$26)-HLOOKUP($Y92,$J$31:$M$54,17,FALSE)+HLOOKUP($Y92,$J$31:$M$56,26,FALSE),0))+IF(AA92="○",加算と減算!$AH$3,0)</f>
        <v>0</v>
      </c>
      <c r="AD92" s="85">
        <f t="shared" si="56"/>
        <v>0</v>
      </c>
      <c r="AE92" s="262">
        <f t="shared" si="57"/>
        <v>0</v>
      </c>
    </row>
    <row r="93" spans="15:31">
      <c r="O93" s="61" t="str">
        <f>IF(月途中入退所情報!$D43=$B$2,月途中入退所情報!F43,"-")</f>
        <v>-</v>
      </c>
      <c r="P93" s="61" t="str">
        <f>IF(月途中入退所情報!$D43=$B$2,月途中入退所情報!G43,"-")</f>
        <v>-</v>
      </c>
      <c r="Q93" s="61" t="str">
        <f>IF(月途中入退所情報!$D43=$B$2,月途中入退所情報!H43,"-")</f>
        <v>-</v>
      </c>
      <c r="R93" s="61" t="str">
        <f>IF(月途中入退所情報!$D43=$B$2,月途中入退所情報!I43,"-")</f>
        <v>-</v>
      </c>
      <c r="S93" s="61" t="str">
        <f>IF(月途中入退所情報!$D43=$B$2,月途中入退所情報!J43,"-")</f>
        <v>-</v>
      </c>
      <c r="T93" s="84">
        <f>IF($Q93="標準時間",HLOOKUP($P93,$F$31:$I$54,24,FALSE)-SUM($F$10,$F$21:$F$24,$F$26)-HLOOKUP($P93,$F$31:$I$54,17,FALSE)+HLOOKUP($P93,$F$31:$I$56,26,FALSE),IF($Q93="短時間",HLOOKUP($P93,$J$31:$M$54,24,FALSE)-SUM($F$10,$F$21:$F$24,$F$26)-HLOOKUP($P93,$J$31:$M$54,17,FALSE)+HLOOKUP($P93,$J$31:$M$56,26,FALSE),0))+IF(R93="○",加算と減算!$AH$3,0)</f>
        <v>0</v>
      </c>
      <c r="U93" s="85">
        <f t="shared" si="55"/>
        <v>0</v>
      </c>
      <c r="V93" s="262">
        <f t="shared" si="58"/>
        <v>0</v>
      </c>
      <c r="W93" s="262"/>
      <c r="X93" s="61" t="str">
        <f>IF(月途中入退所情報!$N43=$B$2,月途中入退所情報!$P43,"-")</f>
        <v>-</v>
      </c>
      <c r="Y93" s="61" t="str">
        <f>IF(月途中入退所情報!$N43=$B$2,月途中入退所情報!$Q43,"-")</f>
        <v>-</v>
      </c>
      <c r="Z93" s="61" t="str">
        <f>IF(月途中入退所情報!$N43=$B$2,月途中入退所情報!$R43,"-")</f>
        <v>-</v>
      </c>
      <c r="AA93" s="61" t="str">
        <f>IF(月途中入退所情報!$N43=$B$2,月途中入退所情報!$S43,"-")</f>
        <v>-</v>
      </c>
      <c r="AB93" s="61" t="str">
        <f>IF(月途中入退所情報!$N43=$B$2,月途中入退所情報!$T43,"-")</f>
        <v>-</v>
      </c>
      <c r="AC93" s="84">
        <f>IF($Z93="標準時間",HLOOKUP($Y93,$F$31:$I$54,24,FALSE)-SUM($F$10,$F$21:$F$24,$F$26)-HLOOKUP($Y93,$F$31:$I$54,17,FALSE)+HLOOKUP($Y93,$F$31:$I$56,26,FALSE),IF($Z93="短時間",HLOOKUP($Y93,$J$31:$M$54,24,FALSE)-SUM($F$10,$F$21:$F$24,$F$26)-HLOOKUP($Y93,$J$31:$M$54,17,FALSE)+HLOOKUP($Y93,$J$31:$M$56,26,FALSE),0))+IF(AA93="○",加算と減算!$AH$3,0)</f>
        <v>0</v>
      </c>
      <c r="AD93" s="85">
        <f t="shared" si="56"/>
        <v>0</v>
      </c>
      <c r="AE93" s="262">
        <f t="shared" si="57"/>
        <v>0</v>
      </c>
    </row>
    <row r="94" spans="15:31">
      <c r="O94" s="61" t="str">
        <f>IF(月途中入退所情報!$D44=$B$2,月途中入退所情報!F44,"-")</f>
        <v>-</v>
      </c>
      <c r="P94" s="61" t="str">
        <f>IF(月途中入退所情報!$D44=$B$2,月途中入退所情報!G44,"-")</f>
        <v>-</v>
      </c>
      <c r="Q94" s="61" t="str">
        <f>IF(月途中入退所情報!$D44=$B$2,月途中入退所情報!H44,"-")</f>
        <v>-</v>
      </c>
      <c r="R94" s="61" t="str">
        <f>IF(月途中入退所情報!$D44=$B$2,月途中入退所情報!I44,"-")</f>
        <v>-</v>
      </c>
      <c r="S94" s="61" t="str">
        <f>IF(月途中入退所情報!$D44=$B$2,月途中入退所情報!J44,"-")</f>
        <v>-</v>
      </c>
      <c r="T94" s="84">
        <f>IF($Q94="標準時間",HLOOKUP($P94,$F$31:$I$54,24,FALSE)-SUM($F$10,$F$21:$F$24,$F$26)-HLOOKUP($P94,$F$31:$I$54,17,FALSE)+HLOOKUP($P94,$F$31:$I$56,26,FALSE),IF($Q94="短時間",HLOOKUP($P94,$J$31:$M$54,24,FALSE)-SUM($F$10,$F$21:$F$24,$F$26)-HLOOKUP($P94,$J$31:$M$54,17,FALSE)+HLOOKUP($P94,$J$31:$M$56,26,FALSE),0))+IF(R94="○",加算と減算!$AH$3,0)</f>
        <v>0</v>
      </c>
      <c r="U94" s="85">
        <f t="shared" si="55"/>
        <v>0</v>
      </c>
      <c r="V94" s="262">
        <f t="shared" si="58"/>
        <v>0</v>
      </c>
      <c r="W94" s="262"/>
      <c r="X94" s="61" t="str">
        <f>IF(月途中入退所情報!$N44=$B$2,月途中入退所情報!$P44,"-")</f>
        <v>-</v>
      </c>
      <c r="Y94" s="61" t="str">
        <f>IF(月途中入退所情報!$N44=$B$2,月途中入退所情報!$Q44,"-")</f>
        <v>-</v>
      </c>
      <c r="Z94" s="61" t="str">
        <f>IF(月途中入退所情報!$N44=$B$2,月途中入退所情報!$R44,"-")</f>
        <v>-</v>
      </c>
      <c r="AA94" s="61" t="str">
        <f>IF(月途中入退所情報!$N44=$B$2,月途中入退所情報!$S44,"-")</f>
        <v>-</v>
      </c>
      <c r="AB94" s="61" t="str">
        <f>IF(月途中入退所情報!$N44=$B$2,月途中入退所情報!$T44,"-")</f>
        <v>-</v>
      </c>
      <c r="AC94" s="84">
        <f>IF($Z94="標準時間",HLOOKUP($Y94,$F$31:$I$54,24,FALSE)-SUM($F$10,$F$21:$F$24,$F$26)-HLOOKUP($Y94,$F$31:$I$54,17,FALSE)+HLOOKUP($Y94,$F$31:$I$56,26,FALSE),IF($Z94="短時間",HLOOKUP($Y94,$J$31:$M$54,24,FALSE)-SUM($F$10,$F$21:$F$24,$F$26)-HLOOKUP($Y94,$J$31:$M$54,17,FALSE)+HLOOKUP($Y94,$J$31:$M$56,26,FALSE),0))+IF(AA94="○",加算と減算!$AH$3,0)</f>
        <v>0</v>
      </c>
      <c r="AD94" s="85">
        <f t="shared" si="56"/>
        <v>0</v>
      </c>
      <c r="AE94" s="262">
        <f t="shared" si="57"/>
        <v>0</v>
      </c>
    </row>
    <row r="95" spans="15:31">
      <c r="O95" s="61" t="str">
        <f>IF(月途中入退所情報!$D45=$B$2,月途中入退所情報!F45,"-")</f>
        <v>-</v>
      </c>
      <c r="P95" s="61" t="str">
        <f>IF(月途中入退所情報!$D45=$B$2,月途中入退所情報!G45,"-")</f>
        <v>-</v>
      </c>
      <c r="Q95" s="61" t="str">
        <f>IF(月途中入退所情報!$D45=$B$2,月途中入退所情報!H45,"-")</f>
        <v>-</v>
      </c>
      <c r="R95" s="61" t="str">
        <f>IF(月途中入退所情報!$D45=$B$2,月途中入退所情報!I45,"-")</f>
        <v>-</v>
      </c>
      <c r="S95" s="61" t="str">
        <f>IF(月途中入退所情報!$D45=$B$2,月途中入退所情報!J45,"-")</f>
        <v>-</v>
      </c>
      <c r="T95" s="84">
        <f>IF($Q95="標準時間",HLOOKUP($P95,$F$31:$I$54,24,FALSE)-SUM($F$10,$F$21:$F$24,$F$26)-HLOOKUP($P95,$F$31:$I$54,17,FALSE)+HLOOKUP($P95,$F$31:$I$56,26,FALSE),IF($Q95="短時間",HLOOKUP($P95,$J$31:$M$54,24,FALSE)-SUM($F$10,$F$21:$F$24,$F$26)-HLOOKUP($P95,$J$31:$M$54,17,FALSE)+HLOOKUP($P95,$J$31:$M$56,26,FALSE),0))+IF(R95="○",加算と減算!$AH$3,0)</f>
        <v>0</v>
      </c>
      <c r="U95" s="85">
        <f t="shared" si="55"/>
        <v>0</v>
      </c>
      <c r="V95" s="262">
        <f t="shared" si="58"/>
        <v>0</v>
      </c>
      <c r="W95" s="262"/>
      <c r="X95" s="61" t="str">
        <f>IF(月途中入退所情報!$N45=$B$2,月途中入退所情報!$P45,"-")</f>
        <v>-</v>
      </c>
      <c r="Y95" s="61" t="str">
        <f>IF(月途中入退所情報!$N45=$B$2,月途中入退所情報!$Q45,"-")</f>
        <v>-</v>
      </c>
      <c r="Z95" s="61" t="str">
        <f>IF(月途中入退所情報!$N45=$B$2,月途中入退所情報!$R45,"-")</f>
        <v>-</v>
      </c>
      <c r="AA95" s="61" t="str">
        <f>IF(月途中入退所情報!$N45=$B$2,月途中入退所情報!$S45,"-")</f>
        <v>-</v>
      </c>
      <c r="AB95" s="61" t="str">
        <f>IF(月途中入退所情報!$N45=$B$2,月途中入退所情報!$T45,"-")</f>
        <v>-</v>
      </c>
      <c r="AC95" s="84">
        <f>IF($Z95="標準時間",HLOOKUP($Y95,$F$31:$I$54,24,FALSE)-SUM($F$10,$F$21:$F$24,$F$26)-HLOOKUP($Y95,$F$31:$I$54,17,FALSE)+HLOOKUP($Y95,$F$31:$I$56,26,FALSE),IF($Z95="短時間",HLOOKUP($Y95,$J$31:$M$54,24,FALSE)-SUM($F$10,$F$21:$F$24,$F$26)-HLOOKUP($Y95,$J$31:$M$54,17,FALSE)+HLOOKUP($Y95,$J$31:$M$56,26,FALSE),0))+IF(AA95="○",加算と減算!$AH$3,0)</f>
        <v>0</v>
      </c>
      <c r="AD95" s="85">
        <f t="shared" si="56"/>
        <v>0</v>
      </c>
      <c r="AE95" s="262">
        <f t="shared" si="57"/>
        <v>0</v>
      </c>
    </row>
    <row r="96" spans="15:31">
      <c r="O96" s="61" t="str">
        <f>IF(月途中入退所情報!$D46=$B$2,月途中入退所情報!F46,"-")</f>
        <v>-</v>
      </c>
      <c r="P96" s="61" t="str">
        <f>IF(月途中入退所情報!$D46=$B$2,月途中入退所情報!G46,"-")</f>
        <v>-</v>
      </c>
      <c r="Q96" s="61" t="str">
        <f>IF(月途中入退所情報!$D46=$B$2,月途中入退所情報!H46,"-")</f>
        <v>-</v>
      </c>
      <c r="R96" s="61" t="str">
        <f>IF(月途中入退所情報!$D46=$B$2,月途中入退所情報!I46,"-")</f>
        <v>-</v>
      </c>
      <c r="S96" s="61" t="str">
        <f>IF(月途中入退所情報!$D46=$B$2,月途中入退所情報!J46,"-")</f>
        <v>-</v>
      </c>
      <c r="T96" s="84">
        <f>IF($Q96="標準時間",HLOOKUP($P96,$F$31:$I$54,24,FALSE)-SUM($F$10,$F$21:$F$24,$F$26)-HLOOKUP($P96,$F$31:$I$54,17,FALSE)+HLOOKUP($P96,$F$31:$I$56,26,FALSE),IF($Q96="短時間",HLOOKUP($P96,$J$31:$M$54,24,FALSE)-SUM($F$10,$F$21:$F$24,$F$26)-HLOOKUP($P96,$J$31:$M$54,17,FALSE)+HLOOKUP($P96,$J$31:$M$56,26,FALSE),0))+IF(R96="○",加算と減算!$AH$3,0)</f>
        <v>0</v>
      </c>
      <c r="U96" s="85">
        <f t="shared" si="55"/>
        <v>0</v>
      </c>
      <c r="V96" s="262">
        <f t="shared" si="58"/>
        <v>0</v>
      </c>
      <c r="W96" s="262"/>
      <c r="X96" s="61" t="str">
        <f>IF(月途中入退所情報!$N46=$B$2,月途中入退所情報!$P46,"-")</f>
        <v>-</v>
      </c>
      <c r="Y96" s="61" t="str">
        <f>IF(月途中入退所情報!$N46=$B$2,月途中入退所情報!$Q46,"-")</f>
        <v>-</v>
      </c>
      <c r="Z96" s="61" t="str">
        <f>IF(月途中入退所情報!$N46=$B$2,月途中入退所情報!$R46,"-")</f>
        <v>-</v>
      </c>
      <c r="AA96" s="61" t="str">
        <f>IF(月途中入退所情報!$N46=$B$2,月途中入退所情報!$S46,"-")</f>
        <v>-</v>
      </c>
      <c r="AB96" s="61" t="str">
        <f>IF(月途中入退所情報!$N46=$B$2,月途中入退所情報!$T46,"-")</f>
        <v>-</v>
      </c>
      <c r="AC96" s="84">
        <f>IF($Z96="標準時間",HLOOKUP($Y96,$F$31:$I$54,24,FALSE)-SUM($F$10,$F$21:$F$24,$F$26)-HLOOKUP($Y96,$F$31:$I$54,17,FALSE)+HLOOKUP($Y96,$F$31:$I$56,26,FALSE),IF($Z96="短時間",HLOOKUP($Y96,$J$31:$M$54,24,FALSE)-SUM($F$10,$F$21:$F$24,$F$26)-HLOOKUP($Y96,$J$31:$M$54,17,FALSE)+HLOOKUP($Y96,$J$31:$M$56,26,FALSE),0))+IF(AA96="○",加算と減算!$AH$3,0)</f>
        <v>0</v>
      </c>
      <c r="AD96" s="85">
        <f t="shared" si="56"/>
        <v>0</v>
      </c>
      <c r="AE96" s="262">
        <f t="shared" si="57"/>
        <v>0</v>
      </c>
    </row>
    <row r="97" spans="15:31">
      <c r="O97" s="61" t="str">
        <f>IF(月途中入退所情報!$D47=$B$2,月途中入退所情報!F47,"-")</f>
        <v>-</v>
      </c>
      <c r="P97" s="61" t="str">
        <f>IF(月途中入退所情報!$D47=$B$2,月途中入退所情報!G47,"-")</f>
        <v>-</v>
      </c>
      <c r="Q97" s="61" t="str">
        <f>IF(月途中入退所情報!$D47=$B$2,月途中入退所情報!H47,"-")</f>
        <v>-</v>
      </c>
      <c r="R97" s="61" t="str">
        <f>IF(月途中入退所情報!$D47=$B$2,月途中入退所情報!I47,"-")</f>
        <v>-</v>
      </c>
      <c r="S97" s="61" t="str">
        <f>IF(月途中入退所情報!$D47=$B$2,月途中入退所情報!J47,"-")</f>
        <v>-</v>
      </c>
      <c r="T97" s="84">
        <f>IF($Q97="標準時間",HLOOKUP($P97,$F$31:$I$54,24,FALSE)-SUM($F$10,$F$21:$F$24,$F$26)-HLOOKUP($P97,$F$31:$I$54,17,FALSE)+HLOOKUP($P97,$F$31:$I$56,26,FALSE),IF($Q97="短時間",HLOOKUP($P97,$J$31:$M$54,24,FALSE)-SUM($F$10,$F$21:$F$24,$F$26)-HLOOKUP($P97,$J$31:$M$54,17,FALSE)+HLOOKUP($P97,$J$31:$M$56,26,FALSE),0))+IF(R97="○",加算と減算!$AH$3,0)</f>
        <v>0</v>
      </c>
      <c r="U97" s="85">
        <f t="shared" si="55"/>
        <v>0</v>
      </c>
      <c r="V97" s="262">
        <f t="shared" si="58"/>
        <v>0</v>
      </c>
      <c r="W97" s="262"/>
      <c r="X97" s="61" t="str">
        <f>IF(月途中入退所情報!$N47=$B$2,月途中入退所情報!$P47,"-")</f>
        <v>-</v>
      </c>
      <c r="Y97" s="61" t="str">
        <f>IF(月途中入退所情報!$N47=$B$2,月途中入退所情報!$Q47,"-")</f>
        <v>-</v>
      </c>
      <c r="Z97" s="61" t="str">
        <f>IF(月途中入退所情報!$N47=$B$2,月途中入退所情報!$R47,"-")</f>
        <v>-</v>
      </c>
      <c r="AA97" s="61" t="str">
        <f>IF(月途中入退所情報!$N47=$B$2,月途中入退所情報!$S47,"-")</f>
        <v>-</v>
      </c>
      <c r="AB97" s="61" t="str">
        <f>IF(月途中入退所情報!$N47=$B$2,月途中入退所情報!$T47,"-")</f>
        <v>-</v>
      </c>
      <c r="AC97" s="84">
        <f>IF($Z97="標準時間",HLOOKUP($Y97,$F$31:$I$54,24,FALSE)-SUM($F$10,$F$21:$F$24,$F$26)-HLOOKUP($Y97,$F$31:$I$54,17,FALSE)+HLOOKUP($Y97,$F$31:$I$56,26,FALSE),IF($Z97="短時間",HLOOKUP($Y97,$J$31:$M$54,24,FALSE)-SUM($F$10,$F$21:$F$24,$F$26)-HLOOKUP($Y97,$J$31:$M$54,17,FALSE)+HLOOKUP($Y97,$J$31:$M$56,26,FALSE),0))+IF(AA97="○",加算と減算!$AH$3,0)</f>
        <v>0</v>
      </c>
      <c r="AD97" s="85">
        <f t="shared" si="56"/>
        <v>0</v>
      </c>
      <c r="AE97" s="262">
        <f t="shared" si="57"/>
        <v>0</v>
      </c>
    </row>
    <row r="98" spans="15:31">
      <c r="O98" s="61" t="str">
        <f>IF(月途中入退所情報!$D48=$B$2,月途中入退所情報!F48,"-")</f>
        <v>-</v>
      </c>
      <c r="P98" s="61" t="str">
        <f>IF(月途中入退所情報!$D48=$B$2,月途中入退所情報!G48,"-")</f>
        <v>-</v>
      </c>
      <c r="Q98" s="61" t="str">
        <f>IF(月途中入退所情報!$D48=$B$2,月途中入退所情報!H48,"-")</f>
        <v>-</v>
      </c>
      <c r="R98" s="61" t="str">
        <f>IF(月途中入退所情報!$D48=$B$2,月途中入退所情報!I48,"-")</f>
        <v>-</v>
      </c>
      <c r="S98" s="61" t="str">
        <f>IF(月途中入退所情報!$D48=$B$2,月途中入退所情報!J48,"-")</f>
        <v>-</v>
      </c>
      <c r="T98" s="84">
        <f>IF($Q98="標準時間",HLOOKUP($P98,$F$31:$I$54,24,FALSE)-SUM($F$10,$F$21:$F$24,$F$26)-HLOOKUP($P98,$F$31:$I$54,17,FALSE)+HLOOKUP($P98,$F$31:$I$56,26,FALSE),IF($Q98="短時間",HLOOKUP($P98,$J$31:$M$54,24,FALSE)-SUM($F$10,$F$21:$F$24,$F$26)-HLOOKUP($P98,$J$31:$M$54,17,FALSE)+HLOOKUP($P98,$J$31:$M$56,26,FALSE),0))+IF(R98="○",加算と減算!$AH$3,0)</f>
        <v>0</v>
      </c>
      <c r="U98" s="85">
        <f t="shared" si="55"/>
        <v>0</v>
      </c>
      <c r="V98" s="262">
        <f t="shared" si="58"/>
        <v>0</v>
      </c>
      <c r="W98" s="262"/>
      <c r="X98" s="61" t="str">
        <f>IF(月途中入退所情報!$N48=$B$2,月途中入退所情報!$P48,"-")</f>
        <v>-</v>
      </c>
      <c r="Y98" s="61" t="str">
        <f>IF(月途中入退所情報!$N48=$B$2,月途中入退所情報!$Q48,"-")</f>
        <v>-</v>
      </c>
      <c r="Z98" s="61" t="str">
        <f>IF(月途中入退所情報!$N48=$B$2,月途中入退所情報!$R48,"-")</f>
        <v>-</v>
      </c>
      <c r="AA98" s="61" t="str">
        <f>IF(月途中入退所情報!$N48=$B$2,月途中入退所情報!$S48,"-")</f>
        <v>-</v>
      </c>
      <c r="AB98" s="61" t="str">
        <f>IF(月途中入退所情報!$N48=$B$2,月途中入退所情報!$T48,"-")</f>
        <v>-</v>
      </c>
      <c r="AC98" s="84">
        <f>IF($Z98="標準時間",HLOOKUP($Y98,$F$31:$I$54,24,FALSE)-SUM($F$10,$F$21:$F$24,$F$26)-HLOOKUP($Y98,$F$31:$I$54,17,FALSE)+HLOOKUP($Y98,$F$31:$I$56,26,FALSE),IF($Z98="短時間",HLOOKUP($Y98,$J$31:$M$54,24,FALSE)-SUM($F$10,$F$21:$F$24,$F$26)-HLOOKUP($Y98,$J$31:$M$54,17,FALSE)+HLOOKUP($Y98,$J$31:$M$56,26,FALSE),0))+IF(AA98="○",加算と減算!$AH$3,0)</f>
        <v>0</v>
      </c>
      <c r="AD98" s="85">
        <f t="shared" si="56"/>
        <v>0</v>
      </c>
      <c r="AE98" s="262">
        <f t="shared" si="57"/>
        <v>0</v>
      </c>
    </row>
    <row r="99" spans="15:31">
      <c r="O99" s="61" t="str">
        <f>IF(月途中入退所情報!$D49=$B$2,月途中入退所情報!F49,"-")</f>
        <v>-</v>
      </c>
      <c r="P99" s="61" t="str">
        <f>IF(月途中入退所情報!$D49=$B$2,月途中入退所情報!G49,"-")</f>
        <v>-</v>
      </c>
      <c r="Q99" s="61" t="str">
        <f>IF(月途中入退所情報!$D49=$B$2,月途中入退所情報!H49,"-")</f>
        <v>-</v>
      </c>
      <c r="R99" s="61" t="str">
        <f>IF(月途中入退所情報!$D49=$B$2,月途中入退所情報!I49,"-")</f>
        <v>-</v>
      </c>
      <c r="S99" s="61" t="str">
        <f>IF(月途中入退所情報!$D49=$B$2,月途中入退所情報!J49,"-")</f>
        <v>-</v>
      </c>
      <c r="T99" s="84">
        <f>IF($Q99="標準時間",HLOOKUP($P99,$F$31:$I$54,24,FALSE)-SUM($F$10,$F$21:$F$24,$F$26)-HLOOKUP($P99,$F$31:$I$54,17,FALSE)+HLOOKUP($P99,$F$31:$I$56,26,FALSE),IF($Q99="短時間",HLOOKUP($P99,$J$31:$M$54,24,FALSE)-SUM($F$10,$F$21:$F$24,$F$26)-HLOOKUP($P99,$J$31:$M$54,17,FALSE)+HLOOKUP($P99,$J$31:$M$56,26,FALSE),0))+IF(R99="○",加算と減算!$AH$3,0)</f>
        <v>0</v>
      </c>
      <c r="U99" s="85">
        <f t="shared" si="55"/>
        <v>0</v>
      </c>
      <c r="V99" s="262">
        <f t="shared" si="58"/>
        <v>0</v>
      </c>
      <c r="W99" s="262"/>
      <c r="X99" s="61" t="str">
        <f>IF(月途中入退所情報!$N49=$B$2,月途中入退所情報!$P49,"-")</f>
        <v>-</v>
      </c>
      <c r="Y99" s="61" t="str">
        <f>IF(月途中入退所情報!$N49=$B$2,月途中入退所情報!$Q49,"-")</f>
        <v>-</v>
      </c>
      <c r="Z99" s="61" t="str">
        <f>IF(月途中入退所情報!$N49=$B$2,月途中入退所情報!$R49,"-")</f>
        <v>-</v>
      </c>
      <c r="AA99" s="61" t="str">
        <f>IF(月途中入退所情報!$N49=$B$2,月途中入退所情報!$S49,"-")</f>
        <v>-</v>
      </c>
      <c r="AB99" s="61" t="str">
        <f>IF(月途中入退所情報!$N49=$B$2,月途中入退所情報!$T49,"-")</f>
        <v>-</v>
      </c>
      <c r="AC99" s="84">
        <f>IF($Z99="標準時間",HLOOKUP($Y99,$F$31:$I$54,24,FALSE)-SUM($F$10,$F$21:$F$24,$F$26)-HLOOKUP($Y99,$F$31:$I$54,17,FALSE)+HLOOKUP($Y99,$F$31:$I$56,26,FALSE),IF($Z99="短時間",HLOOKUP($Y99,$J$31:$M$54,24,FALSE)-SUM($F$10,$F$21:$F$24,$F$26)-HLOOKUP($Y99,$J$31:$M$54,17,FALSE)+HLOOKUP($Y99,$J$31:$M$56,26,FALSE),0))+IF(AA99="○",加算と減算!$AH$3,0)</f>
        <v>0</v>
      </c>
      <c r="AD99" s="85">
        <f t="shared" si="56"/>
        <v>0</v>
      </c>
      <c r="AE99" s="262">
        <f t="shared" si="57"/>
        <v>0</v>
      </c>
    </row>
    <row r="100" spans="15:31">
      <c r="O100" s="61" t="str">
        <f>IF(月途中入退所情報!$D50=$B$2,月途中入退所情報!F50,"-")</f>
        <v>-</v>
      </c>
      <c r="P100" s="61" t="str">
        <f>IF(月途中入退所情報!$D50=$B$2,月途中入退所情報!G50,"-")</f>
        <v>-</v>
      </c>
      <c r="Q100" s="61" t="str">
        <f>IF(月途中入退所情報!$D50=$B$2,月途中入退所情報!H50,"-")</f>
        <v>-</v>
      </c>
      <c r="R100" s="61" t="str">
        <f>IF(月途中入退所情報!$D50=$B$2,月途中入退所情報!I50,"-")</f>
        <v>-</v>
      </c>
      <c r="S100" s="61" t="str">
        <f>IF(月途中入退所情報!$D50=$B$2,月途中入退所情報!J50,"-")</f>
        <v>-</v>
      </c>
      <c r="T100" s="84">
        <f>IF($Q100="標準時間",HLOOKUP($P100,$F$31:$I$54,24,FALSE)-SUM($F$10,$F$21:$F$24,$F$26)-HLOOKUP($P100,$F$31:$I$54,17,FALSE)+HLOOKUP($P100,$F$31:$I$56,26,FALSE),IF($Q100="短時間",HLOOKUP($P100,$J$31:$M$54,24,FALSE)-SUM($F$10,$F$21:$F$24,$F$26)-HLOOKUP($P100,$J$31:$M$54,17,FALSE)+HLOOKUP($P100,$J$31:$M$56,26,FALSE),0))+IF(R100="○",加算と減算!$AH$3,0)</f>
        <v>0</v>
      </c>
      <c r="U100" s="85">
        <f t="shared" si="55"/>
        <v>0</v>
      </c>
      <c r="V100" s="262">
        <f t="shared" si="58"/>
        <v>0</v>
      </c>
      <c r="W100" s="262"/>
      <c r="X100" s="61" t="str">
        <f>IF(月途中入退所情報!$N50=$B$2,月途中入退所情報!$P50,"-")</f>
        <v>-</v>
      </c>
      <c r="Y100" s="61" t="str">
        <f>IF(月途中入退所情報!$N50=$B$2,月途中入退所情報!$Q50,"-")</f>
        <v>-</v>
      </c>
      <c r="Z100" s="61" t="str">
        <f>IF(月途中入退所情報!$N50=$B$2,月途中入退所情報!$R50,"-")</f>
        <v>-</v>
      </c>
      <c r="AA100" s="61" t="str">
        <f>IF(月途中入退所情報!$N50=$B$2,月途中入退所情報!$S50,"-")</f>
        <v>-</v>
      </c>
      <c r="AB100" s="61" t="str">
        <f>IF(月途中入退所情報!$N50=$B$2,月途中入退所情報!$T50,"-")</f>
        <v>-</v>
      </c>
      <c r="AC100" s="84">
        <f>IF($Z100="標準時間",HLOOKUP($Y100,$F$31:$I$54,24,FALSE)-SUM($F$10,$F$21:$F$24,$F$26)-HLOOKUP($Y100,$F$31:$I$54,17,FALSE)+HLOOKUP($Y100,$F$31:$I$56,26,FALSE),IF($Z100="短時間",HLOOKUP($Y100,$J$31:$M$54,24,FALSE)-SUM($F$10,$F$21:$F$24,$F$26)-HLOOKUP($Y100,$J$31:$M$54,17,FALSE)+HLOOKUP($Y100,$J$31:$M$56,26,FALSE),0))+IF(AA100="○",加算と減算!$AH$3,0)</f>
        <v>0</v>
      </c>
      <c r="AD100" s="85">
        <f t="shared" si="56"/>
        <v>0</v>
      </c>
      <c r="AE100" s="262">
        <f t="shared" si="57"/>
        <v>0</v>
      </c>
    </row>
    <row r="101" spans="15:31">
      <c r="T101" s="86" t="s">
        <v>36</v>
      </c>
      <c r="U101" s="85">
        <f>SUM(U81:U100)</f>
        <v>0</v>
      </c>
      <c r="V101" s="262">
        <f>SUM(V81:V100)</f>
        <v>0</v>
      </c>
      <c r="W101" s="262"/>
      <c r="AC101" s="86" t="s">
        <v>36</v>
      </c>
      <c r="AD101" s="85">
        <f>SUM(AD81:AD100)</f>
        <v>0</v>
      </c>
      <c r="AE101" s="264">
        <f>SUM(AE81:AE100)</f>
        <v>0</v>
      </c>
    </row>
  </sheetData>
  <sheetProtection algorithmName="SHA-512" hashValue="e6SyAUysL7j72n56fcUGo7lumtkdLlmKBueShMmXT2inlCIalfYd8UY8+hiUMHONnPPhKQ95VaprcswqxVqZiA==" saltValue="l9g57lp3zdd/xJj3Pks+fw==" spinCount="100000" sheet="1" objects="1" scenarios="1"/>
  <mergeCells count="89">
    <mergeCell ref="B2:D2"/>
    <mergeCell ref="B4:B27"/>
    <mergeCell ref="C4:D5"/>
    <mergeCell ref="E4:E5"/>
    <mergeCell ref="F4:I4"/>
    <mergeCell ref="C17:C20"/>
    <mergeCell ref="C21:C26"/>
    <mergeCell ref="D15:D16"/>
    <mergeCell ref="D17:D18"/>
    <mergeCell ref="C8:C16"/>
    <mergeCell ref="U4:X4"/>
    <mergeCell ref="Y4:Y5"/>
    <mergeCell ref="C6:D7"/>
    <mergeCell ref="D8:D9"/>
    <mergeCell ref="D11:D12"/>
    <mergeCell ref="J4:M4"/>
    <mergeCell ref="O4:O11"/>
    <mergeCell ref="P4:P5"/>
    <mergeCell ref="Q4:T4"/>
    <mergeCell ref="O13:O20"/>
    <mergeCell ref="P13:P14"/>
    <mergeCell ref="Q13:T13"/>
    <mergeCell ref="U13:X13"/>
    <mergeCell ref="Y13:Y14"/>
    <mergeCell ref="O22:O28"/>
    <mergeCell ref="T22:T28"/>
    <mergeCell ref="C27:D27"/>
    <mergeCell ref="B30:B54"/>
    <mergeCell ref="C30:D31"/>
    <mergeCell ref="E30:E31"/>
    <mergeCell ref="F30:I30"/>
    <mergeCell ref="J30:M30"/>
    <mergeCell ref="O30:O37"/>
    <mergeCell ref="P30:P31"/>
    <mergeCell ref="Q30:T30"/>
    <mergeCell ref="C48:C53"/>
    <mergeCell ref="O48:O54"/>
    <mergeCell ref="T48:T54"/>
    <mergeCell ref="U30:X30"/>
    <mergeCell ref="Y30:Y31"/>
    <mergeCell ref="C32:D33"/>
    <mergeCell ref="C34:C42"/>
    <mergeCell ref="D34:D35"/>
    <mergeCell ref="D37:D38"/>
    <mergeCell ref="O39:O46"/>
    <mergeCell ref="P39:P40"/>
    <mergeCell ref="Q39:T39"/>
    <mergeCell ref="Y39:Y40"/>
    <mergeCell ref="D41:D42"/>
    <mergeCell ref="C43:C47"/>
    <mergeCell ref="D44:D45"/>
    <mergeCell ref="U39:X39"/>
    <mergeCell ref="O79:P79"/>
    <mergeCell ref="X48:Y48"/>
    <mergeCell ref="C54:D54"/>
    <mergeCell ref="O56:P56"/>
    <mergeCell ref="X56:Y56"/>
    <mergeCell ref="F59:I59"/>
    <mergeCell ref="J59:M59"/>
    <mergeCell ref="D61:D62"/>
    <mergeCell ref="D65:D66"/>
    <mergeCell ref="D68:E69"/>
    <mergeCell ref="F69:M69"/>
    <mergeCell ref="AM4:AM27"/>
    <mergeCell ref="AN4:AO5"/>
    <mergeCell ref="AP4:AP5"/>
    <mergeCell ref="AN6:AO7"/>
    <mergeCell ref="AN8:AN16"/>
    <mergeCell ref="AO8:AO9"/>
    <mergeCell ref="AO11:AO12"/>
    <mergeCell ref="AO15:AO16"/>
    <mergeCell ref="AN17:AN20"/>
    <mergeCell ref="AO17:AO18"/>
    <mergeCell ref="AN21:AN26"/>
    <mergeCell ref="AN27:AO27"/>
    <mergeCell ref="AN55:AO55"/>
    <mergeCell ref="AN28:AO28"/>
    <mergeCell ref="AM30:AM54"/>
    <mergeCell ref="AN30:AO31"/>
    <mergeCell ref="AP30:AP31"/>
    <mergeCell ref="AN32:AO33"/>
    <mergeCell ref="AN34:AN42"/>
    <mergeCell ref="AO34:AO35"/>
    <mergeCell ref="AO37:AO38"/>
    <mergeCell ref="AO41:AO42"/>
    <mergeCell ref="AN43:AN47"/>
    <mergeCell ref="AO44:AO45"/>
    <mergeCell ref="AN48:AN53"/>
    <mergeCell ref="AN54:AO54"/>
  </mergeCells>
  <phoneticPr fontId="2"/>
  <pageMargins left="0.7" right="0.7" top="0.75" bottom="0.75" header="0.3" footer="0.3"/>
  <pageSetup paperSize="9"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8AFF6-CC59-434B-803E-6C208284EAF1}">
  <sheetPr>
    <tabColor theme="1"/>
  </sheetPr>
  <dimension ref="B1:AQ101"/>
  <sheetViews>
    <sheetView view="pageBreakPreview" zoomScale="75" zoomScaleNormal="55" zoomScaleSheetLayoutView="75" workbookViewId="0">
      <pane ySplit="5" topLeftCell="A6" activePane="bottomLeft" state="frozen"/>
      <selection activeCell="V65" sqref="V65"/>
      <selection pane="bottomLeft" activeCell="F6" sqref="F6"/>
    </sheetView>
  </sheetViews>
  <sheetFormatPr defaultColWidth="8.75" defaultRowHeight="15"/>
  <cols>
    <col min="1" max="1" width="1" style="2" customWidth="1"/>
    <col min="2" max="3" width="2.75" style="2" customWidth="1"/>
    <col min="4" max="4" width="16.5" style="1" customWidth="1"/>
    <col min="5" max="5" width="8.25" style="57" customWidth="1"/>
    <col min="6" max="13" width="7.25" style="2" customWidth="1"/>
    <col min="14" max="14" width="1" style="2" customWidth="1"/>
    <col min="15" max="16" width="8.625" style="2" customWidth="1"/>
    <col min="17" max="25" width="9.75" style="2" customWidth="1"/>
    <col min="26" max="27" width="8.75" style="2" customWidth="1"/>
    <col min="28" max="31" width="8.875" style="2" customWidth="1"/>
    <col min="32" max="33" width="8.75" style="2"/>
    <col min="34" max="34" width="4" style="2" customWidth="1"/>
    <col min="35" max="38" width="4.625" style="2" customWidth="1"/>
    <col min="39" max="40" width="3.875" style="2" bestFit="1" customWidth="1"/>
    <col min="41" max="41" width="16.5" style="2" bestFit="1" customWidth="1"/>
    <col min="42" max="42" width="8.75" style="2"/>
    <col min="43" max="43" width="9.375" style="264" bestFit="1" customWidth="1"/>
    <col min="44" max="16384" width="8.75" style="2"/>
  </cols>
  <sheetData>
    <row r="1" spans="2:43" ht="4.9000000000000004" customHeight="1" thickBot="1">
      <c r="F1" s="57"/>
      <c r="G1" s="57"/>
      <c r="H1" s="57"/>
      <c r="I1" s="57"/>
      <c r="J1" s="57"/>
      <c r="K1" s="57"/>
      <c r="L1" s="57"/>
      <c r="M1" s="57"/>
    </row>
    <row r="2" spans="2:43" ht="15.75" thickBot="1">
      <c r="B2" s="1450">
        <v>4</v>
      </c>
      <c r="C2" s="1451"/>
      <c r="D2" s="1452"/>
      <c r="E2" s="2"/>
      <c r="F2" s="55" t="s">
        <v>183</v>
      </c>
      <c r="G2" s="72">
        <f>児童数!O8</f>
        <v>0</v>
      </c>
      <c r="H2" s="73" t="s">
        <v>184</v>
      </c>
      <c r="I2" s="72">
        <f>児童数!AB8</f>
        <v>0</v>
      </c>
      <c r="J2" s="73" t="s">
        <v>182</v>
      </c>
      <c r="K2" s="72">
        <f>G2+I2</f>
        <v>0</v>
      </c>
      <c r="L2" s="62"/>
      <c r="N2" s="1"/>
      <c r="O2" s="55" t="s">
        <v>192</v>
      </c>
      <c r="P2" s="78">
        <f>IF(基本情報!E5="",0,基本情報!G10)</f>
        <v>0</v>
      </c>
      <c r="Q2" s="77" t="s">
        <v>193</v>
      </c>
      <c r="R2" s="55" t="s">
        <v>202</v>
      </c>
      <c r="S2" s="257">
        <f>IF(基本情報!E12="１日",単価表!BB11,IF(基本情報!E12="２日",単価表!BC11,IF(基本情報!E12="３日",単価表!BD11,IF(基本情報!E12="全て",単価表!BE11,0))))*100</f>
        <v>0</v>
      </c>
      <c r="T2" s="258">
        <f>IF(基本情報!E12="１日",単価表!BB27,IF(基本情報!E12="２日",単価表!BC27,IF(基本情報!E12="３日",単価表!BD27,IF(基本情報!E12="全て",単価表!BE27,0))))*100</f>
        <v>0</v>
      </c>
      <c r="U2" s="55" t="s">
        <v>198</v>
      </c>
      <c r="V2" s="257">
        <f>IF(基本情報!E14="該当",定員超過減算率!C2,0)</f>
        <v>0</v>
      </c>
      <c r="W2" s="258">
        <f>IF(基本情報!E14="該当",定員超過減算率!C3,0)</f>
        <v>0</v>
      </c>
      <c r="X2" s="55"/>
      <c r="Y2" s="55"/>
      <c r="AC2" s="1" t="s">
        <v>206</v>
      </c>
      <c r="AD2" s="1" t="s">
        <v>207</v>
      </c>
    </row>
    <row r="3" spans="2:43" ht="6" customHeight="1">
      <c r="K3" s="1"/>
    </row>
    <row r="4" spans="2:43" ht="15" customHeight="1">
      <c r="B4" s="1426" t="s">
        <v>181</v>
      </c>
      <c r="C4" s="1429"/>
      <c r="D4" s="1429"/>
      <c r="E4" s="1416" t="s">
        <v>172</v>
      </c>
      <c r="F4" s="1418" t="s">
        <v>15</v>
      </c>
      <c r="G4" s="1418"/>
      <c r="H4" s="1418"/>
      <c r="I4" s="1418"/>
      <c r="J4" s="1418" t="s">
        <v>16</v>
      </c>
      <c r="K4" s="1418"/>
      <c r="L4" s="1418"/>
      <c r="M4" s="1418"/>
      <c r="O4" s="1449" t="s">
        <v>40</v>
      </c>
      <c r="P4" s="1446" t="s">
        <v>171</v>
      </c>
      <c r="Q4" s="1440" t="s">
        <v>15</v>
      </c>
      <c r="R4" s="1440"/>
      <c r="S4" s="1440"/>
      <c r="T4" s="1440"/>
      <c r="U4" s="1440" t="s">
        <v>16</v>
      </c>
      <c r="V4" s="1440"/>
      <c r="W4" s="1440"/>
      <c r="X4" s="1440"/>
      <c r="Y4" s="1441" t="s">
        <v>177</v>
      </c>
      <c r="Z4" s="11"/>
      <c r="AA4" s="1"/>
      <c r="AM4" s="1426" t="s">
        <v>181</v>
      </c>
      <c r="AN4" s="1429"/>
      <c r="AO4" s="1429"/>
      <c r="AP4" s="1416" t="s">
        <v>172</v>
      </c>
      <c r="AQ4" s="85"/>
    </row>
    <row r="5" spans="2:43" s="1" customFormat="1">
      <c r="B5" s="1427"/>
      <c r="C5" s="1429"/>
      <c r="D5" s="1429"/>
      <c r="E5" s="1417"/>
      <c r="F5" s="370" t="s">
        <v>6</v>
      </c>
      <c r="G5" s="370" t="s">
        <v>7</v>
      </c>
      <c r="H5" s="370" t="s">
        <v>8</v>
      </c>
      <c r="I5" s="370" t="s">
        <v>9</v>
      </c>
      <c r="J5" s="370" t="s">
        <v>6</v>
      </c>
      <c r="K5" s="370" t="s">
        <v>7</v>
      </c>
      <c r="L5" s="370" t="s">
        <v>8</v>
      </c>
      <c r="M5" s="370" t="s">
        <v>9</v>
      </c>
      <c r="O5" s="1444"/>
      <c r="P5" s="1446"/>
      <c r="Q5" s="368" t="s">
        <v>6</v>
      </c>
      <c r="R5" s="368" t="s">
        <v>7</v>
      </c>
      <c r="S5" s="368" t="s">
        <v>8</v>
      </c>
      <c r="T5" s="368" t="s">
        <v>9</v>
      </c>
      <c r="U5" s="368" t="s">
        <v>6</v>
      </c>
      <c r="V5" s="368" t="s">
        <v>7</v>
      </c>
      <c r="W5" s="368" t="s">
        <v>8</v>
      </c>
      <c r="X5" s="368" t="s">
        <v>9</v>
      </c>
      <c r="Y5" s="1442"/>
      <c r="Z5" s="11"/>
      <c r="AC5" s="1" t="s">
        <v>208</v>
      </c>
      <c r="AD5" s="1" t="s">
        <v>212</v>
      </c>
      <c r="AM5" s="1427"/>
      <c r="AN5" s="1429"/>
      <c r="AO5" s="1429"/>
      <c r="AP5" s="1417"/>
      <c r="AQ5" s="85"/>
    </row>
    <row r="6" spans="2:43" s="1" customFormat="1">
      <c r="B6" s="1427"/>
      <c r="C6" s="1418" t="s">
        <v>17</v>
      </c>
      <c r="D6" s="1418"/>
      <c r="E6" s="53" t="s">
        <v>169</v>
      </c>
      <c r="F6" s="3" t="e">
        <f>単価表!AV7</f>
        <v>#VALUE!</v>
      </c>
      <c r="G6" s="3" t="e">
        <f>単価表!AV9</f>
        <v>#VALUE!</v>
      </c>
      <c r="H6" s="3" t="e">
        <f>単価表!AV11</f>
        <v>#VALUE!</v>
      </c>
      <c r="I6" s="3" t="e">
        <f>単価表!AV13</f>
        <v>#VALUE!</v>
      </c>
      <c r="J6" s="3" t="e">
        <f>単価表!AW7</f>
        <v>#VALUE!</v>
      </c>
      <c r="K6" s="3" t="e">
        <f>単価表!AW9</f>
        <v>#VALUE!</v>
      </c>
      <c r="L6" s="3" t="e">
        <f>単価表!AW11</f>
        <v>#VALUE!</v>
      </c>
      <c r="M6" s="3" t="e">
        <f>単価表!AW13</f>
        <v>#VALUE!</v>
      </c>
      <c r="O6" s="1444"/>
      <c r="P6" s="630">
        <f>基本情報!E17</f>
        <v>0</v>
      </c>
      <c r="Q6" s="3">
        <f>児童数!E22</f>
        <v>0</v>
      </c>
      <c r="R6" s="3">
        <f>児童数!F22</f>
        <v>0</v>
      </c>
      <c r="S6" s="3">
        <f>児童数!G22</f>
        <v>0</v>
      </c>
      <c r="T6" s="3">
        <f>児童数!H22</f>
        <v>0</v>
      </c>
      <c r="U6" s="3">
        <f>児童数!J22</f>
        <v>0</v>
      </c>
      <c r="V6" s="3">
        <f>児童数!K22</f>
        <v>0</v>
      </c>
      <c r="W6" s="3">
        <f>児童数!L22</f>
        <v>0</v>
      </c>
      <c r="X6" s="3">
        <f>児童数!M22</f>
        <v>0</v>
      </c>
      <c r="Y6" s="64">
        <f>SUM(Q6:X6)</f>
        <v>0</v>
      </c>
      <c r="Z6" s="2"/>
      <c r="AC6" s="1" t="s">
        <v>209</v>
      </c>
      <c r="AD6" s="1" t="s">
        <v>213</v>
      </c>
      <c r="AM6" s="1427"/>
      <c r="AN6" s="1418" t="s">
        <v>17</v>
      </c>
      <c r="AO6" s="1418"/>
      <c r="AP6" s="53" t="s">
        <v>169</v>
      </c>
      <c r="AQ6" s="85" t="e">
        <f>SUMPRODUCT(F6:M6,$Q$11:$X$11)</f>
        <v>#VALUE!</v>
      </c>
    </row>
    <row r="7" spans="2:43" s="1" customFormat="1">
      <c r="B7" s="1427"/>
      <c r="C7" s="1418"/>
      <c r="D7" s="1418"/>
      <c r="E7" s="53" t="s">
        <v>167</v>
      </c>
      <c r="F7" s="3" t="e">
        <f>単価表!AX7*基本情報!G7</f>
        <v>#VALUE!</v>
      </c>
      <c r="G7" s="3" t="e">
        <f>単価表!AX9*基本情報!G7</f>
        <v>#VALUE!</v>
      </c>
      <c r="H7" s="3" t="e">
        <f>単価表!AX11*基本情報!G7</f>
        <v>#VALUE!</v>
      </c>
      <c r="I7" s="3" t="e">
        <f>単価表!AX13*基本情報!G7</f>
        <v>#VALUE!</v>
      </c>
      <c r="J7" s="3" t="e">
        <f>単価表!AY7*基本情報!G7</f>
        <v>#VALUE!</v>
      </c>
      <c r="K7" s="3" t="e">
        <f>単価表!AY9*基本情報!G7</f>
        <v>#VALUE!</v>
      </c>
      <c r="L7" s="3" t="e">
        <f>単価表!AY11*基本情報!G7</f>
        <v>#VALUE!</v>
      </c>
      <c r="M7" s="3" t="e">
        <f>単価表!AY13*基本情報!G7</f>
        <v>#VALUE!</v>
      </c>
      <c r="O7" s="1444"/>
      <c r="P7" s="631">
        <f>基本情報!E18</f>
        <v>0</v>
      </c>
      <c r="Q7" s="3">
        <f>児童数!E36</f>
        <v>0</v>
      </c>
      <c r="R7" s="3">
        <f>児童数!F36</f>
        <v>0</v>
      </c>
      <c r="S7" s="3">
        <f>児童数!G36</f>
        <v>0</v>
      </c>
      <c r="T7" s="3">
        <f>児童数!H36</f>
        <v>0</v>
      </c>
      <c r="U7" s="3">
        <f>児童数!J36</f>
        <v>0</v>
      </c>
      <c r="V7" s="3">
        <f>児童数!K36</f>
        <v>0</v>
      </c>
      <c r="W7" s="3">
        <f>児童数!L36</f>
        <v>0</v>
      </c>
      <c r="X7" s="3">
        <f>児童数!M36</f>
        <v>0</v>
      </c>
      <c r="Y7" s="64">
        <f t="shared" ref="Y7:Y10" si="0">SUM(Q7:X7)</f>
        <v>0</v>
      </c>
      <c r="Z7" s="2"/>
      <c r="AA7" s="2"/>
      <c r="AC7" s="1" t="s">
        <v>210</v>
      </c>
      <c r="AM7" s="1427"/>
      <c r="AN7" s="1418"/>
      <c r="AO7" s="1418"/>
      <c r="AP7" s="53" t="s">
        <v>167</v>
      </c>
      <c r="AQ7" s="85" t="e">
        <f t="shared" ref="AQ7:AQ26" si="1">SUMPRODUCT(F7:M7,$Q$11:$X$11)</f>
        <v>#VALUE!</v>
      </c>
    </row>
    <row r="8" spans="2:43" ht="15" customHeight="1">
      <c r="B8" s="1427"/>
      <c r="C8" s="1419" t="s">
        <v>203</v>
      </c>
      <c r="D8" s="1422" t="s">
        <v>37</v>
      </c>
      <c r="E8" s="53" t="s">
        <v>169</v>
      </c>
      <c r="F8" s="6"/>
      <c r="G8" s="3">
        <f>IF(加算と減算!E5="○",単価表!AV41,0)</f>
        <v>0</v>
      </c>
      <c r="H8" s="6"/>
      <c r="I8" s="6"/>
      <c r="J8" s="6"/>
      <c r="K8" s="3">
        <f>G8</f>
        <v>0</v>
      </c>
      <c r="L8" s="6"/>
      <c r="M8" s="6"/>
      <c r="O8" s="1444"/>
      <c r="P8" s="632">
        <f>基本情報!E19</f>
        <v>0</v>
      </c>
      <c r="Q8" s="3">
        <f>児童数!E50</f>
        <v>0</v>
      </c>
      <c r="R8" s="3">
        <f>児童数!F50</f>
        <v>0</v>
      </c>
      <c r="S8" s="3">
        <f>児童数!G50</f>
        <v>0</v>
      </c>
      <c r="T8" s="3">
        <f>児童数!H50</f>
        <v>0</v>
      </c>
      <c r="U8" s="3">
        <f>児童数!J50</f>
        <v>0</v>
      </c>
      <c r="V8" s="3">
        <f>児童数!K50</f>
        <v>0</v>
      </c>
      <c r="W8" s="3">
        <f>児童数!L50</f>
        <v>0</v>
      </c>
      <c r="X8" s="3">
        <f>児童数!M50</f>
        <v>0</v>
      </c>
      <c r="Y8" s="64">
        <f t="shared" si="0"/>
        <v>0</v>
      </c>
      <c r="AC8" s="1" t="s">
        <v>211</v>
      </c>
      <c r="AM8" s="1427"/>
      <c r="AN8" s="1419" t="s">
        <v>203</v>
      </c>
      <c r="AO8" s="1422" t="s">
        <v>37</v>
      </c>
      <c r="AP8" s="732" t="s">
        <v>559</v>
      </c>
      <c r="AQ8" s="85">
        <f t="shared" si="1"/>
        <v>0</v>
      </c>
    </row>
    <row r="9" spans="2:43">
      <c r="B9" s="1427"/>
      <c r="C9" s="1420"/>
      <c r="D9" s="1422"/>
      <c r="E9" s="53" t="s">
        <v>167</v>
      </c>
      <c r="F9" s="6"/>
      <c r="G9" s="3">
        <f>IF(加算と減算!E5="○",単価表!AW41*基本情報!G7,0)</f>
        <v>0</v>
      </c>
      <c r="H9" s="6"/>
      <c r="I9" s="6"/>
      <c r="J9" s="6"/>
      <c r="K9" s="3">
        <f>G9</f>
        <v>0</v>
      </c>
      <c r="L9" s="6"/>
      <c r="M9" s="6"/>
      <c r="O9" s="1444"/>
      <c r="P9" s="633">
        <f>基本情報!E20</f>
        <v>0</v>
      </c>
      <c r="Q9" s="3">
        <f>児童数!E64</f>
        <v>0</v>
      </c>
      <c r="R9" s="3">
        <f>児童数!F64</f>
        <v>0</v>
      </c>
      <c r="S9" s="3">
        <f>児童数!G64</f>
        <v>0</v>
      </c>
      <c r="T9" s="3">
        <f>児童数!H64</f>
        <v>0</v>
      </c>
      <c r="U9" s="3">
        <f>児童数!J64</f>
        <v>0</v>
      </c>
      <c r="V9" s="3">
        <f>児童数!K64</f>
        <v>0</v>
      </c>
      <c r="W9" s="3">
        <f>児童数!L64</f>
        <v>0</v>
      </c>
      <c r="X9" s="3">
        <f>児童数!M64</f>
        <v>0</v>
      </c>
      <c r="Y9" s="64">
        <f t="shared" si="0"/>
        <v>0</v>
      </c>
      <c r="AM9" s="1427"/>
      <c r="AN9" s="1420"/>
      <c r="AO9" s="1422"/>
      <c r="AP9" s="53" t="s">
        <v>167</v>
      </c>
      <c r="AQ9" s="85">
        <f t="shared" si="1"/>
        <v>0</v>
      </c>
    </row>
    <row r="10" spans="2:43">
      <c r="B10" s="1427"/>
      <c r="C10" s="1420"/>
      <c r="D10" s="383" t="s">
        <v>160</v>
      </c>
      <c r="E10" s="629"/>
      <c r="F10" s="3">
        <f>IF(K2=0,0,IF(加算と減算!E6="○",ROUNDDOWN((加算と減算!R6+(加算と減算!S6*基本情報!G7))/'4月'!K2,-1),0))</f>
        <v>0</v>
      </c>
      <c r="G10" s="3">
        <f t="shared" ref="G10:G18" si="2">F10</f>
        <v>0</v>
      </c>
      <c r="H10" s="3">
        <f>F10</f>
        <v>0</v>
      </c>
      <c r="I10" s="3">
        <f>F10</f>
        <v>0</v>
      </c>
      <c r="J10" s="3">
        <f t="shared" ref="J10:J18" si="3">F10</f>
        <v>0</v>
      </c>
      <c r="K10" s="3">
        <f t="shared" ref="K10:K18" si="4">F10</f>
        <v>0</v>
      </c>
      <c r="L10" s="3">
        <f>F10</f>
        <v>0</v>
      </c>
      <c r="M10" s="3">
        <f>F10</f>
        <v>0</v>
      </c>
      <c r="O10" s="1444"/>
      <c r="P10" s="634">
        <f>基本情報!E21</f>
        <v>0</v>
      </c>
      <c r="Q10" s="3">
        <f>児童数!E78</f>
        <v>0</v>
      </c>
      <c r="R10" s="3">
        <f>児童数!F78</f>
        <v>0</v>
      </c>
      <c r="S10" s="3">
        <f>児童数!G78</f>
        <v>0</v>
      </c>
      <c r="T10" s="3">
        <f>児童数!H78</f>
        <v>0</v>
      </c>
      <c r="U10" s="3">
        <f>児童数!J78</f>
        <v>0</v>
      </c>
      <c r="V10" s="3">
        <f>児童数!K78</f>
        <v>0</v>
      </c>
      <c r="W10" s="3">
        <f>児童数!L78</f>
        <v>0</v>
      </c>
      <c r="X10" s="3">
        <f>児童数!M78</f>
        <v>0</v>
      </c>
      <c r="Y10" s="64">
        <f t="shared" si="0"/>
        <v>0</v>
      </c>
      <c r="AM10" s="1427"/>
      <c r="AN10" s="1420"/>
      <c r="AO10" s="383" t="s">
        <v>69</v>
      </c>
      <c r="AP10" s="629"/>
      <c r="AQ10" s="85">
        <f t="shared" si="1"/>
        <v>0</v>
      </c>
    </row>
    <row r="11" spans="2:43">
      <c r="B11" s="1427"/>
      <c r="C11" s="1420"/>
      <c r="D11" s="1422" t="s">
        <v>161</v>
      </c>
      <c r="E11" s="53" t="s">
        <v>169</v>
      </c>
      <c r="F11" s="3">
        <f>IF(加算と減算!E7="○",単価表!AZ39,0)</f>
        <v>0</v>
      </c>
      <c r="G11" s="3">
        <f t="shared" si="2"/>
        <v>0</v>
      </c>
      <c r="H11" s="3">
        <f>IF(加算と減算!E7="○",単価表!AZ43,0)</f>
        <v>0</v>
      </c>
      <c r="I11" s="3">
        <f>H11</f>
        <v>0</v>
      </c>
      <c r="J11" s="3">
        <f t="shared" si="3"/>
        <v>0</v>
      </c>
      <c r="K11" s="3">
        <f t="shared" si="4"/>
        <v>0</v>
      </c>
      <c r="L11" s="3">
        <f>H11</f>
        <v>0</v>
      </c>
      <c r="M11" s="3">
        <f>H11</f>
        <v>0</v>
      </c>
      <c r="O11" s="1445"/>
      <c r="P11" s="635" t="s">
        <v>175</v>
      </c>
      <c r="Q11" s="3">
        <f>SUM(Q6:Q10)</f>
        <v>0</v>
      </c>
      <c r="R11" s="3">
        <f t="shared" ref="R11:Y11" si="5">SUM(R6:R10)</f>
        <v>0</v>
      </c>
      <c r="S11" s="3">
        <f t="shared" si="5"/>
        <v>0</v>
      </c>
      <c r="T11" s="3">
        <f t="shared" si="5"/>
        <v>0</v>
      </c>
      <c r="U11" s="3">
        <f t="shared" si="5"/>
        <v>0</v>
      </c>
      <c r="V11" s="3">
        <f t="shared" si="5"/>
        <v>0</v>
      </c>
      <c r="W11" s="3">
        <f t="shared" si="5"/>
        <v>0</v>
      </c>
      <c r="X11" s="3">
        <f t="shared" si="5"/>
        <v>0</v>
      </c>
      <c r="Y11" s="3">
        <f t="shared" si="5"/>
        <v>0</v>
      </c>
      <c r="Z11" s="55" t="s">
        <v>176</v>
      </c>
      <c r="AA11" s="71" t="str">
        <f>IF(SUM(Q11:X11)=G2,"OK",SUM(Q11:X11)-K2)</f>
        <v>OK</v>
      </c>
      <c r="AB11" s="62"/>
      <c r="AM11" s="1427"/>
      <c r="AN11" s="1420"/>
      <c r="AO11" s="1422" t="s">
        <v>161</v>
      </c>
      <c r="AP11" s="53" t="s">
        <v>169</v>
      </c>
      <c r="AQ11" s="85">
        <f t="shared" si="1"/>
        <v>0</v>
      </c>
    </row>
    <row r="12" spans="2:43" ht="15" customHeight="1">
      <c r="B12" s="1427"/>
      <c r="C12" s="1420"/>
      <c r="D12" s="1422"/>
      <c r="E12" s="53" t="s">
        <v>167</v>
      </c>
      <c r="F12" s="3">
        <f>IF(加算と減算!E7="○",単価表!BA39*基本情報!G7,0)</f>
        <v>0</v>
      </c>
      <c r="G12" s="3">
        <f t="shared" si="2"/>
        <v>0</v>
      </c>
      <c r="H12" s="3">
        <f>IF(加算と減算!E7="○",単価表!BA43*基本情報!G7,0)</f>
        <v>0</v>
      </c>
      <c r="I12" s="3">
        <f>H12</f>
        <v>0</v>
      </c>
      <c r="J12" s="3">
        <f t="shared" si="3"/>
        <v>0</v>
      </c>
      <c r="K12" s="3">
        <f t="shared" si="4"/>
        <v>0</v>
      </c>
      <c r="L12" s="3">
        <f>H12</f>
        <v>0</v>
      </c>
      <c r="M12" s="3">
        <f>H12</f>
        <v>0</v>
      </c>
      <c r="O12" s="75"/>
      <c r="P12" s="636"/>
      <c r="Q12" s="54"/>
      <c r="R12" s="54"/>
      <c r="S12" s="54"/>
      <c r="T12" s="54"/>
      <c r="U12" s="54"/>
      <c r="V12" s="54"/>
      <c r="W12" s="54"/>
      <c r="X12" s="54"/>
      <c r="Y12" s="54"/>
      <c r="AA12" s="62"/>
      <c r="AB12" s="62"/>
      <c r="AM12" s="1427"/>
      <c r="AN12" s="1420"/>
      <c r="AO12" s="1422"/>
      <c r="AP12" s="53" t="s">
        <v>167</v>
      </c>
      <c r="AQ12" s="85">
        <f t="shared" si="1"/>
        <v>0</v>
      </c>
    </row>
    <row r="13" spans="2:43" ht="16.5">
      <c r="B13" s="1427"/>
      <c r="C13" s="1420"/>
      <c r="D13" s="366" t="s">
        <v>162</v>
      </c>
      <c r="E13" s="59"/>
      <c r="F13" s="3">
        <f>IF(加算と減算!E8="○",加算と減算!R8,0)</f>
        <v>0</v>
      </c>
      <c r="G13" s="3">
        <f t="shared" si="2"/>
        <v>0</v>
      </c>
      <c r="H13" s="3">
        <f t="shared" ref="H13:H18" si="6">F13</f>
        <v>0</v>
      </c>
      <c r="I13" s="3">
        <f t="shared" ref="I13:I18" si="7">F13</f>
        <v>0</v>
      </c>
      <c r="J13" s="3">
        <f t="shared" si="3"/>
        <v>0</v>
      </c>
      <c r="K13" s="3">
        <f t="shared" si="4"/>
        <v>0</v>
      </c>
      <c r="L13" s="3">
        <f t="shared" ref="L13:L18" si="8">F13</f>
        <v>0</v>
      </c>
      <c r="M13" s="3">
        <f t="shared" ref="M13:M18" si="9">F13</f>
        <v>0</v>
      </c>
      <c r="O13" s="1443" t="s">
        <v>187</v>
      </c>
      <c r="P13" s="1449" t="s">
        <v>171</v>
      </c>
      <c r="Q13" s="1440" t="s">
        <v>15</v>
      </c>
      <c r="R13" s="1440"/>
      <c r="S13" s="1440"/>
      <c r="T13" s="1440"/>
      <c r="U13" s="1440" t="s">
        <v>16</v>
      </c>
      <c r="V13" s="1440"/>
      <c r="W13" s="1440"/>
      <c r="X13" s="1440"/>
      <c r="Y13" s="1449" t="s">
        <v>177</v>
      </c>
      <c r="AA13" s="62"/>
      <c r="AB13" s="62"/>
      <c r="AM13" s="1427"/>
      <c r="AN13" s="1420"/>
      <c r="AO13" s="698" t="s">
        <v>162</v>
      </c>
      <c r="AP13" s="731" t="s">
        <v>353</v>
      </c>
      <c r="AQ13" s="85">
        <f t="shared" si="1"/>
        <v>0</v>
      </c>
    </row>
    <row r="14" spans="2:43" ht="16.5">
      <c r="B14" s="1427"/>
      <c r="C14" s="1420"/>
      <c r="D14" s="366" t="s">
        <v>163</v>
      </c>
      <c r="E14" s="59"/>
      <c r="F14" s="3">
        <f>IF(加算と減算!E9="○",加算と減算!R9,0)</f>
        <v>0</v>
      </c>
      <c r="G14" s="3">
        <f t="shared" si="2"/>
        <v>0</v>
      </c>
      <c r="H14" s="3">
        <f t="shared" si="6"/>
        <v>0</v>
      </c>
      <c r="I14" s="3">
        <f t="shared" si="7"/>
        <v>0</v>
      </c>
      <c r="J14" s="3">
        <f t="shared" si="3"/>
        <v>0</v>
      </c>
      <c r="K14" s="3">
        <f t="shared" si="4"/>
        <v>0</v>
      </c>
      <c r="L14" s="3">
        <f t="shared" si="8"/>
        <v>0</v>
      </c>
      <c r="M14" s="3">
        <f t="shared" si="9"/>
        <v>0</v>
      </c>
      <c r="O14" s="1447"/>
      <c r="P14" s="1445"/>
      <c r="Q14" s="368" t="s">
        <v>6</v>
      </c>
      <c r="R14" s="368" t="s">
        <v>7</v>
      </c>
      <c r="S14" s="368" t="s">
        <v>8</v>
      </c>
      <c r="T14" s="368" t="s">
        <v>9</v>
      </c>
      <c r="U14" s="368" t="s">
        <v>6</v>
      </c>
      <c r="V14" s="368" t="s">
        <v>7</v>
      </c>
      <c r="W14" s="368" t="s">
        <v>8</v>
      </c>
      <c r="X14" s="368" t="s">
        <v>9</v>
      </c>
      <c r="Y14" s="1445"/>
      <c r="AA14" s="62"/>
      <c r="AB14" s="62"/>
      <c r="AM14" s="1427"/>
      <c r="AN14" s="1420"/>
      <c r="AO14" s="698" t="s">
        <v>54</v>
      </c>
      <c r="AP14" s="731" t="s">
        <v>353</v>
      </c>
      <c r="AQ14" s="85">
        <f t="shared" si="1"/>
        <v>0</v>
      </c>
    </row>
    <row r="15" spans="2:43" ht="16.5">
      <c r="B15" s="1427"/>
      <c r="C15" s="1420"/>
      <c r="D15" s="1422" t="s">
        <v>38</v>
      </c>
      <c r="E15" s="53" t="s">
        <v>169</v>
      </c>
      <c r="F15" s="3">
        <f>IF(加算と減算!E10="○",加算と減算!R10,0)</f>
        <v>0</v>
      </c>
      <c r="G15" s="3">
        <f t="shared" si="2"/>
        <v>0</v>
      </c>
      <c r="H15" s="3">
        <f t="shared" si="6"/>
        <v>0</v>
      </c>
      <c r="I15" s="3">
        <f t="shared" si="7"/>
        <v>0</v>
      </c>
      <c r="J15" s="3">
        <f t="shared" si="3"/>
        <v>0</v>
      </c>
      <c r="K15" s="3">
        <f t="shared" si="4"/>
        <v>0</v>
      </c>
      <c r="L15" s="3">
        <f t="shared" si="8"/>
        <v>0</v>
      </c>
      <c r="M15" s="3">
        <f t="shared" si="9"/>
        <v>0</v>
      </c>
      <c r="O15" s="1447"/>
      <c r="P15" s="630">
        <f>P6</f>
        <v>0</v>
      </c>
      <c r="Q15" s="3" t="e">
        <f t="shared" ref="Q15:X15" si="10">F27*Q6</f>
        <v>#VALUE!</v>
      </c>
      <c r="R15" s="3" t="e">
        <f t="shared" si="10"/>
        <v>#VALUE!</v>
      </c>
      <c r="S15" s="3" t="e">
        <f t="shared" si="10"/>
        <v>#VALUE!</v>
      </c>
      <c r="T15" s="3" t="e">
        <f t="shared" si="10"/>
        <v>#VALUE!</v>
      </c>
      <c r="U15" s="3" t="e">
        <f t="shared" si="10"/>
        <v>#VALUE!</v>
      </c>
      <c r="V15" s="3" t="e">
        <f t="shared" si="10"/>
        <v>#VALUE!</v>
      </c>
      <c r="W15" s="3" t="e">
        <f t="shared" si="10"/>
        <v>#VALUE!</v>
      </c>
      <c r="X15" s="3" t="e">
        <f t="shared" si="10"/>
        <v>#VALUE!</v>
      </c>
      <c r="Y15" s="3" t="e">
        <f>SUM(Q15:X15)</f>
        <v>#VALUE!</v>
      </c>
      <c r="AA15" s="62"/>
      <c r="AB15" s="62"/>
      <c r="AM15" s="1427"/>
      <c r="AN15" s="1420"/>
      <c r="AO15" s="1422" t="s">
        <v>38</v>
      </c>
      <c r="AP15" s="732" t="s">
        <v>559</v>
      </c>
      <c r="AQ15" s="85">
        <f t="shared" si="1"/>
        <v>0</v>
      </c>
    </row>
    <row r="16" spans="2:43">
      <c r="B16" s="1427"/>
      <c r="C16" s="1421"/>
      <c r="D16" s="1422"/>
      <c r="E16" s="53" t="s">
        <v>167</v>
      </c>
      <c r="F16" s="3">
        <f>IF(加算と減算!E10="○",加算と減算!S10*基本情報!G7,0)</f>
        <v>0</v>
      </c>
      <c r="G16" s="3">
        <f t="shared" si="2"/>
        <v>0</v>
      </c>
      <c r="H16" s="3">
        <f t="shared" si="6"/>
        <v>0</v>
      </c>
      <c r="I16" s="3">
        <f t="shared" si="7"/>
        <v>0</v>
      </c>
      <c r="J16" s="3">
        <f t="shared" si="3"/>
        <v>0</v>
      </c>
      <c r="K16" s="3">
        <f t="shared" si="4"/>
        <v>0</v>
      </c>
      <c r="L16" s="3">
        <f t="shared" si="8"/>
        <v>0</v>
      </c>
      <c r="M16" s="3">
        <f t="shared" si="9"/>
        <v>0</v>
      </c>
      <c r="O16" s="1447"/>
      <c r="P16" s="631">
        <f>P7</f>
        <v>0</v>
      </c>
      <c r="Q16" s="3" t="e">
        <f t="shared" ref="Q16:X16" si="11">F27*Q7</f>
        <v>#VALUE!</v>
      </c>
      <c r="R16" s="3" t="e">
        <f t="shared" si="11"/>
        <v>#VALUE!</v>
      </c>
      <c r="S16" s="3" t="e">
        <f t="shared" si="11"/>
        <v>#VALUE!</v>
      </c>
      <c r="T16" s="3" t="e">
        <f t="shared" si="11"/>
        <v>#VALUE!</v>
      </c>
      <c r="U16" s="3" t="e">
        <f t="shared" si="11"/>
        <v>#VALUE!</v>
      </c>
      <c r="V16" s="3" t="e">
        <f t="shared" si="11"/>
        <v>#VALUE!</v>
      </c>
      <c r="W16" s="3" t="e">
        <f t="shared" si="11"/>
        <v>#VALUE!</v>
      </c>
      <c r="X16" s="3" t="e">
        <f t="shared" si="11"/>
        <v>#VALUE!</v>
      </c>
      <c r="Y16" s="3" t="e">
        <f t="shared" ref="Y16:Y19" si="12">SUM(Q16:X16)</f>
        <v>#VALUE!</v>
      </c>
      <c r="AA16" s="62"/>
      <c r="AB16" s="62"/>
      <c r="AM16" s="1427"/>
      <c r="AN16" s="1421"/>
      <c r="AO16" s="1422"/>
      <c r="AP16" s="53" t="s">
        <v>167</v>
      </c>
      <c r="AQ16" s="85">
        <f t="shared" si="1"/>
        <v>0</v>
      </c>
    </row>
    <row r="17" spans="2:43">
      <c r="B17" s="1427"/>
      <c r="C17" s="1423" t="s">
        <v>205</v>
      </c>
      <c r="D17" s="1424" t="s">
        <v>43</v>
      </c>
      <c r="E17" s="53" t="s">
        <v>169</v>
      </c>
      <c r="F17" s="74">
        <f>-IF(加算と減算!E32="○",単価表!AZ7,0)</f>
        <v>0</v>
      </c>
      <c r="G17" s="74">
        <f t="shared" si="2"/>
        <v>0</v>
      </c>
      <c r="H17" s="74">
        <f t="shared" si="6"/>
        <v>0</v>
      </c>
      <c r="I17" s="74">
        <f t="shared" si="7"/>
        <v>0</v>
      </c>
      <c r="J17" s="74">
        <f t="shared" si="3"/>
        <v>0</v>
      </c>
      <c r="K17" s="74">
        <f t="shared" si="4"/>
        <v>0</v>
      </c>
      <c r="L17" s="74">
        <f t="shared" si="8"/>
        <v>0</v>
      </c>
      <c r="M17" s="74">
        <f t="shared" si="9"/>
        <v>0</v>
      </c>
      <c r="O17" s="1447"/>
      <c r="P17" s="632">
        <f>P8</f>
        <v>0</v>
      </c>
      <c r="Q17" s="3" t="e">
        <f t="shared" ref="Q17:X17" si="13">F27*Q8</f>
        <v>#VALUE!</v>
      </c>
      <c r="R17" s="3" t="e">
        <f t="shared" si="13"/>
        <v>#VALUE!</v>
      </c>
      <c r="S17" s="3" t="e">
        <f t="shared" si="13"/>
        <v>#VALUE!</v>
      </c>
      <c r="T17" s="3" t="e">
        <f t="shared" si="13"/>
        <v>#VALUE!</v>
      </c>
      <c r="U17" s="3" t="e">
        <f t="shared" si="13"/>
        <v>#VALUE!</v>
      </c>
      <c r="V17" s="3" t="e">
        <f t="shared" si="13"/>
        <v>#VALUE!</v>
      </c>
      <c r="W17" s="3" t="e">
        <f t="shared" si="13"/>
        <v>#VALUE!</v>
      </c>
      <c r="X17" s="3" t="e">
        <f t="shared" si="13"/>
        <v>#VALUE!</v>
      </c>
      <c r="Y17" s="3" t="e">
        <f t="shared" si="12"/>
        <v>#VALUE!</v>
      </c>
      <c r="AA17" s="62"/>
      <c r="AB17" s="62"/>
      <c r="AM17" s="1427"/>
      <c r="AN17" s="1423" t="s">
        <v>205</v>
      </c>
      <c r="AO17" s="1424" t="s">
        <v>43</v>
      </c>
      <c r="AP17" s="53" t="s">
        <v>169</v>
      </c>
      <c r="AQ17" s="85">
        <f t="shared" si="1"/>
        <v>0</v>
      </c>
    </row>
    <row r="18" spans="2:43">
      <c r="B18" s="1427"/>
      <c r="C18" s="1423"/>
      <c r="D18" s="1424"/>
      <c r="E18" s="53" t="s">
        <v>167</v>
      </c>
      <c r="F18" s="74">
        <f>-IF(加算と減算!E32="○",単価表!BA7*基本情報!G7,0)</f>
        <v>0</v>
      </c>
      <c r="G18" s="74">
        <f t="shared" si="2"/>
        <v>0</v>
      </c>
      <c r="H18" s="74">
        <f t="shared" si="6"/>
        <v>0</v>
      </c>
      <c r="I18" s="74">
        <f t="shared" si="7"/>
        <v>0</v>
      </c>
      <c r="J18" s="74">
        <f t="shared" si="3"/>
        <v>0</v>
      </c>
      <c r="K18" s="74">
        <f t="shared" si="4"/>
        <v>0</v>
      </c>
      <c r="L18" s="74">
        <f t="shared" si="8"/>
        <v>0</v>
      </c>
      <c r="M18" s="74">
        <f t="shared" si="9"/>
        <v>0</v>
      </c>
      <c r="O18" s="1447"/>
      <c r="P18" s="633">
        <f>P9</f>
        <v>0</v>
      </c>
      <c r="Q18" s="3" t="e">
        <f t="shared" ref="Q18:X18" si="14">F27*Q9</f>
        <v>#VALUE!</v>
      </c>
      <c r="R18" s="3" t="e">
        <f t="shared" si="14"/>
        <v>#VALUE!</v>
      </c>
      <c r="S18" s="3" t="e">
        <f t="shared" si="14"/>
        <v>#VALUE!</v>
      </c>
      <c r="T18" s="3" t="e">
        <f t="shared" si="14"/>
        <v>#VALUE!</v>
      </c>
      <c r="U18" s="3" t="e">
        <f t="shared" si="14"/>
        <v>#VALUE!</v>
      </c>
      <c r="V18" s="3" t="e">
        <f t="shared" si="14"/>
        <v>#VALUE!</v>
      </c>
      <c r="W18" s="3" t="e">
        <f t="shared" si="14"/>
        <v>#VALUE!</v>
      </c>
      <c r="X18" s="3" t="e">
        <f t="shared" si="14"/>
        <v>#VALUE!</v>
      </c>
      <c r="Y18" s="3" t="e">
        <f t="shared" si="12"/>
        <v>#VALUE!</v>
      </c>
      <c r="AA18" s="62"/>
      <c r="AB18" s="62"/>
      <c r="AM18" s="1427"/>
      <c r="AN18" s="1423"/>
      <c r="AO18" s="1424"/>
      <c r="AP18" s="53" t="s">
        <v>167</v>
      </c>
      <c r="AQ18" s="85">
        <f t="shared" si="1"/>
        <v>0</v>
      </c>
    </row>
    <row r="19" spans="2:43">
      <c r="B19" s="1427"/>
      <c r="C19" s="1423"/>
      <c r="D19" s="371" t="s">
        <v>165</v>
      </c>
      <c r="E19" s="60"/>
      <c r="F19" s="74" t="e">
        <f>-ROUNDDOWN((F6+F7+F8+F9+F11+F12)*$S$2/100,-1)</f>
        <v>#VALUE!</v>
      </c>
      <c r="G19" s="74" t="e">
        <f>-ROUNDDOWN((G6+G7+G8+G9+G11+G12)*$S$2/100,-1)</f>
        <v>#VALUE!</v>
      </c>
      <c r="H19" s="74" t="e">
        <f t="shared" ref="H19:M19" si="15">-ROUNDDOWN((H6+H7+H8+H9+H11+H12)*$S$2/100,-1)</f>
        <v>#VALUE!</v>
      </c>
      <c r="I19" s="74" t="e">
        <f t="shared" si="15"/>
        <v>#VALUE!</v>
      </c>
      <c r="J19" s="74" t="e">
        <f t="shared" si="15"/>
        <v>#VALUE!</v>
      </c>
      <c r="K19" s="74" t="e">
        <f t="shared" si="15"/>
        <v>#VALUE!</v>
      </c>
      <c r="L19" s="74" t="e">
        <f t="shared" si="15"/>
        <v>#VALUE!</v>
      </c>
      <c r="M19" s="74" t="e">
        <f t="shared" si="15"/>
        <v>#VALUE!</v>
      </c>
      <c r="O19" s="1447"/>
      <c r="P19" s="634">
        <f>P10</f>
        <v>0</v>
      </c>
      <c r="Q19" s="3" t="e">
        <f t="shared" ref="Q19:X19" si="16">F27*Q10</f>
        <v>#VALUE!</v>
      </c>
      <c r="R19" s="3" t="e">
        <f t="shared" si="16"/>
        <v>#VALUE!</v>
      </c>
      <c r="S19" s="3" t="e">
        <f t="shared" si="16"/>
        <v>#VALUE!</v>
      </c>
      <c r="T19" s="3" t="e">
        <f t="shared" si="16"/>
        <v>#VALUE!</v>
      </c>
      <c r="U19" s="3" t="e">
        <f t="shared" si="16"/>
        <v>#VALUE!</v>
      </c>
      <c r="V19" s="3" t="e">
        <f t="shared" si="16"/>
        <v>#VALUE!</v>
      </c>
      <c r="W19" s="3" t="e">
        <f t="shared" si="16"/>
        <v>#VALUE!</v>
      </c>
      <c r="X19" s="3" t="e">
        <f t="shared" si="16"/>
        <v>#VALUE!</v>
      </c>
      <c r="Y19" s="3" t="e">
        <f t="shared" si="12"/>
        <v>#VALUE!</v>
      </c>
      <c r="AA19" s="62"/>
      <c r="AB19" s="62"/>
      <c r="AM19" s="1427"/>
      <c r="AN19" s="1423"/>
      <c r="AO19" s="699" t="s">
        <v>165</v>
      </c>
      <c r="AP19" s="60"/>
      <c r="AQ19" s="85" t="e">
        <f t="shared" si="1"/>
        <v>#VALUE!</v>
      </c>
    </row>
    <row r="20" spans="2:43">
      <c r="B20" s="1427"/>
      <c r="C20" s="1423"/>
      <c r="D20" s="371" t="s">
        <v>166</v>
      </c>
      <c r="E20" s="60"/>
      <c r="F20" s="74" t="e">
        <f>-ROUNDUP(SUM(F6:F19)*$V$2/100,-1)</f>
        <v>#VALUE!</v>
      </c>
      <c r="G20" s="74" t="e">
        <f>-ROUNDUP(SUM(G6:G19)*$V$2/100,-1)</f>
        <v>#VALUE!</v>
      </c>
      <c r="H20" s="74" t="e">
        <f t="shared" ref="H20:M20" si="17">-ROUNDUP(SUM(H6:H19)*$V$2/100,-1)</f>
        <v>#VALUE!</v>
      </c>
      <c r="I20" s="74" t="e">
        <f t="shared" si="17"/>
        <v>#VALUE!</v>
      </c>
      <c r="J20" s="74" t="e">
        <f t="shared" si="17"/>
        <v>#VALUE!</v>
      </c>
      <c r="K20" s="74" t="e">
        <f t="shared" si="17"/>
        <v>#VALUE!</v>
      </c>
      <c r="L20" s="74" t="e">
        <f t="shared" si="17"/>
        <v>#VALUE!</v>
      </c>
      <c r="M20" s="74" t="e">
        <f t="shared" si="17"/>
        <v>#VALUE!</v>
      </c>
      <c r="O20" s="1448"/>
      <c r="P20" s="635" t="s">
        <v>175</v>
      </c>
      <c r="Q20" s="3" t="e">
        <f>SUM(Q15:Q19)</f>
        <v>#VALUE!</v>
      </c>
      <c r="R20" s="3" t="e">
        <f t="shared" ref="R20" si="18">SUM(R15:R19)</f>
        <v>#VALUE!</v>
      </c>
      <c r="S20" s="3" t="e">
        <f t="shared" ref="S20" si="19">SUM(S15:S19)</f>
        <v>#VALUE!</v>
      </c>
      <c r="T20" s="3" t="e">
        <f t="shared" ref="T20" si="20">SUM(T15:T19)</f>
        <v>#VALUE!</v>
      </c>
      <c r="U20" s="3" t="e">
        <f t="shared" ref="U20" si="21">SUM(U15:U19)</f>
        <v>#VALUE!</v>
      </c>
      <c r="V20" s="3" t="e">
        <f t="shared" ref="V20" si="22">SUM(V15:V19)</f>
        <v>#VALUE!</v>
      </c>
      <c r="W20" s="3" t="e">
        <f t="shared" ref="W20" si="23">SUM(W15:W19)</f>
        <v>#VALUE!</v>
      </c>
      <c r="X20" s="3" t="e">
        <f t="shared" ref="X20:Y20" si="24">SUM(X15:X19)</f>
        <v>#VALUE!</v>
      </c>
      <c r="Y20" s="3" t="e">
        <f t="shared" si="24"/>
        <v>#VALUE!</v>
      </c>
      <c r="AA20" s="62"/>
      <c r="AB20" s="62"/>
      <c r="AM20" s="1427"/>
      <c r="AN20" s="1423"/>
      <c r="AO20" s="699" t="s">
        <v>166</v>
      </c>
      <c r="AP20" s="60"/>
      <c r="AQ20" s="85" t="e">
        <f t="shared" si="1"/>
        <v>#VALUE!</v>
      </c>
    </row>
    <row r="21" spans="2:43" ht="15" customHeight="1">
      <c r="B21" s="1427"/>
      <c r="C21" s="1419" t="s">
        <v>204</v>
      </c>
      <c r="D21" s="366" t="s">
        <v>18</v>
      </c>
      <c r="E21" s="59"/>
      <c r="F21" s="3">
        <f>IF(K2=0,0,IF(加算と減算!E13="",0,ROUNDDOWN(加算と減算!U13/'4月'!$K$2,-1)))</f>
        <v>0</v>
      </c>
      <c r="G21" s="3">
        <f>F21</f>
        <v>0</v>
      </c>
      <c r="H21" s="3">
        <f t="shared" ref="H21:M21" si="25">G21</f>
        <v>0</v>
      </c>
      <c r="I21" s="3">
        <f t="shared" si="25"/>
        <v>0</v>
      </c>
      <c r="J21" s="3">
        <f t="shared" si="25"/>
        <v>0</v>
      </c>
      <c r="K21" s="3">
        <f t="shared" si="25"/>
        <v>0</v>
      </c>
      <c r="L21" s="3">
        <f t="shared" si="25"/>
        <v>0</v>
      </c>
      <c r="M21" s="3">
        <f t="shared" si="25"/>
        <v>0</v>
      </c>
      <c r="O21" s="76"/>
      <c r="P21" s="636"/>
      <c r="Q21" s="54"/>
      <c r="R21" s="54"/>
      <c r="S21" s="9"/>
      <c r="T21" s="9"/>
      <c r="U21" s="54"/>
      <c r="V21" s="54"/>
      <c r="W21" s="10"/>
      <c r="X21" s="10"/>
      <c r="Y21" s="10"/>
      <c r="AA21" s="62"/>
      <c r="AB21" s="62"/>
      <c r="AM21" s="1427"/>
      <c r="AN21" s="1419" t="s">
        <v>204</v>
      </c>
      <c r="AO21" s="698" t="s">
        <v>18</v>
      </c>
      <c r="AP21" s="732" t="s">
        <v>559</v>
      </c>
      <c r="AQ21" s="85">
        <f t="shared" si="1"/>
        <v>0</v>
      </c>
    </row>
    <row r="22" spans="2:43" ht="15" customHeight="1">
      <c r="B22" s="1427"/>
      <c r="C22" s="1420"/>
      <c r="D22" s="366" t="s">
        <v>62</v>
      </c>
      <c r="E22" s="59"/>
      <c r="F22" s="3">
        <f>IF(K2=0,0,ROUNDDOWN(IF(加算と減算!E14="○",加算と減算!U14,IF(加算と減算!E15="○",加算と減算!U15,0))/K2,-1))</f>
        <v>0</v>
      </c>
      <c r="G22" s="3">
        <f t="shared" ref="G22:M25" si="26">F22</f>
        <v>0</v>
      </c>
      <c r="H22" s="3">
        <f t="shared" si="26"/>
        <v>0</v>
      </c>
      <c r="I22" s="3">
        <f t="shared" si="26"/>
        <v>0</v>
      </c>
      <c r="J22" s="3">
        <f t="shared" si="26"/>
        <v>0</v>
      </c>
      <c r="K22" s="3">
        <f t="shared" si="26"/>
        <v>0</v>
      </c>
      <c r="L22" s="3">
        <f t="shared" si="26"/>
        <v>0</v>
      </c>
      <c r="M22" s="3">
        <f>L22</f>
        <v>0</v>
      </c>
      <c r="O22" s="1443" t="s">
        <v>180</v>
      </c>
      <c r="P22" s="367" t="s">
        <v>171</v>
      </c>
      <c r="Q22" s="368" t="s">
        <v>178</v>
      </c>
      <c r="R22" s="367" t="s">
        <v>179</v>
      </c>
      <c r="S22" s="4"/>
      <c r="T22" s="1443" t="s">
        <v>188</v>
      </c>
      <c r="U22" s="367" t="s">
        <v>171</v>
      </c>
      <c r="V22" s="40" t="s">
        <v>179</v>
      </c>
      <c r="AA22" s="62"/>
      <c r="AB22" s="62"/>
      <c r="AM22" s="1427"/>
      <c r="AN22" s="1420"/>
      <c r="AO22" s="698" t="s">
        <v>62</v>
      </c>
      <c r="AP22" s="732" t="s">
        <v>559</v>
      </c>
      <c r="AQ22" s="85">
        <f t="shared" si="1"/>
        <v>0</v>
      </c>
    </row>
    <row r="23" spans="2:43" ht="16.5">
      <c r="B23" s="1427"/>
      <c r="C23" s="1420"/>
      <c r="D23" s="366" t="s">
        <v>19</v>
      </c>
      <c r="E23" s="59"/>
      <c r="F23" s="3">
        <f>IF(K2=0,0,IF(加算と減算!E16="",0,ROUNDDOWN(加算と減算!U16/'4月'!$K$2,-1)))</f>
        <v>0</v>
      </c>
      <c r="G23" s="3">
        <f t="shared" si="26"/>
        <v>0</v>
      </c>
      <c r="H23" s="3">
        <f t="shared" si="26"/>
        <v>0</v>
      </c>
      <c r="I23" s="3">
        <f t="shared" si="26"/>
        <v>0</v>
      </c>
      <c r="J23" s="3">
        <f t="shared" si="26"/>
        <v>0</v>
      </c>
      <c r="K23" s="3">
        <f t="shared" si="26"/>
        <v>0</v>
      </c>
      <c r="L23" s="3">
        <f t="shared" si="26"/>
        <v>0</v>
      </c>
      <c r="M23" s="3">
        <f t="shared" si="26"/>
        <v>0</v>
      </c>
      <c r="O23" s="1447"/>
      <c r="P23" s="630">
        <f>P6</f>
        <v>0</v>
      </c>
      <c r="Q23" s="3">
        <f>児童数!AE22</f>
        <v>0</v>
      </c>
      <c r="R23" s="64">
        <f>4500*Q23</f>
        <v>0</v>
      </c>
      <c r="S23" s="4"/>
      <c r="T23" s="1447"/>
      <c r="U23" s="630">
        <f>P6</f>
        <v>0</v>
      </c>
      <c r="V23" s="65" t="e">
        <f>Y15+R23</f>
        <v>#VALUE!</v>
      </c>
      <c r="AA23" s="62"/>
      <c r="AB23" s="62"/>
      <c r="AM23" s="1427"/>
      <c r="AN23" s="1420"/>
      <c r="AO23" s="698" t="s">
        <v>19</v>
      </c>
      <c r="AP23" s="732" t="s">
        <v>559</v>
      </c>
      <c r="AQ23" s="85">
        <f t="shared" si="1"/>
        <v>0</v>
      </c>
    </row>
    <row r="24" spans="2:43" ht="16.5">
      <c r="B24" s="1427"/>
      <c r="C24" s="1420"/>
      <c r="D24" s="366" t="s">
        <v>41</v>
      </c>
      <c r="E24" s="59"/>
      <c r="F24" s="3">
        <f>IF(K2=0,0,IF(加算と減算!D17="",0,ROUNDDOWN(加算と減算!U17/'4月'!$K$2,-1)))</f>
        <v>0</v>
      </c>
      <c r="G24" s="3">
        <f t="shared" si="26"/>
        <v>0</v>
      </c>
      <c r="H24" s="3">
        <f t="shared" si="26"/>
        <v>0</v>
      </c>
      <c r="I24" s="3">
        <f t="shared" si="26"/>
        <v>0</v>
      </c>
      <c r="J24" s="3">
        <f t="shared" si="26"/>
        <v>0</v>
      </c>
      <c r="K24" s="3">
        <f t="shared" si="26"/>
        <v>0</v>
      </c>
      <c r="L24" s="3">
        <f t="shared" si="26"/>
        <v>0</v>
      </c>
      <c r="M24" s="3">
        <f t="shared" si="26"/>
        <v>0</v>
      </c>
      <c r="O24" s="1447"/>
      <c r="P24" s="631">
        <f>P7</f>
        <v>0</v>
      </c>
      <c r="Q24" s="3">
        <f>児童数!AE36</f>
        <v>0</v>
      </c>
      <c r="R24" s="64">
        <f t="shared" ref="R24:R27" si="27">4500*Q24</f>
        <v>0</v>
      </c>
      <c r="S24" s="4"/>
      <c r="T24" s="1447"/>
      <c r="U24" s="631">
        <f>P7</f>
        <v>0</v>
      </c>
      <c r="V24" s="66" t="e">
        <f>Y16+R24</f>
        <v>#VALUE!</v>
      </c>
      <c r="AA24" s="62"/>
      <c r="AB24" s="62"/>
      <c r="AM24" s="1427"/>
      <c r="AN24" s="1420"/>
      <c r="AO24" s="698" t="s">
        <v>41</v>
      </c>
      <c r="AP24" s="732" t="s">
        <v>559</v>
      </c>
      <c r="AQ24" s="85">
        <f t="shared" si="1"/>
        <v>0</v>
      </c>
    </row>
    <row r="25" spans="2:43" ht="16.5">
      <c r="B25" s="1427"/>
      <c r="C25" s="1420"/>
      <c r="D25" s="366" t="s">
        <v>42</v>
      </c>
      <c r="E25" s="59"/>
      <c r="F25" s="3" t="str">
        <f>加算と減算!U18</f>
        <v/>
      </c>
      <c r="G25" s="3" t="str">
        <f t="shared" si="26"/>
        <v/>
      </c>
      <c r="H25" s="3" t="str">
        <f t="shared" si="26"/>
        <v/>
      </c>
      <c r="I25" s="3" t="str">
        <f t="shared" si="26"/>
        <v/>
      </c>
      <c r="J25" s="3" t="str">
        <f t="shared" si="26"/>
        <v/>
      </c>
      <c r="K25" s="3" t="str">
        <f t="shared" si="26"/>
        <v/>
      </c>
      <c r="L25" s="3" t="str">
        <f t="shared" si="26"/>
        <v/>
      </c>
      <c r="M25" s="3" t="str">
        <f t="shared" si="26"/>
        <v/>
      </c>
      <c r="O25" s="1447"/>
      <c r="P25" s="632">
        <f>P8</f>
        <v>0</v>
      </c>
      <c r="Q25" s="3">
        <f>児童数!AE50</f>
        <v>0</v>
      </c>
      <c r="R25" s="64">
        <f t="shared" si="27"/>
        <v>0</v>
      </c>
      <c r="S25" s="4"/>
      <c r="T25" s="1447"/>
      <c r="U25" s="632">
        <f>P8</f>
        <v>0</v>
      </c>
      <c r="V25" s="67" t="e">
        <f>Y17+R25</f>
        <v>#VALUE!</v>
      </c>
      <c r="AA25" s="62"/>
      <c r="AB25" s="62"/>
      <c r="AM25" s="1427"/>
      <c r="AN25" s="1420"/>
      <c r="AO25" s="718" t="s">
        <v>42</v>
      </c>
      <c r="AP25" s="731" t="s">
        <v>353</v>
      </c>
      <c r="AQ25" s="85">
        <f t="shared" si="1"/>
        <v>0</v>
      </c>
    </row>
    <row r="26" spans="2:43" ht="16.5">
      <c r="B26" s="1427"/>
      <c r="C26" s="1421"/>
      <c r="D26" s="366" t="s">
        <v>80</v>
      </c>
      <c r="E26" s="59"/>
      <c r="F26" s="3">
        <f>IF(K2=0,0,ROUNDDOWN(IF(加算と減算!E26="○",加算と減算!U26,IF(加算と減算!E27="○",加算と減算!U27,IF(加算と減算!E28="○",加算と減算!U28,0)))/K2,-1))</f>
        <v>0</v>
      </c>
      <c r="G26" s="3">
        <f t="shared" ref="G26" si="28">F26</f>
        <v>0</v>
      </c>
      <c r="H26" s="3">
        <f t="shared" ref="H26" si="29">G26</f>
        <v>0</v>
      </c>
      <c r="I26" s="3">
        <f t="shared" ref="I26" si="30">H26</f>
        <v>0</v>
      </c>
      <c r="J26" s="3">
        <f t="shared" ref="J26" si="31">I26</f>
        <v>0</v>
      </c>
      <c r="K26" s="3">
        <f t="shared" ref="K26" si="32">J26</f>
        <v>0</v>
      </c>
      <c r="L26" s="3">
        <f t="shared" ref="L26" si="33">K26</f>
        <v>0</v>
      </c>
      <c r="M26" s="3">
        <f t="shared" ref="M26" si="34">L26</f>
        <v>0</v>
      </c>
      <c r="O26" s="1447"/>
      <c r="P26" s="633">
        <f>P9</f>
        <v>0</v>
      </c>
      <c r="Q26" s="3">
        <f>児童数!AE64</f>
        <v>0</v>
      </c>
      <c r="R26" s="64">
        <f t="shared" si="27"/>
        <v>0</v>
      </c>
      <c r="S26" s="4"/>
      <c r="T26" s="1447"/>
      <c r="U26" s="633">
        <f>P9</f>
        <v>0</v>
      </c>
      <c r="V26" s="68" t="e">
        <f>Y18+R26</f>
        <v>#VALUE!</v>
      </c>
      <c r="AA26" s="62"/>
      <c r="AB26" s="62"/>
      <c r="AM26" s="1427"/>
      <c r="AN26" s="1421"/>
      <c r="AO26" s="698" t="s">
        <v>80</v>
      </c>
      <c r="AP26" s="731" t="s">
        <v>353</v>
      </c>
      <c r="AQ26" s="85">
        <f t="shared" si="1"/>
        <v>0</v>
      </c>
    </row>
    <row r="27" spans="2:43" ht="18.75" customHeight="1" thickBot="1">
      <c r="B27" s="1428"/>
      <c r="C27" s="1410" t="s">
        <v>44</v>
      </c>
      <c r="D27" s="1411"/>
      <c r="E27" s="53"/>
      <c r="F27" s="5" t="e">
        <f t="shared" ref="F27:M27" si="35">SUM(F6:F26)</f>
        <v>#VALUE!</v>
      </c>
      <c r="G27" s="5" t="e">
        <f t="shared" si="35"/>
        <v>#VALUE!</v>
      </c>
      <c r="H27" s="5" t="e">
        <f t="shared" si="35"/>
        <v>#VALUE!</v>
      </c>
      <c r="I27" s="5" t="e">
        <f t="shared" si="35"/>
        <v>#VALUE!</v>
      </c>
      <c r="J27" s="5" t="e">
        <f t="shared" si="35"/>
        <v>#VALUE!</v>
      </c>
      <c r="K27" s="5" t="e">
        <f t="shared" si="35"/>
        <v>#VALUE!</v>
      </c>
      <c r="L27" s="5" t="e">
        <f t="shared" si="35"/>
        <v>#VALUE!</v>
      </c>
      <c r="M27" s="5" t="e">
        <f t="shared" si="35"/>
        <v>#VALUE!</v>
      </c>
      <c r="O27" s="1447"/>
      <c r="P27" s="634">
        <f>P10</f>
        <v>0</v>
      </c>
      <c r="Q27" s="3">
        <f>児童数!AE78</f>
        <v>0</v>
      </c>
      <c r="R27" s="64">
        <f t="shared" si="27"/>
        <v>0</v>
      </c>
      <c r="S27" s="4"/>
      <c r="T27" s="1447"/>
      <c r="U27" s="634">
        <f>P10</f>
        <v>0</v>
      </c>
      <c r="V27" s="69" t="e">
        <f>Y19+R27</f>
        <v>#VALUE!</v>
      </c>
      <c r="AA27" s="62"/>
      <c r="AB27" s="62"/>
      <c r="AM27" s="1428"/>
      <c r="AN27" s="1425" t="s">
        <v>562</v>
      </c>
      <c r="AO27" s="1425"/>
      <c r="AP27" s="733" t="s">
        <v>376</v>
      </c>
      <c r="AQ27" s="85">
        <f>R28</f>
        <v>0</v>
      </c>
    </row>
    <row r="28" spans="2:43" ht="15.75" thickBot="1">
      <c r="B28" s="263"/>
      <c r="C28" s="58"/>
      <c r="D28" s="58"/>
      <c r="E28" s="58" t="s">
        <v>167</v>
      </c>
      <c r="F28" s="7" t="e">
        <f>F7+F9+F12+F16+F18</f>
        <v>#VALUE!</v>
      </c>
      <c r="G28" s="7" t="e">
        <f t="shared" ref="G28:M28" si="36">G7+G9+G12+G16+G18</f>
        <v>#VALUE!</v>
      </c>
      <c r="H28" s="7" t="e">
        <f t="shared" si="36"/>
        <v>#VALUE!</v>
      </c>
      <c r="I28" s="7" t="e">
        <f t="shared" si="36"/>
        <v>#VALUE!</v>
      </c>
      <c r="J28" s="7" t="e">
        <f t="shared" si="36"/>
        <v>#VALUE!</v>
      </c>
      <c r="K28" s="7" t="e">
        <f>K7+K9+K12+K16+K18</f>
        <v>#VALUE!</v>
      </c>
      <c r="L28" s="7" t="e">
        <f>L7+L9+L12+L16+L18</f>
        <v>#VALUE!</v>
      </c>
      <c r="M28" s="7" t="e">
        <f t="shared" si="36"/>
        <v>#VALUE!</v>
      </c>
      <c r="O28" s="1448"/>
      <c r="P28" s="635" t="s">
        <v>175</v>
      </c>
      <c r="Q28" s="3">
        <f>SUM(Q23:Q27)</f>
        <v>0</v>
      </c>
      <c r="R28" s="3">
        <f>SUM(R23:R27)</f>
        <v>0</v>
      </c>
      <c r="S28" s="4"/>
      <c r="T28" s="1448"/>
      <c r="U28" s="635" t="s">
        <v>175</v>
      </c>
      <c r="V28" s="70" t="e">
        <f>SUM(V23:V27)</f>
        <v>#VALUE!</v>
      </c>
      <c r="AA28" s="62"/>
      <c r="AB28" s="62"/>
      <c r="AG28" s="288" t="e">
        <f>SUMPRODUCT(F28:M28,Q11:X11)</f>
        <v>#VALUE!</v>
      </c>
      <c r="AM28" s="263"/>
      <c r="AN28" s="1410" t="s">
        <v>44</v>
      </c>
      <c r="AO28" s="1411"/>
      <c r="AP28" s="53"/>
      <c r="AQ28" s="85" t="e">
        <f>SUM(AQ6:AQ27)</f>
        <v>#VALUE!</v>
      </c>
    </row>
    <row r="29" spans="2:43" ht="15" customHeight="1">
      <c r="E29" s="1020" t="s">
        <v>703</v>
      </c>
      <c r="F29" s="264" t="e">
        <f>-ROUNDUP(SUM(F6:F9,F11:F19)*$V$2/100,-1)</f>
        <v>#VALUE!</v>
      </c>
      <c r="G29" s="264" t="e">
        <f t="shared" ref="G29:M29" si="37">-ROUNDUP(SUM(G6:G9,G11:G19)*$V$2/100,-1)</f>
        <v>#VALUE!</v>
      </c>
      <c r="H29" s="264" t="e">
        <f t="shared" si="37"/>
        <v>#VALUE!</v>
      </c>
      <c r="I29" s="264" t="e">
        <f t="shared" si="37"/>
        <v>#VALUE!</v>
      </c>
      <c r="J29" s="264" t="e">
        <f t="shared" si="37"/>
        <v>#VALUE!</v>
      </c>
      <c r="K29" s="264" t="e">
        <f t="shared" si="37"/>
        <v>#VALUE!</v>
      </c>
      <c r="L29" s="264" t="e">
        <f t="shared" si="37"/>
        <v>#VALUE!</v>
      </c>
      <c r="M29" s="264" t="e">
        <f t="shared" si="37"/>
        <v>#VALUE!</v>
      </c>
      <c r="O29" s="637"/>
      <c r="P29" s="637"/>
      <c r="Q29" s="637"/>
      <c r="R29" s="637"/>
      <c r="S29" s="637"/>
      <c r="T29" s="637"/>
      <c r="U29" s="637"/>
      <c r="V29" s="63"/>
      <c r="AA29" s="62"/>
      <c r="AB29" s="62"/>
      <c r="AO29" s="1"/>
      <c r="AP29" s="57"/>
    </row>
    <row r="30" spans="2:43" ht="15" customHeight="1">
      <c r="B30" s="1412" t="s">
        <v>191</v>
      </c>
      <c r="C30" s="1415"/>
      <c r="D30" s="1415"/>
      <c r="E30" s="1416" t="s">
        <v>172</v>
      </c>
      <c r="F30" s="1418" t="s">
        <v>15</v>
      </c>
      <c r="G30" s="1418"/>
      <c r="H30" s="1418"/>
      <c r="I30" s="1418"/>
      <c r="J30" s="1418" t="s">
        <v>16</v>
      </c>
      <c r="K30" s="1418"/>
      <c r="L30" s="1418"/>
      <c r="M30" s="1418"/>
      <c r="O30" s="1449" t="s">
        <v>40</v>
      </c>
      <c r="P30" s="1446" t="s">
        <v>171</v>
      </c>
      <c r="Q30" s="1440" t="s">
        <v>15</v>
      </c>
      <c r="R30" s="1440"/>
      <c r="S30" s="1440"/>
      <c r="T30" s="1440"/>
      <c r="U30" s="1440" t="s">
        <v>16</v>
      </c>
      <c r="V30" s="1440"/>
      <c r="W30" s="1440"/>
      <c r="X30" s="1440"/>
      <c r="Y30" s="1441" t="s">
        <v>177</v>
      </c>
      <c r="Z30" s="11"/>
      <c r="AA30" s="57"/>
      <c r="AB30" s="62"/>
      <c r="AM30" s="1412" t="s">
        <v>3</v>
      </c>
      <c r="AN30" s="1415"/>
      <c r="AO30" s="1415"/>
      <c r="AP30" s="1416" t="s">
        <v>172</v>
      </c>
      <c r="AQ30" s="85"/>
    </row>
    <row r="31" spans="2:43" s="1" customFormat="1">
      <c r="B31" s="1413"/>
      <c r="C31" s="1415"/>
      <c r="D31" s="1415"/>
      <c r="E31" s="1417"/>
      <c r="F31" s="370" t="s">
        <v>6</v>
      </c>
      <c r="G31" s="370" t="s">
        <v>7</v>
      </c>
      <c r="H31" s="370" t="s">
        <v>8</v>
      </c>
      <c r="I31" s="370" t="s">
        <v>9</v>
      </c>
      <c r="J31" s="370" t="s">
        <v>6</v>
      </c>
      <c r="K31" s="370" t="s">
        <v>7</v>
      </c>
      <c r="L31" s="370" t="s">
        <v>8</v>
      </c>
      <c r="M31" s="370" t="s">
        <v>9</v>
      </c>
      <c r="N31" s="2"/>
      <c r="O31" s="1444"/>
      <c r="P31" s="1446"/>
      <c r="Q31" s="368" t="s">
        <v>6</v>
      </c>
      <c r="R31" s="368" t="s">
        <v>7</v>
      </c>
      <c r="S31" s="368" t="s">
        <v>8</v>
      </c>
      <c r="T31" s="368" t="s">
        <v>9</v>
      </c>
      <c r="U31" s="368" t="s">
        <v>6</v>
      </c>
      <c r="V31" s="368" t="s">
        <v>7</v>
      </c>
      <c r="W31" s="368" t="s">
        <v>8</v>
      </c>
      <c r="X31" s="368" t="s">
        <v>9</v>
      </c>
      <c r="Y31" s="1442"/>
      <c r="Z31" s="11"/>
      <c r="AA31" s="57"/>
      <c r="AB31" s="57"/>
      <c r="AE31" s="2"/>
      <c r="AM31" s="1413"/>
      <c r="AN31" s="1415"/>
      <c r="AO31" s="1415"/>
      <c r="AP31" s="1417"/>
      <c r="AQ31" s="85"/>
    </row>
    <row r="32" spans="2:43" s="1" customFormat="1">
      <c r="B32" s="1413"/>
      <c r="C32" s="1418" t="s">
        <v>17</v>
      </c>
      <c r="D32" s="1418"/>
      <c r="E32" s="53" t="s">
        <v>169</v>
      </c>
      <c r="F32" s="3">
        <f>単価表!AV23</f>
        <v>0</v>
      </c>
      <c r="G32" s="3">
        <f>単価表!AV25</f>
        <v>0</v>
      </c>
      <c r="H32" s="3">
        <f>単価表!AV27</f>
        <v>0</v>
      </c>
      <c r="I32" s="3">
        <f>単価表!AV29</f>
        <v>0</v>
      </c>
      <c r="J32" s="3">
        <f>単価表!AW23</f>
        <v>0</v>
      </c>
      <c r="K32" s="3">
        <f>単価表!AW25</f>
        <v>0</v>
      </c>
      <c r="L32" s="3">
        <f>単価表!AW27</f>
        <v>0</v>
      </c>
      <c r="M32" s="3">
        <f>単価表!AW29</f>
        <v>0</v>
      </c>
      <c r="O32" s="1444"/>
      <c r="P32" s="630">
        <f>P6</f>
        <v>0</v>
      </c>
      <c r="Q32" s="3">
        <f>児童数!R22</f>
        <v>0</v>
      </c>
      <c r="R32" s="3">
        <f>児童数!S22</f>
        <v>0</v>
      </c>
      <c r="S32" s="3">
        <f>児童数!T22</f>
        <v>0</v>
      </c>
      <c r="T32" s="3">
        <f>児童数!U22</f>
        <v>0</v>
      </c>
      <c r="U32" s="3">
        <f>児童数!W22</f>
        <v>0</v>
      </c>
      <c r="V32" s="3">
        <f>児童数!X22</f>
        <v>0</v>
      </c>
      <c r="W32" s="3">
        <f>児童数!Y22</f>
        <v>0</v>
      </c>
      <c r="X32" s="3">
        <f>児童数!Z22</f>
        <v>0</v>
      </c>
      <c r="Y32" s="64">
        <f>SUM(Q32:X32)</f>
        <v>0</v>
      </c>
      <c r="Z32" s="2"/>
      <c r="AA32" s="57"/>
      <c r="AB32" s="57"/>
      <c r="AM32" s="1413"/>
      <c r="AN32" s="1418" t="s">
        <v>17</v>
      </c>
      <c r="AO32" s="1418"/>
      <c r="AP32" s="53" t="s">
        <v>169</v>
      </c>
      <c r="AQ32" s="85">
        <f>SUMPRODUCT(F32:M32,$Q$37:$X$37)</f>
        <v>0</v>
      </c>
    </row>
    <row r="33" spans="2:43" s="1" customFormat="1" ht="15" customHeight="1">
      <c r="B33" s="1413"/>
      <c r="C33" s="1418"/>
      <c r="D33" s="1418"/>
      <c r="E33" s="53" t="s">
        <v>167</v>
      </c>
      <c r="F33" s="3">
        <f>単価表!AX23*基本情報!G7</f>
        <v>0</v>
      </c>
      <c r="G33" s="3">
        <f>単価表!AX25*基本情報!G7</f>
        <v>0</v>
      </c>
      <c r="H33" s="3">
        <f>単価表!AX27*基本情報!G7</f>
        <v>0</v>
      </c>
      <c r="I33" s="3">
        <f>単価表!AX29*基本情報!G7</f>
        <v>0</v>
      </c>
      <c r="J33" s="3">
        <f>単価表!AY23*基本情報!G7</f>
        <v>0</v>
      </c>
      <c r="K33" s="3">
        <f>単価表!AY25*基本情報!G7</f>
        <v>0</v>
      </c>
      <c r="L33" s="3">
        <f>単価表!AY27*基本情報!G7</f>
        <v>0</v>
      </c>
      <c r="M33" s="3">
        <f>単価表!AY29*基本情報!G7</f>
        <v>0</v>
      </c>
      <c r="O33" s="1444"/>
      <c r="P33" s="631">
        <f>P7</f>
        <v>0</v>
      </c>
      <c r="Q33" s="3">
        <f>児童数!R36</f>
        <v>0</v>
      </c>
      <c r="R33" s="3">
        <f>児童数!S36</f>
        <v>0</v>
      </c>
      <c r="S33" s="3">
        <f>児童数!T36</f>
        <v>0</v>
      </c>
      <c r="T33" s="3">
        <f>児童数!U36</f>
        <v>0</v>
      </c>
      <c r="U33" s="3">
        <f>児童数!W36</f>
        <v>0</v>
      </c>
      <c r="V33" s="3">
        <f>児童数!X36</f>
        <v>0</v>
      </c>
      <c r="W33" s="3">
        <f>児童数!Y36</f>
        <v>0</v>
      </c>
      <c r="X33" s="3">
        <f>児童数!Z36</f>
        <v>0</v>
      </c>
      <c r="Y33" s="64">
        <f t="shared" ref="Y33:Y36" si="38">SUM(Q33:X33)</f>
        <v>0</v>
      </c>
      <c r="Z33" s="2"/>
      <c r="AA33" s="62"/>
      <c r="AB33" s="57"/>
      <c r="AM33" s="1413"/>
      <c r="AN33" s="1418"/>
      <c r="AO33" s="1418"/>
      <c r="AP33" s="53" t="s">
        <v>167</v>
      </c>
      <c r="AQ33" s="85">
        <f t="shared" ref="AQ33:AQ53" si="39">SUMPRODUCT(F33:M33,$Q$37:$X$37)</f>
        <v>0</v>
      </c>
    </row>
    <row r="34" spans="2:43" ht="16.5">
      <c r="B34" s="1413"/>
      <c r="C34" s="1419" t="s">
        <v>203</v>
      </c>
      <c r="D34" s="1422" t="s">
        <v>37</v>
      </c>
      <c r="E34" s="53" t="s">
        <v>169</v>
      </c>
      <c r="F34" s="6"/>
      <c r="G34" s="3">
        <f>IF(基本情報!E5="",0,G8)</f>
        <v>0</v>
      </c>
      <c r="H34" s="6"/>
      <c r="I34" s="6"/>
      <c r="J34" s="6"/>
      <c r="K34" s="3">
        <f>IF(基本情報!E5="",0,K8)</f>
        <v>0</v>
      </c>
      <c r="L34" s="6"/>
      <c r="M34" s="6"/>
      <c r="N34" s="1"/>
      <c r="O34" s="1444"/>
      <c r="P34" s="632">
        <f>P8</f>
        <v>0</v>
      </c>
      <c r="Q34" s="3">
        <f>児童数!R50</f>
        <v>0</v>
      </c>
      <c r="R34" s="3">
        <f>児童数!S50</f>
        <v>0</v>
      </c>
      <c r="S34" s="3">
        <f>児童数!T50</f>
        <v>0</v>
      </c>
      <c r="T34" s="3">
        <f>児童数!U50</f>
        <v>0</v>
      </c>
      <c r="U34" s="3">
        <f>児童数!W50</f>
        <v>0</v>
      </c>
      <c r="V34" s="3">
        <f>児童数!X50</f>
        <v>0</v>
      </c>
      <c r="W34" s="3">
        <f>児童数!Y50</f>
        <v>0</v>
      </c>
      <c r="X34" s="3">
        <f>児童数!Z50</f>
        <v>0</v>
      </c>
      <c r="Y34" s="64">
        <f t="shared" si="38"/>
        <v>0</v>
      </c>
      <c r="AA34" s="62"/>
      <c r="AB34" s="62"/>
      <c r="AE34" s="1"/>
      <c r="AM34" s="1413"/>
      <c r="AN34" s="1419" t="s">
        <v>203</v>
      </c>
      <c r="AO34" s="1422" t="s">
        <v>37</v>
      </c>
      <c r="AP34" s="732" t="s">
        <v>559</v>
      </c>
      <c r="AQ34" s="85">
        <f t="shared" si="39"/>
        <v>0</v>
      </c>
    </row>
    <row r="35" spans="2:43">
      <c r="B35" s="1413"/>
      <c r="C35" s="1420"/>
      <c r="D35" s="1422"/>
      <c r="E35" s="53" t="s">
        <v>167</v>
      </c>
      <c r="F35" s="6"/>
      <c r="G35" s="3">
        <f>IF(基本情報!E5="",0,G9)</f>
        <v>0</v>
      </c>
      <c r="H35" s="6"/>
      <c r="I35" s="6"/>
      <c r="J35" s="6"/>
      <c r="K35" s="3">
        <f>IF(基本情報!E5="",0,K9)</f>
        <v>0</v>
      </c>
      <c r="L35" s="6"/>
      <c r="M35" s="6"/>
      <c r="O35" s="1444"/>
      <c r="P35" s="633">
        <f>P9</f>
        <v>0</v>
      </c>
      <c r="Q35" s="3">
        <f>児童数!R64</f>
        <v>0</v>
      </c>
      <c r="R35" s="3">
        <f>児童数!S64</f>
        <v>0</v>
      </c>
      <c r="S35" s="3">
        <f>児童数!T64</f>
        <v>0</v>
      </c>
      <c r="T35" s="3">
        <f>児童数!U64</f>
        <v>0</v>
      </c>
      <c r="U35" s="3">
        <f>児童数!W64</f>
        <v>0</v>
      </c>
      <c r="V35" s="3">
        <f>児童数!X64</f>
        <v>0</v>
      </c>
      <c r="W35" s="3">
        <f>児童数!Y64</f>
        <v>0</v>
      </c>
      <c r="X35" s="3">
        <f>児童数!Z64</f>
        <v>0</v>
      </c>
      <c r="Y35" s="64">
        <f t="shared" si="38"/>
        <v>0</v>
      </c>
      <c r="AA35" s="62"/>
      <c r="AB35" s="62"/>
      <c r="AM35" s="1413"/>
      <c r="AN35" s="1420"/>
      <c r="AO35" s="1422"/>
      <c r="AP35" s="53" t="s">
        <v>167</v>
      </c>
      <c r="AQ35" s="85">
        <f t="shared" si="39"/>
        <v>0</v>
      </c>
    </row>
    <row r="36" spans="2:43">
      <c r="B36" s="1413"/>
      <c r="C36" s="1420"/>
      <c r="D36" s="383" t="s">
        <v>69</v>
      </c>
      <c r="E36" s="629"/>
      <c r="F36" s="3">
        <f>IF(基本情報!E5="",0,F10)</f>
        <v>0</v>
      </c>
      <c r="G36" s="3">
        <f t="shared" ref="G36:G42" si="40">F36</f>
        <v>0</v>
      </c>
      <c r="H36" s="3">
        <f t="shared" ref="H36:H42" si="41">F36</f>
        <v>0</v>
      </c>
      <c r="I36" s="3">
        <f t="shared" ref="I36:I42" si="42">F36</f>
        <v>0</v>
      </c>
      <c r="J36" s="3">
        <f t="shared" ref="J36:J42" si="43">F36</f>
        <v>0</v>
      </c>
      <c r="K36" s="3">
        <f t="shared" ref="K36:K42" si="44">F36</f>
        <v>0</v>
      </c>
      <c r="L36" s="3">
        <f t="shared" ref="L36:L42" si="45">F36</f>
        <v>0</v>
      </c>
      <c r="M36" s="3">
        <f t="shared" ref="M36:M42" si="46">F36</f>
        <v>0</v>
      </c>
      <c r="O36" s="1444"/>
      <c r="P36" s="634">
        <f>P10</f>
        <v>0</v>
      </c>
      <c r="Q36" s="3">
        <f>児童数!R78</f>
        <v>0</v>
      </c>
      <c r="R36" s="3">
        <f>児童数!S78</f>
        <v>0</v>
      </c>
      <c r="S36" s="3">
        <f>児童数!T78</f>
        <v>0</v>
      </c>
      <c r="T36" s="3">
        <f>児童数!U78</f>
        <v>0</v>
      </c>
      <c r="U36" s="3">
        <f>児童数!W78</f>
        <v>0</v>
      </c>
      <c r="V36" s="3">
        <f>児童数!X78</f>
        <v>0</v>
      </c>
      <c r="W36" s="3">
        <f>児童数!Y78</f>
        <v>0</v>
      </c>
      <c r="X36" s="3">
        <f>児童数!Z78</f>
        <v>0</v>
      </c>
      <c r="Y36" s="64">
        <f t="shared" si="38"/>
        <v>0</v>
      </c>
      <c r="AA36" s="62"/>
      <c r="AB36" s="62"/>
      <c r="AM36" s="1413"/>
      <c r="AN36" s="1420"/>
      <c r="AO36" s="383" t="s">
        <v>69</v>
      </c>
      <c r="AP36" s="629"/>
      <c r="AQ36" s="85">
        <f t="shared" si="39"/>
        <v>0</v>
      </c>
    </row>
    <row r="37" spans="2:43">
      <c r="B37" s="1413"/>
      <c r="C37" s="1420"/>
      <c r="D37" s="1422" t="s">
        <v>161</v>
      </c>
      <c r="E37" s="53" t="s">
        <v>169</v>
      </c>
      <c r="F37" s="3">
        <f>IF(基本情報!E5="",0,F11)</f>
        <v>0</v>
      </c>
      <c r="G37" s="3">
        <f t="shared" si="40"/>
        <v>0</v>
      </c>
      <c r="H37" s="3">
        <f>IF(基本情報!E5="",0,H11)</f>
        <v>0</v>
      </c>
      <c r="I37" s="3">
        <f>H37</f>
        <v>0</v>
      </c>
      <c r="J37" s="3">
        <f t="shared" si="43"/>
        <v>0</v>
      </c>
      <c r="K37" s="3">
        <f t="shared" si="44"/>
        <v>0</v>
      </c>
      <c r="L37" s="3">
        <f>H37</f>
        <v>0</v>
      </c>
      <c r="M37" s="3">
        <f>I37</f>
        <v>0</v>
      </c>
      <c r="O37" s="1445"/>
      <c r="P37" s="635" t="s">
        <v>175</v>
      </c>
      <c r="Q37" s="3">
        <f>SUM(Q32:Q36)</f>
        <v>0</v>
      </c>
      <c r="R37" s="3">
        <f t="shared" ref="R37" si="47">SUM(R32:R36)</f>
        <v>0</v>
      </c>
      <c r="S37" s="3">
        <f t="shared" ref="S37" si="48">SUM(S32:S36)</f>
        <v>0</v>
      </c>
      <c r="T37" s="3">
        <f t="shared" ref="T37" si="49">SUM(T32:T36)</f>
        <v>0</v>
      </c>
      <c r="U37" s="3">
        <f t="shared" ref="U37" si="50">SUM(U32:U36)</f>
        <v>0</v>
      </c>
      <c r="V37" s="3">
        <f t="shared" ref="V37" si="51">SUM(V32:V36)</f>
        <v>0</v>
      </c>
      <c r="W37" s="3">
        <f t="shared" ref="W37" si="52">SUM(W32:W36)</f>
        <v>0</v>
      </c>
      <c r="X37" s="3">
        <f t="shared" ref="X37" si="53">SUM(X32:X36)</f>
        <v>0</v>
      </c>
      <c r="Y37" s="3">
        <f t="shared" ref="Y37" si="54">SUM(Y32:Y36)</f>
        <v>0</v>
      </c>
      <c r="Z37" s="55" t="s">
        <v>176</v>
      </c>
      <c r="AA37" s="71" t="str">
        <f>IF(SUM(Q37:X37)=I2,"OK",SUM(Q37:X37)-G27)</f>
        <v>OK</v>
      </c>
      <c r="AM37" s="1413"/>
      <c r="AN37" s="1420"/>
      <c r="AO37" s="1422" t="s">
        <v>161</v>
      </c>
      <c r="AP37" s="53" t="s">
        <v>169</v>
      </c>
      <c r="AQ37" s="85">
        <f t="shared" si="39"/>
        <v>0</v>
      </c>
    </row>
    <row r="38" spans="2:43">
      <c r="B38" s="1413"/>
      <c r="C38" s="1420"/>
      <c r="D38" s="1422"/>
      <c r="E38" s="53" t="s">
        <v>167</v>
      </c>
      <c r="F38" s="3">
        <f>IF(基本情報!E5="",0,F12)</f>
        <v>0</v>
      </c>
      <c r="G38" s="3">
        <f t="shared" si="40"/>
        <v>0</v>
      </c>
      <c r="H38" s="3">
        <f t="shared" si="41"/>
        <v>0</v>
      </c>
      <c r="I38" s="3">
        <f t="shared" si="42"/>
        <v>0</v>
      </c>
      <c r="J38" s="3">
        <f t="shared" si="43"/>
        <v>0</v>
      </c>
      <c r="K38" s="3">
        <f t="shared" si="44"/>
        <v>0</v>
      </c>
      <c r="L38" s="3">
        <f t="shared" si="45"/>
        <v>0</v>
      </c>
      <c r="M38" s="3">
        <f t="shared" si="46"/>
        <v>0</v>
      </c>
      <c r="O38" s="58"/>
      <c r="P38" s="58"/>
      <c r="Q38" s="10"/>
      <c r="R38" s="10"/>
      <c r="S38" s="10"/>
      <c r="T38" s="10"/>
      <c r="U38" s="10"/>
      <c r="V38" s="10"/>
      <c r="W38" s="10"/>
      <c r="X38" s="10"/>
      <c r="Y38" s="11"/>
      <c r="Z38" s="11"/>
      <c r="AM38" s="1413"/>
      <c r="AN38" s="1420"/>
      <c r="AO38" s="1422"/>
      <c r="AP38" s="53" t="s">
        <v>167</v>
      </c>
      <c r="AQ38" s="85">
        <f t="shared" si="39"/>
        <v>0</v>
      </c>
    </row>
    <row r="39" spans="2:43" ht="16.5">
      <c r="B39" s="1413"/>
      <c r="C39" s="1420"/>
      <c r="D39" s="366" t="s">
        <v>162</v>
      </c>
      <c r="E39" s="59"/>
      <c r="F39" s="3">
        <f>IF(基本情報!E5="",0,F13)</f>
        <v>0</v>
      </c>
      <c r="G39" s="3">
        <f t="shared" si="40"/>
        <v>0</v>
      </c>
      <c r="H39" s="3">
        <f t="shared" si="41"/>
        <v>0</v>
      </c>
      <c r="I39" s="3">
        <f t="shared" si="42"/>
        <v>0</v>
      </c>
      <c r="J39" s="3">
        <f t="shared" si="43"/>
        <v>0</v>
      </c>
      <c r="K39" s="3">
        <f t="shared" si="44"/>
        <v>0</v>
      </c>
      <c r="L39" s="3">
        <f t="shared" si="45"/>
        <v>0</v>
      </c>
      <c r="M39" s="3">
        <f t="shared" si="46"/>
        <v>0</v>
      </c>
      <c r="O39" s="1443" t="s">
        <v>189</v>
      </c>
      <c r="P39" s="1446" t="s">
        <v>171</v>
      </c>
      <c r="Q39" s="1440" t="s">
        <v>15</v>
      </c>
      <c r="R39" s="1440"/>
      <c r="S39" s="1440"/>
      <c r="T39" s="1440"/>
      <c r="U39" s="1440" t="s">
        <v>16</v>
      </c>
      <c r="V39" s="1440"/>
      <c r="W39" s="1440"/>
      <c r="X39" s="1440"/>
      <c r="Y39" s="1441" t="s">
        <v>177</v>
      </c>
      <c r="AM39" s="1413"/>
      <c r="AN39" s="1420"/>
      <c r="AO39" s="698" t="s">
        <v>162</v>
      </c>
      <c r="AP39" s="731" t="s">
        <v>353</v>
      </c>
      <c r="AQ39" s="85">
        <f t="shared" si="39"/>
        <v>0</v>
      </c>
    </row>
    <row r="40" spans="2:43" ht="16.5">
      <c r="B40" s="1413"/>
      <c r="C40" s="1420"/>
      <c r="D40" s="366" t="s">
        <v>54</v>
      </c>
      <c r="E40" s="59"/>
      <c r="F40" s="3">
        <f>IF(基本情報!E5="",0,F14)</f>
        <v>0</v>
      </c>
      <c r="G40" s="3">
        <f t="shared" si="40"/>
        <v>0</v>
      </c>
      <c r="H40" s="3">
        <f t="shared" si="41"/>
        <v>0</v>
      </c>
      <c r="I40" s="3">
        <f t="shared" si="42"/>
        <v>0</v>
      </c>
      <c r="J40" s="3">
        <f t="shared" si="43"/>
        <v>0</v>
      </c>
      <c r="K40" s="3">
        <f t="shared" si="44"/>
        <v>0</v>
      </c>
      <c r="L40" s="3">
        <f t="shared" si="45"/>
        <v>0</v>
      </c>
      <c r="M40" s="3">
        <f t="shared" si="46"/>
        <v>0</v>
      </c>
      <c r="O40" s="1444"/>
      <c r="P40" s="1446"/>
      <c r="Q40" s="368" t="s">
        <v>6</v>
      </c>
      <c r="R40" s="368" t="s">
        <v>7</v>
      </c>
      <c r="S40" s="368" t="s">
        <v>8</v>
      </c>
      <c r="T40" s="368" t="s">
        <v>9</v>
      </c>
      <c r="U40" s="368" t="s">
        <v>6</v>
      </c>
      <c r="V40" s="368" t="s">
        <v>7</v>
      </c>
      <c r="W40" s="368" t="s">
        <v>8</v>
      </c>
      <c r="X40" s="368" t="s">
        <v>9</v>
      </c>
      <c r="Y40" s="1442"/>
      <c r="AM40" s="1413"/>
      <c r="AN40" s="1420"/>
      <c r="AO40" s="698" t="s">
        <v>54</v>
      </c>
      <c r="AP40" s="731" t="s">
        <v>353</v>
      </c>
      <c r="AQ40" s="85">
        <f t="shared" si="39"/>
        <v>0</v>
      </c>
    </row>
    <row r="41" spans="2:43" ht="16.5">
      <c r="B41" s="1413"/>
      <c r="C41" s="1420"/>
      <c r="D41" s="1422" t="s">
        <v>38</v>
      </c>
      <c r="E41" s="53" t="s">
        <v>169</v>
      </c>
      <c r="F41" s="3">
        <f>IF(基本情報!E5="",0,F15)</f>
        <v>0</v>
      </c>
      <c r="G41" s="3">
        <f t="shared" si="40"/>
        <v>0</v>
      </c>
      <c r="H41" s="3">
        <f t="shared" si="41"/>
        <v>0</v>
      </c>
      <c r="I41" s="3">
        <f t="shared" si="42"/>
        <v>0</v>
      </c>
      <c r="J41" s="3">
        <f t="shared" si="43"/>
        <v>0</v>
      </c>
      <c r="K41" s="3">
        <f t="shared" si="44"/>
        <v>0</v>
      </c>
      <c r="L41" s="3">
        <f t="shared" si="45"/>
        <v>0</v>
      </c>
      <c r="M41" s="3">
        <f t="shared" si="46"/>
        <v>0</v>
      </c>
      <c r="O41" s="1444"/>
      <c r="P41" s="630">
        <f>P32</f>
        <v>0</v>
      </c>
      <c r="Q41" s="3">
        <f t="shared" ref="Q41:X41" si="55">F54*Q32</f>
        <v>0</v>
      </c>
      <c r="R41" s="3">
        <f t="shared" si="55"/>
        <v>0</v>
      </c>
      <c r="S41" s="3">
        <f t="shared" si="55"/>
        <v>0</v>
      </c>
      <c r="T41" s="3">
        <f t="shared" si="55"/>
        <v>0</v>
      </c>
      <c r="U41" s="3">
        <f t="shared" si="55"/>
        <v>0</v>
      </c>
      <c r="V41" s="3">
        <f t="shared" si="55"/>
        <v>0</v>
      </c>
      <c r="W41" s="3">
        <f t="shared" si="55"/>
        <v>0</v>
      </c>
      <c r="X41" s="3">
        <f t="shared" si="55"/>
        <v>0</v>
      </c>
      <c r="Y41" s="3">
        <f>SUM(Q41:X41)</f>
        <v>0</v>
      </c>
      <c r="AM41" s="1413"/>
      <c r="AN41" s="1420"/>
      <c r="AO41" s="1422" t="s">
        <v>38</v>
      </c>
      <c r="AP41" s="732" t="s">
        <v>559</v>
      </c>
      <c r="AQ41" s="85">
        <f t="shared" si="39"/>
        <v>0</v>
      </c>
    </row>
    <row r="42" spans="2:43">
      <c r="B42" s="1413"/>
      <c r="C42" s="1421"/>
      <c r="D42" s="1422"/>
      <c r="E42" s="53" t="s">
        <v>167</v>
      </c>
      <c r="F42" s="3">
        <f>IF(基本情報!E5="",0,F16)</f>
        <v>0</v>
      </c>
      <c r="G42" s="3">
        <f t="shared" si="40"/>
        <v>0</v>
      </c>
      <c r="H42" s="3">
        <f t="shared" si="41"/>
        <v>0</v>
      </c>
      <c r="I42" s="3">
        <f t="shared" si="42"/>
        <v>0</v>
      </c>
      <c r="J42" s="3">
        <f t="shared" si="43"/>
        <v>0</v>
      </c>
      <c r="K42" s="3">
        <f t="shared" si="44"/>
        <v>0</v>
      </c>
      <c r="L42" s="3">
        <f t="shared" si="45"/>
        <v>0</v>
      </c>
      <c r="M42" s="3">
        <f t="shared" si="46"/>
        <v>0</v>
      </c>
      <c r="O42" s="1444"/>
      <c r="P42" s="631">
        <f>P33</f>
        <v>0</v>
      </c>
      <c r="Q42" s="3">
        <f t="shared" ref="Q42:X42" si="56">F54*Q33</f>
        <v>0</v>
      </c>
      <c r="R42" s="3">
        <f t="shared" si="56"/>
        <v>0</v>
      </c>
      <c r="S42" s="3">
        <f t="shared" si="56"/>
        <v>0</v>
      </c>
      <c r="T42" s="3">
        <f t="shared" si="56"/>
        <v>0</v>
      </c>
      <c r="U42" s="3">
        <f t="shared" si="56"/>
        <v>0</v>
      </c>
      <c r="V42" s="3">
        <f t="shared" si="56"/>
        <v>0</v>
      </c>
      <c r="W42" s="3">
        <f t="shared" si="56"/>
        <v>0</v>
      </c>
      <c r="X42" s="3">
        <f t="shared" si="56"/>
        <v>0</v>
      </c>
      <c r="Y42" s="3">
        <f t="shared" ref="Y42:Y45" si="57">SUM(Q42:X42)</f>
        <v>0</v>
      </c>
      <c r="AM42" s="1413"/>
      <c r="AN42" s="1421"/>
      <c r="AO42" s="1422"/>
      <c r="AP42" s="53" t="s">
        <v>167</v>
      </c>
      <c r="AQ42" s="85">
        <f t="shared" si="39"/>
        <v>0</v>
      </c>
    </row>
    <row r="43" spans="2:43">
      <c r="B43" s="1413"/>
      <c r="C43" s="1423" t="s">
        <v>205</v>
      </c>
      <c r="D43" s="371" t="s">
        <v>164</v>
      </c>
      <c r="E43" s="60"/>
      <c r="F43" s="3">
        <f>-ROUNDDOWN((F32+F33)*$P$2%,-1)</f>
        <v>0</v>
      </c>
      <c r="G43" s="3">
        <f t="shared" ref="G43:M43" si="58">-ROUNDDOWN((G32+G33)*$P$2%,-1)</f>
        <v>0</v>
      </c>
      <c r="H43" s="3">
        <f t="shared" si="58"/>
        <v>0</v>
      </c>
      <c r="I43" s="3">
        <f t="shared" si="58"/>
        <v>0</v>
      </c>
      <c r="J43" s="3">
        <f t="shared" si="58"/>
        <v>0</v>
      </c>
      <c r="K43" s="3">
        <f t="shared" si="58"/>
        <v>0</v>
      </c>
      <c r="L43" s="3">
        <f t="shared" si="58"/>
        <v>0</v>
      </c>
      <c r="M43" s="3">
        <f t="shared" si="58"/>
        <v>0</v>
      </c>
      <c r="O43" s="1444"/>
      <c r="P43" s="632">
        <f>P34</f>
        <v>0</v>
      </c>
      <c r="Q43" s="3">
        <f t="shared" ref="Q43:X43" si="59">F54*Q34</f>
        <v>0</v>
      </c>
      <c r="R43" s="3">
        <f t="shared" si="59"/>
        <v>0</v>
      </c>
      <c r="S43" s="3">
        <f t="shared" si="59"/>
        <v>0</v>
      </c>
      <c r="T43" s="3">
        <f t="shared" si="59"/>
        <v>0</v>
      </c>
      <c r="U43" s="3">
        <f t="shared" si="59"/>
        <v>0</v>
      </c>
      <c r="V43" s="3">
        <f t="shared" si="59"/>
        <v>0</v>
      </c>
      <c r="W43" s="3">
        <f t="shared" si="59"/>
        <v>0</v>
      </c>
      <c r="X43" s="3">
        <f t="shared" si="59"/>
        <v>0</v>
      </c>
      <c r="Y43" s="3">
        <f t="shared" si="57"/>
        <v>0</v>
      </c>
      <c r="AM43" s="1413"/>
      <c r="AN43" s="1423" t="s">
        <v>205</v>
      </c>
      <c r="AO43" s="699" t="s">
        <v>164</v>
      </c>
      <c r="AP43" s="60"/>
      <c r="AQ43" s="85">
        <f t="shared" si="39"/>
        <v>0</v>
      </c>
    </row>
    <row r="44" spans="2:43">
      <c r="B44" s="1413"/>
      <c r="C44" s="1423"/>
      <c r="D44" s="1424" t="s">
        <v>43</v>
      </c>
      <c r="E44" s="53" t="s">
        <v>169</v>
      </c>
      <c r="F44" s="74">
        <f>-IF(加算と減算!E32="○",単価表!AZ23,0)</f>
        <v>0</v>
      </c>
      <c r="G44" s="74">
        <f>F44</f>
        <v>0</v>
      </c>
      <c r="H44" s="74">
        <f>F44</f>
        <v>0</v>
      </c>
      <c r="I44" s="74">
        <f>F44</f>
        <v>0</v>
      </c>
      <c r="J44" s="74">
        <f>F44</f>
        <v>0</v>
      </c>
      <c r="K44" s="74">
        <f>F44</f>
        <v>0</v>
      </c>
      <c r="L44" s="74">
        <f>F44</f>
        <v>0</v>
      </c>
      <c r="M44" s="74">
        <f>F44</f>
        <v>0</v>
      </c>
      <c r="O44" s="1444"/>
      <c r="P44" s="633">
        <f>P35</f>
        <v>0</v>
      </c>
      <c r="Q44" s="3">
        <f t="shared" ref="Q44:X44" si="60">F54*Q35</f>
        <v>0</v>
      </c>
      <c r="R44" s="3">
        <f t="shared" si="60"/>
        <v>0</v>
      </c>
      <c r="S44" s="3">
        <f t="shared" si="60"/>
        <v>0</v>
      </c>
      <c r="T44" s="3">
        <f t="shared" si="60"/>
        <v>0</v>
      </c>
      <c r="U44" s="3">
        <f t="shared" si="60"/>
        <v>0</v>
      </c>
      <c r="V44" s="3">
        <f t="shared" si="60"/>
        <v>0</v>
      </c>
      <c r="W44" s="3">
        <f t="shared" si="60"/>
        <v>0</v>
      </c>
      <c r="X44" s="3">
        <f t="shared" si="60"/>
        <v>0</v>
      </c>
      <c r="Y44" s="3">
        <f t="shared" si="57"/>
        <v>0</v>
      </c>
      <c r="AM44" s="1413"/>
      <c r="AN44" s="1423"/>
      <c r="AO44" s="1424" t="s">
        <v>43</v>
      </c>
      <c r="AP44" s="53" t="s">
        <v>169</v>
      </c>
      <c r="AQ44" s="85">
        <f t="shared" si="39"/>
        <v>0</v>
      </c>
    </row>
    <row r="45" spans="2:43">
      <c r="B45" s="1413"/>
      <c r="C45" s="1423"/>
      <c r="D45" s="1424"/>
      <c r="E45" s="53" t="s">
        <v>167</v>
      </c>
      <c r="F45" s="74">
        <f>-IF(加算と減算!E32="○",単価表!BA23*基本情報!G7,0)</f>
        <v>0</v>
      </c>
      <c r="G45" s="74">
        <f>F45</f>
        <v>0</v>
      </c>
      <c r="H45" s="74">
        <f>F45</f>
        <v>0</v>
      </c>
      <c r="I45" s="74">
        <f>F45</f>
        <v>0</v>
      </c>
      <c r="J45" s="74">
        <f>F45</f>
        <v>0</v>
      </c>
      <c r="K45" s="74">
        <f>F45</f>
        <v>0</v>
      </c>
      <c r="L45" s="74">
        <f>F45</f>
        <v>0</v>
      </c>
      <c r="M45" s="74">
        <f>F45</f>
        <v>0</v>
      </c>
      <c r="O45" s="1444"/>
      <c r="P45" s="634">
        <f>P36</f>
        <v>0</v>
      </c>
      <c r="Q45" s="3">
        <f t="shared" ref="Q45:X45" si="61">F54*Q36</f>
        <v>0</v>
      </c>
      <c r="R45" s="3">
        <f t="shared" si="61"/>
        <v>0</v>
      </c>
      <c r="S45" s="3">
        <f t="shared" si="61"/>
        <v>0</v>
      </c>
      <c r="T45" s="3">
        <f t="shared" si="61"/>
        <v>0</v>
      </c>
      <c r="U45" s="3">
        <f t="shared" si="61"/>
        <v>0</v>
      </c>
      <c r="V45" s="3">
        <f t="shared" si="61"/>
        <v>0</v>
      </c>
      <c r="W45" s="3">
        <f t="shared" si="61"/>
        <v>0</v>
      </c>
      <c r="X45" s="3">
        <f t="shared" si="61"/>
        <v>0</v>
      </c>
      <c r="Y45" s="3">
        <f t="shared" si="57"/>
        <v>0</v>
      </c>
      <c r="AM45" s="1413"/>
      <c r="AN45" s="1423"/>
      <c r="AO45" s="1424"/>
      <c r="AP45" s="53" t="s">
        <v>167</v>
      </c>
      <c r="AQ45" s="85">
        <f t="shared" si="39"/>
        <v>0</v>
      </c>
    </row>
    <row r="46" spans="2:43">
      <c r="B46" s="1413"/>
      <c r="C46" s="1423"/>
      <c r="D46" s="371" t="s">
        <v>165</v>
      </c>
      <c r="E46" s="60"/>
      <c r="F46" s="74">
        <f t="shared" ref="F46:M46" si="62">-ROUNDDOWN((F32+F33+F37+F38+F34+F35)*$T$2/100,-1)</f>
        <v>0</v>
      </c>
      <c r="G46" s="74">
        <f t="shared" si="62"/>
        <v>0</v>
      </c>
      <c r="H46" s="74">
        <f t="shared" si="62"/>
        <v>0</v>
      </c>
      <c r="I46" s="74">
        <f t="shared" si="62"/>
        <v>0</v>
      </c>
      <c r="J46" s="74">
        <f t="shared" si="62"/>
        <v>0</v>
      </c>
      <c r="K46" s="74">
        <f t="shared" si="62"/>
        <v>0</v>
      </c>
      <c r="L46" s="74">
        <f t="shared" si="62"/>
        <v>0</v>
      </c>
      <c r="M46" s="74">
        <f t="shared" si="62"/>
        <v>0</v>
      </c>
      <c r="O46" s="1445"/>
      <c r="P46" s="635" t="s">
        <v>175</v>
      </c>
      <c r="Q46" s="3">
        <f>SUM(Q41:Q45)</f>
        <v>0</v>
      </c>
      <c r="R46" s="3">
        <f t="shared" ref="R46" si="63">SUM(R41:R45)</f>
        <v>0</v>
      </c>
      <c r="S46" s="3">
        <f t="shared" ref="S46" si="64">SUM(S41:S45)</f>
        <v>0</v>
      </c>
      <c r="T46" s="3">
        <f t="shared" ref="T46" si="65">SUM(T41:T45)</f>
        <v>0</v>
      </c>
      <c r="U46" s="3">
        <f t="shared" ref="U46" si="66">SUM(U41:U45)</f>
        <v>0</v>
      </c>
      <c r="V46" s="3">
        <f t="shared" ref="V46" si="67">SUM(V41:V45)</f>
        <v>0</v>
      </c>
      <c r="W46" s="3">
        <f t="shared" ref="W46" si="68">SUM(W41:W45)</f>
        <v>0</v>
      </c>
      <c r="X46" s="3">
        <f t="shared" ref="X46" si="69">SUM(X41:X45)</f>
        <v>0</v>
      </c>
      <c r="Y46" s="3">
        <f t="shared" ref="Y46" si="70">SUM(Y41:Y45)</f>
        <v>0</v>
      </c>
      <c r="AM46" s="1413"/>
      <c r="AN46" s="1423"/>
      <c r="AO46" s="699" t="s">
        <v>165</v>
      </c>
      <c r="AP46" s="60"/>
      <c r="AQ46" s="85">
        <f t="shared" si="39"/>
        <v>0</v>
      </c>
    </row>
    <row r="47" spans="2:43" ht="15" customHeight="1">
      <c r="B47" s="1413"/>
      <c r="C47" s="1423"/>
      <c r="D47" s="371" t="s">
        <v>166</v>
      </c>
      <c r="E47" s="60"/>
      <c r="F47" s="74">
        <f>-ROUNDUP(SUM(F32:F46)*$W$2/100,-1)</f>
        <v>0</v>
      </c>
      <c r="G47" s="74">
        <f>-ROUNDUP(SUM(G32:G46)*$W$2/100,-1)</f>
        <v>0</v>
      </c>
      <c r="H47" s="74">
        <f t="shared" ref="H47:M47" si="71">-ROUNDUP(SUM(H32:H46)*$W$2/100,-1)</f>
        <v>0</v>
      </c>
      <c r="I47" s="74">
        <f t="shared" si="71"/>
        <v>0</v>
      </c>
      <c r="J47" s="74">
        <f t="shared" si="71"/>
        <v>0</v>
      </c>
      <c r="K47" s="74">
        <f t="shared" si="71"/>
        <v>0</v>
      </c>
      <c r="L47" s="74">
        <f t="shared" si="71"/>
        <v>0</v>
      </c>
      <c r="M47" s="74">
        <f t="shared" si="71"/>
        <v>0</v>
      </c>
      <c r="O47" s="8"/>
      <c r="P47" s="58"/>
      <c r="Q47" s="7"/>
      <c r="R47" s="7"/>
      <c r="S47" s="7"/>
      <c r="T47" s="7"/>
      <c r="U47" s="7"/>
      <c r="V47" s="7"/>
      <c r="W47" s="7"/>
      <c r="X47" s="7"/>
      <c r="Y47" s="4"/>
      <c r="Z47" s="4"/>
      <c r="AM47" s="1413"/>
      <c r="AN47" s="1423"/>
      <c r="AO47" s="699" t="s">
        <v>166</v>
      </c>
      <c r="AP47" s="60"/>
      <c r="AQ47" s="85">
        <f t="shared" si="39"/>
        <v>0</v>
      </c>
    </row>
    <row r="48" spans="2:43" ht="15" customHeight="1">
      <c r="B48" s="1413"/>
      <c r="C48" s="1419" t="s">
        <v>204</v>
      </c>
      <c r="D48" s="366" t="s">
        <v>18</v>
      </c>
      <c r="E48" s="59"/>
      <c r="F48" s="3">
        <f>IF(基本情報!E5="",0,F21)</f>
        <v>0</v>
      </c>
      <c r="G48" s="3">
        <f t="shared" ref="G48:G53" si="72">F48</f>
        <v>0</v>
      </c>
      <c r="H48" s="3">
        <f t="shared" ref="H48:H53" si="73">F48</f>
        <v>0</v>
      </c>
      <c r="I48" s="3">
        <f t="shared" ref="I48:I53" si="74">F48</f>
        <v>0</v>
      </c>
      <c r="J48" s="3">
        <f t="shared" ref="J48:J53" si="75">F48</f>
        <v>0</v>
      </c>
      <c r="K48" s="3">
        <f t="shared" ref="K48:K53" si="76">F48</f>
        <v>0</v>
      </c>
      <c r="L48" s="3">
        <f t="shared" ref="L48:L53" si="77">F48</f>
        <v>0</v>
      </c>
      <c r="M48" s="3">
        <f t="shared" ref="M48:M53" si="78">F48</f>
        <v>0</v>
      </c>
      <c r="O48" s="1443" t="s">
        <v>180</v>
      </c>
      <c r="P48" s="367" t="s">
        <v>171</v>
      </c>
      <c r="Q48" s="368" t="s">
        <v>178</v>
      </c>
      <c r="R48" s="367" t="s">
        <v>179</v>
      </c>
      <c r="S48" s="4"/>
      <c r="T48" s="1443" t="s">
        <v>190</v>
      </c>
      <c r="U48" s="367" t="s">
        <v>171</v>
      </c>
      <c r="V48" s="40" t="s">
        <v>179</v>
      </c>
      <c r="X48" s="1431" t="s">
        <v>186</v>
      </c>
      <c r="Y48" s="1431"/>
      <c r="AM48" s="1413"/>
      <c r="AN48" s="1419" t="s">
        <v>204</v>
      </c>
      <c r="AO48" s="698" t="s">
        <v>18</v>
      </c>
      <c r="AP48" s="732" t="s">
        <v>559</v>
      </c>
      <c r="AQ48" s="85">
        <f t="shared" si="39"/>
        <v>0</v>
      </c>
    </row>
    <row r="49" spans="2:43" ht="16.5">
      <c r="B49" s="1413"/>
      <c r="C49" s="1420"/>
      <c r="D49" s="366" t="s">
        <v>62</v>
      </c>
      <c r="E49" s="59"/>
      <c r="F49" s="3">
        <f>IF(基本情報!E5="",0,F22)</f>
        <v>0</v>
      </c>
      <c r="G49" s="3">
        <f t="shared" si="72"/>
        <v>0</v>
      </c>
      <c r="H49" s="3">
        <f t="shared" si="73"/>
        <v>0</v>
      </c>
      <c r="I49" s="3">
        <f t="shared" si="74"/>
        <v>0</v>
      </c>
      <c r="J49" s="3">
        <f t="shared" si="75"/>
        <v>0</v>
      </c>
      <c r="K49" s="3">
        <f t="shared" si="76"/>
        <v>0</v>
      </c>
      <c r="L49" s="3">
        <f t="shared" si="77"/>
        <v>0</v>
      </c>
      <c r="M49" s="3">
        <f t="shared" si="78"/>
        <v>0</v>
      </c>
      <c r="O49" s="1447"/>
      <c r="P49" s="630">
        <f>P32</f>
        <v>0</v>
      </c>
      <c r="Q49" s="3">
        <f>児童数!AF22</f>
        <v>0</v>
      </c>
      <c r="R49" s="64">
        <f>4500*Q49</f>
        <v>0</v>
      </c>
      <c r="S49" s="4"/>
      <c r="T49" s="1444"/>
      <c r="U49" s="630">
        <f>P32</f>
        <v>0</v>
      </c>
      <c r="V49" s="65">
        <f>Y41+R49</f>
        <v>0</v>
      </c>
      <c r="X49" s="630">
        <f>P32</f>
        <v>0</v>
      </c>
      <c r="Y49" s="65" t="e">
        <f>V23+V49</f>
        <v>#VALUE!</v>
      </c>
      <c r="AM49" s="1413"/>
      <c r="AN49" s="1420"/>
      <c r="AO49" s="698" t="s">
        <v>62</v>
      </c>
      <c r="AP49" s="732" t="s">
        <v>559</v>
      </c>
      <c r="AQ49" s="85">
        <f t="shared" si="39"/>
        <v>0</v>
      </c>
    </row>
    <row r="50" spans="2:43" ht="16.5">
      <c r="B50" s="1413"/>
      <c r="C50" s="1420"/>
      <c r="D50" s="366" t="s">
        <v>19</v>
      </c>
      <c r="E50" s="59"/>
      <c r="F50" s="3">
        <f>IF(基本情報!E5="",0,F23)</f>
        <v>0</v>
      </c>
      <c r="G50" s="3">
        <f t="shared" si="72"/>
        <v>0</v>
      </c>
      <c r="H50" s="3">
        <f t="shared" si="73"/>
        <v>0</v>
      </c>
      <c r="I50" s="3">
        <f t="shared" si="74"/>
        <v>0</v>
      </c>
      <c r="J50" s="3">
        <f t="shared" si="75"/>
        <v>0</v>
      </c>
      <c r="K50" s="3">
        <f t="shared" si="76"/>
        <v>0</v>
      </c>
      <c r="L50" s="3">
        <f t="shared" si="77"/>
        <v>0</v>
      </c>
      <c r="M50" s="3">
        <f t="shared" si="78"/>
        <v>0</v>
      </c>
      <c r="O50" s="1447"/>
      <c r="P50" s="631">
        <f>P33</f>
        <v>0</v>
      </c>
      <c r="Q50" s="3">
        <f>児童数!AF36</f>
        <v>0</v>
      </c>
      <c r="R50" s="64">
        <f t="shared" ref="R50:R53" si="79">4500*Q50</f>
        <v>0</v>
      </c>
      <c r="S50" s="4"/>
      <c r="T50" s="1444"/>
      <c r="U50" s="631">
        <f>P33</f>
        <v>0</v>
      </c>
      <c r="V50" s="66">
        <f>Y42+R50</f>
        <v>0</v>
      </c>
      <c r="X50" s="631">
        <f>P33</f>
        <v>0</v>
      </c>
      <c r="Y50" s="66" t="e">
        <f>V24+V50</f>
        <v>#VALUE!</v>
      </c>
      <c r="AM50" s="1413"/>
      <c r="AN50" s="1420"/>
      <c r="AO50" s="698" t="s">
        <v>19</v>
      </c>
      <c r="AP50" s="732" t="s">
        <v>559</v>
      </c>
      <c r="AQ50" s="85">
        <f t="shared" si="39"/>
        <v>0</v>
      </c>
    </row>
    <row r="51" spans="2:43" ht="16.5">
      <c r="B51" s="1413"/>
      <c r="C51" s="1420"/>
      <c r="D51" s="366" t="s">
        <v>41</v>
      </c>
      <c r="E51" s="59"/>
      <c r="F51" s="3">
        <f>IF(基本情報!E5="",0,F24)</f>
        <v>0</v>
      </c>
      <c r="G51" s="3">
        <f t="shared" si="72"/>
        <v>0</v>
      </c>
      <c r="H51" s="3">
        <f t="shared" si="73"/>
        <v>0</v>
      </c>
      <c r="I51" s="3">
        <f t="shared" si="74"/>
        <v>0</v>
      </c>
      <c r="J51" s="3">
        <f t="shared" si="75"/>
        <v>0</v>
      </c>
      <c r="K51" s="3">
        <f t="shared" si="76"/>
        <v>0</v>
      </c>
      <c r="L51" s="3">
        <f t="shared" si="77"/>
        <v>0</v>
      </c>
      <c r="M51" s="3">
        <f t="shared" si="78"/>
        <v>0</v>
      </c>
      <c r="O51" s="1447"/>
      <c r="P51" s="632">
        <f>P34</f>
        <v>0</v>
      </c>
      <c r="Q51" s="3">
        <f>児童数!AF50</f>
        <v>0</v>
      </c>
      <c r="R51" s="64">
        <f t="shared" si="79"/>
        <v>0</v>
      </c>
      <c r="S51" s="4"/>
      <c r="T51" s="1444"/>
      <c r="U51" s="632">
        <f>P34</f>
        <v>0</v>
      </c>
      <c r="V51" s="67">
        <f>Y43+R51</f>
        <v>0</v>
      </c>
      <c r="X51" s="632">
        <f>P34</f>
        <v>0</v>
      </c>
      <c r="Y51" s="67" t="e">
        <f>V25+V51</f>
        <v>#VALUE!</v>
      </c>
      <c r="AM51" s="1413"/>
      <c r="AN51" s="1420"/>
      <c r="AO51" s="698" t="s">
        <v>41</v>
      </c>
      <c r="AP51" s="732" t="s">
        <v>559</v>
      </c>
      <c r="AQ51" s="85">
        <f t="shared" si="39"/>
        <v>0</v>
      </c>
    </row>
    <row r="52" spans="2:43" ht="16.5">
      <c r="B52" s="1413"/>
      <c r="C52" s="1420"/>
      <c r="D52" s="366" t="s">
        <v>42</v>
      </c>
      <c r="E52" s="59"/>
      <c r="F52" s="3">
        <f>IF(基本情報!E5="",0,F25)</f>
        <v>0</v>
      </c>
      <c r="G52" s="3">
        <f t="shared" si="72"/>
        <v>0</v>
      </c>
      <c r="H52" s="3">
        <f t="shared" si="73"/>
        <v>0</v>
      </c>
      <c r="I52" s="3">
        <f t="shared" si="74"/>
        <v>0</v>
      </c>
      <c r="J52" s="3">
        <f t="shared" si="75"/>
        <v>0</v>
      </c>
      <c r="K52" s="3">
        <f t="shared" si="76"/>
        <v>0</v>
      </c>
      <c r="L52" s="3">
        <f t="shared" si="77"/>
        <v>0</v>
      </c>
      <c r="M52" s="3">
        <f t="shared" si="78"/>
        <v>0</v>
      </c>
      <c r="O52" s="1447"/>
      <c r="P52" s="633">
        <f>P35</f>
        <v>0</v>
      </c>
      <c r="Q52" s="3">
        <f>児童数!AF64</f>
        <v>0</v>
      </c>
      <c r="R52" s="64">
        <f t="shared" si="79"/>
        <v>0</v>
      </c>
      <c r="S52" s="4"/>
      <c r="T52" s="1444"/>
      <c r="U52" s="633">
        <f>P35</f>
        <v>0</v>
      </c>
      <c r="V52" s="68">
        <f>Y44+R52</f>
        <v>0</v>
      </c>
      <c r="X52" s="633">
        <f>P35</f>
        <v>0</v>
      </c>
      <c r="Y52" s="68" t="e">
        <f>V26+V52</f>
        <v>#VALUE!</v>
      </c>
      <c r="AM52" s="1413"/>
      <c r="AN52" s="1420"/>
      <c r="AO52" s="698" t="s">
        <v>42</v>
      </c>
      <c r="AP52" s="731" t="s">
        <v>353</v>
      </c>
      <c r="AQ52" s="85">
        <f t="shared" si="39"/>
        <v>0</v>
      </c>
    </row>
    <row r="53" spans="2:43" ht="16.5">
      <c r="B53" s="1413"/>
      <c r="C53" s="1421"/>
      <c r="D53" s="366" t="s">
        <v>80</v>
      </c>
      <c r="E53" s="59"/>
      <c r="F53" s="3">
        <f>IF(基本情報!E5="",0,F26)</f>
        <v>0</v>
      </c>
      <c r="G53" s="3">
        <f t="shared" si="72"/>
        <v>0</v>
      </c>
      <c r="H53" s="3">
        <f t="shared" si="73"/>
        <v>0</v>
      </c>
      <c r="I53" s="3">
        <f t="shared" si="74"/>
        <v>0</v>
      </c>
      <c r="J53" s="3">
        <f t="shared" si="75"/>
        <v>0</v>
      </c>
      <c r="K53" s="3">
        <f t="shared" si="76"/>
        <v>0</v>
      </c>
      <c r="L53" s="3">
        <f t="shared" si="77"/>
        <v>0</v>
      </c>
      <c r="M53" s="3">
        <f t="shared" si="78"/>
        <v>0</v>
      </c>
      <c r="O53" s="1447"/>
      <c r="P53" s="634">
        <f>P36</f>
        <v>0</v>
      </c>
      <c r="Q53" s="3">
        <f>児童数!AF78</f>
        <v>0</v>
      </c>
      <c r="R53" s="64">
        <f t="shared" si="79"/>
        <v>0</v>
      </c>
      <c r="S53" s="4"/>
      <c r="T53" s="1444"/>
      <c r="U53" s="634">
        <f>P36</f>
        <v>0</v>
      </c>
      <c r="V53" s="69">
        <f>Y45+R53</f>
        <v>0</v>
      </c>
      <c r="X53" s="634">
        <f>P36</f>
        <v>0</v>
      </c>
      <c r="Y53" s="69" t="e">
        <f>V27+V53</f>
        <v>#VALUE!</v>
      </c>
      <c r="AM53" s="1413"/>
      <c r="AN53" s="1421"/>
      <c r="AO53" s="698" t="s">
        <v>80</v>
      </c>
      <c r="AP53" s="731" t="s">
        <v>353</v>
      </c>
      <c r="AQ53" s="85">
        <f t="shared" si="39"/>
        <v>0</v>
      </c>
    </row>
    <row r="54" spans="2:43" ht="17.25" thickBot="1">
      <c r="B54" s="1414"/>
      <c r="C54" s="1410" t="s">
        <v>44</v>
      </c>
      <c r="D54" s="1411"/>
      <c r="E54" s="53"/>
      <c r="F54" s="5">
        <f t="shared" ref="F54:M54" si="80">SUM(F32:F53)</f>
        <v>0</v>
      </c>
      <c r="G54" s="5">
        <f t="shared" si="80"/>
        <v>0</v>
      </c>
      <c r="H54" s="5">
        <f t="shared" si="80"/>
        <v>0</v>
      </c>
      <c r="I54" s="5">
        <f t="shared" si="80"/>
        <v>0</v>
      </c>
      <c r="J54" s="5">
        <f t="shared" si="80"/>
        <v>0</v>
      </c>
      <c r="K54" s="5">
        <f t="shared" si="80"/>
        <v>0</v>
      </c>
      <c r="L54" s="5">
        <f t="shared" si="80"/>
        <v>0</v>
      </c>
      <c r="M54" s="5">
        <f t="shared" si="80"/>
        <v>0</v>
      </c>
      <c r="O54" s="1448"/>
      <c r="P54" s="635" t="s">
        <v>36</v>
      </c>
      <c r="Q54" s="3">
        <f>SUM(Q49:Q53)</f>
        <v>0</v>
      </c>
      <c r="R54" s="3">
        <f>SUM(R49:R53)</f>
        <v>0</v>
      </c>
      <c r="S54" s="4"/>
      <c r="T54" s="1445"/>
      <c r="U54" s="635" t="s">
        <v>175</v>
      </c>
      <c r="V54" s="70">
        <f>SUM(V49:V53)</f>
        <v>0</v>
      </c>
      <c r="X54" s="635" t="s">
        <v>175</v>
      </c>
      <c r="Y54" s="70" t="e">
        <f>SUM(Y49:Y53)</f>
        <v>#VALUE!</v>
      </c>
      <c r="AM54" s="1414"/>
      <c r="AN54" s="1425" t="s">
        <v>562</v>
      </c>
      <c r="AO54" s="1425"/>
      <c r="AP54" s="733" t="s">
        <v>376</v>
      </c>
      <c r="AQ54" s="85">
        <f>R54</f>
        <v>0</v>
      </c>
    </row>
    <row r="55" spans="2:43" ht="15.75" thickBot="1">
      <c r="C55" s="57"/>
      <c r="D55" s="57"/>
      <c r="E55" s="58" t="s">
        <v>167</v>
      </c>
      <c r="F55" s="264">
        <f>F33+F35+F38+F42+F45</f>
        <v>0</v>
      </c>
      <c r="G55" s="264">
        <f t="shared" ref="G55:M55" si="81">G33+G35+G38+G42+G45</f>
        <v>0</v>
      </c>
      <c r="H55" s="264">
        <f t="shared" si="81"/>
        <v>0</v>
      </c>
      <c r="I55" s="264">
        <f t="shared" si="81"/>
        <v>0</v>
      </c>
      <c r="J55" s="264">
        <f t="shared" si="81"/>
        <v>0</v>
      </c>
      <c r="K55" s="264">
        <f t="shared" si="81"/>
        <v>0</v>
      </c>
      <c r="L55" s="264">
        <f t="shared" si="81"/>
        <v>0</v>
      </c>
      <c r="M55" s="264">
        <f t="shared" si="81"/>
        <v>0</v>
      </c>
      <c r="AG55" s="288">
        <f>ROUNDUP(SUMPRODUCT(F55:M55,Q37:X37)*90%,-1)</f>
        <v>0</v>
      </c>
      <c r="AN55" s="1410" t="s">
        <v>44</v>
      </c>
      <c r="AO55" s="1411"/>
      <c r="AP55" s="53"/>
      <c r="AQ55" s="85">
        <f>SUM(AQ32:AQ54)</f>
        <v>0</v>
      </c>
    </row>
    <row r="56" spans="2:43">
      <c r="E56" s="1020" t="s">
        <v>703</v>
      </c>
      <c r="F56" s="264">
        <f>-ROUNDUP(SUM(F32:F35,F37:F46)*$W$2/100,-1)</f>
        <v>0</v>
      </c>
      <c r="G56" s="264">
        <f>-ROUNDUP(SUM(G32:G35,G37:G46)*$W$2/100,-1)</f>
        <v>0</v>
      </c>
      <c r="H56" s="264">
        <f t="shared" ref="H56:K56" si="82">-ROUNDUP(SUM(H32:H35,H37:H46)*$W$2/100,-1)</f>
        <v>0</v>
      </c>
      <c r="I56" s="264">
        <f t="shared" si="82"/>
        <v>0</v>
      </c>
      <c r="J56" s="264">
        <f t="shared" si="82"/>
        <v>0</v>
      </c>
      <c r="K56" s="264">
        <f t="shared" si="82"/>
        <v>0</v>
      </c>
      <c r="L56" s="264">
        <f>-ROUNDUP(SUM(L32:L35,L37:L46)*$W$2/100,-1)</f>
        <v>0</v>
      </c>
      <c r="M56" s="264">
        <f>-ROUNDUP(SUM(M32:M35,M37:M46)*$W$2/100,-1)</f>
        <v>0</v>
      </c>
      <c r="O56" s="1430" t="s">
        <v>428</v>
      </c>
      <c r="P56" s="1430"/>
      <c r="X56" s="1430" t="s">
        <v>427</v>
      </c>
      <c r="Y56" s="1430"/>
      <c r="AO56" s="1"/>
      <c r="AP56" s="57"/>
    </row>
    <row r="57" spans="2:43" ht="15.75" thickBot="1">
      <c r="O57" s="83" t="s">
        <v>429</v>
      </c>
      <c r="P57" s="83" t="s">
        <v>206</v>
      </c>
      <c r="Q57" s="83" t="s">
        <v>207</v>
      </c>
      <c r="R57" s="83" t="s">
        <v>448</v>
      </c>
      <c r="S57" s="83" t="s">
        <v>214</v>
      </c>
      <c r="T57" s="83" t="s">
        <v>215</v>
      </c>
      <c r="U57" s="83" t="s">
        <v>216</v>
      </c>
      <c r="V57" s="282" t="s">
        <v>455</v>
      </c>
      <c r="W57" s="261"/>
      <c r="X57" s="83" t="s">
        <v>429</v>
      </c>
      <c r="Y57" s="83" t="s">
        <v>206</v>
      </c>
      <c r="Z57" s="83" t="s">
        <v>207</v>
      </c>
      <c r="AA57" s="83" t="s">
        <v>448</v>
      </c>
      <c r="AB57" s="83" t="s">
        <v>218</v>
      </c>
      <c r="AC57" s="83" t="s">
        <v>215</v>
      </c>
      <c r="AD57" s="280" t="s">
        <v>453</v>
      </c>
      <c r="AE57" s="282" t="s">
        <v>455</v>
      </c>
    </row>
    <row r="58" spans="2:43" ht="15.75" thickBot="1">
      <c r="B58" s="307"/>
      <c r="C58" s="310" t="s">
        <v>479</v>
      </c>
      <c r="D58" s="311"/>
      <c r="E58" s="312"/>
      <c r="F58" s="313"/>
      <c r="G58" s="313"/>
      <c r="H58" s="313"/>
      <c r="I58" s="313"/>
      <c r="J58" s="313"/>
      <c r="K58" s="313"/>
      <c r="L58" s="313"/>
      <c r="M58" s="314"/>
      <c r="O58" s="61" t="str">
        <f>IF(月途中入退所情報!$D8=$B$2,月途中入退所情報!$F8,"-")</f>
        <v>-</v>
      </c>
      <c r="P58" s="61" t="str">
        <f>IF(月途中入退所情報!$D8=$B$2,月途中入退所情報!$G8,"-")</f>
        <v>-</v>
      </c>
      <c r="Q58" s="61" t="str">
        <f>IF(月途中入退所情報!$D8=$B$2,月途中入退所情報!$H8,"-")</f>
        <v>-</v>
      </c>
      <c r="R58" s="61" t="str">
        <f>IF(月途中入退所情報!$D8=$B$2,月途中入退所情報!$I8,"-")</f>
        <v>-</v>
      </c>
      <c r="S58" s="61" t="str">
        <f>IF(月途中入退所情報!$D8=$B$2,月途中入退所情報!$J8,"-")</f>
        <v>-</v>
      </c>
      <c r="T58" s="84">
        <f>IF($Q58="標準時間",HLOOKUP($P58,$F$5:$I$27,23,FALSE)-SUM($F$10,$F$21:$F$24,$F$26)-HLOOKUP($P58,$F$5:$I$27,16,FALSE)+HLOOKUP($P58,$F$5:$I$29,25,FALSE),IF($Q58="短時間",HLOOKUP($P58,$J$5:$M$27,23,FALSE)-SUM($F$10,$F$21:$F$24,$F$26)-HLOOKUP($P58,$J$5:$M$27,16,FALSE)+HLOOKUP($P58,$J$5:$M$29,25,FALSE),0))+IF(R58="○",加算と減算!$AH$3,0)</f>
        <v>0</v>
      </c>
      <c r="U58" s="85">
        <f>IFERROR(ROUNDDOWN(T58*S58/25,-1),0)</f>
        <v>0</v>
      </c>
      <c r="V58" s="262">
        <f>IFERROR(ROUNDDOWN(IF($Q58="標準時間",HLOOKUP($P58,$F$5:$I$28,24,FALSE),IF($Q58="短時間",HLOOKUP($P58,$J$5:$M$28,24,FALSE),0))*S58/25,-1),0)</f>
        <v>0</v>
      </c>
      <c r="W58" s="262"/>
      <c r="X58" s="61" t="str">
        <f>IF(月途中入退所情報!$N8=$B$2,月途中入退所情報!$P8,"-")</f>
        <v>-</v>
      </c>
      <c r="Y58" s="61" t="str">
        <f>IF(月途中入退所情報!$N8=$B$2,月途中入退所情報!$Q8,"-")</f>
        <v>-</v>
      </c>
      <c r="Z58" s="61" t="str">
        <f>IF(月途中入退所情報!$N8=$B$2,月途中入退所情報!$R8,"-")</f>
        <v>-</v>
      </c>
      <c r="AA58" s="61" t="str">
        <f>IF(月途中入退所情報!$N8=$B$2,月途中入退所情報!$S8,"-")</f>
        <v>-</v>
      </c>
      <c r="AB58" s="61" t="str">
        <f>IF(月途中入退所情報!$N8=$B$2,月途中入退所情報!$T8,"-")</f>
        <v>-</v>
      </c>
      <c r="AC58" s="84">
        <f>IF($Z58="標準時間",HLOOKUP($Y58,$F$5:$I$27,23,FALSE)-SUM($F$10,$F$21:$F$24,$F$26)-HLOOKUP($Y58,$F$5:$I$27,16,FALSE)+HLOOKUP($Y58,$F$5:$I$29,25,FALSE),IF($Z58="短時間",HLOOKUP($Y58,$J$5:$M$27,23,FALSE)-SUM($F$10,$F$21:$F$24,$F$26)-HLOOKUP($Y58,$J$5:$M$27,16,FALSE)+HLOOKUP($Y58,$J$5:$M$29,25,FALSE),0))+IF(AA58="○",加算と減算!$AH$3,0)</f>
        <v>0</v>
      </c>
      <c r="AD58" s="85">
        <f>IFERROR(-ROUNDUP(AC58*AB58/25,-1),0)</f>
        <v>0</v>
      </c>
      <c r="AE58" s="262">
        <f>IFERROR(-ROUNDUP(IF($Z58="標準時間",HLOOKUP($Y58,$F$5:$I$28,24,FALSE),IF($Z58="短時間",HLOOKUP($Y58,$J$5:$M$28,24,FALSE),0))*AB58/25,-1),0)</f>
        <v>0</v>
      </c>
    </row>
    <row r="59" spans="2:43">
      <c r="B59" s="307"/>
      <c r="C59" s="307"/>
      <c r="D59" s="308"/>
      <c r="E59" s="309"/>
      <c r="F59" s="1417" t="s">
        <v>15</v>
      </c>
      <c r="G59" s="1417"/>
      <c r="H59" s="1417"/>
      <c r="I59" s="1417"/>
      <c r="J59" s="1417" t="s">
        <v>16</v>
      </c>
      <c r="K59" s="1417"/>
      <c r="L59" s="1417"/>
      <c r="M59" s="1417"/>
      <c r="O59" s="61" t="str">
        <f>IF(月途中入退所情報!$D9=$B$2,月途中入退所情報!$F9,"-")</f>
        <v>-</v>
      </c>
      <c r="P59" s="61" t="str">
        <f>IF(月途中入退所情報!$D9=$B$2,月途中入退所情報!$G9,"-")</f>
        <v>-</v>
      </c>
      <c r="Q59" s="61" t="str">
        <f>IF(月途中入退所情報!$D9=$B$2,月途中入退所情報!$H9,"-")</f>
        <v>-</v>
      </c>
      <c r="R59" s="61" t="str">
        <f>IF(月途中入退所情報!$D9=$B$2,月途中入退所情報!$I9,"-")</f>
        <v>-</v>
      </c>
      <c r="S59" s="61" t="str">
        <f>IF(月途中入退所情報!$D9=$B$2,月途中入退所情報!$J9,"-")</f>
        <v>-</v>
      </c>
      <c r="T59" s="84">
        <f>IF($Q59="標準時間",HLOOKUP($P59,$F$5:$I$27,23,FALSE)-SUM($F$10,$F$21:$F$24,$F$26)-HLOOKUP($P59,$F$5:$I$27,16,FALSE)+HLOOKUP($P59,$F$5:$I$29,25,FALSE),IF($Q59="短時間",HLOOKUP($P59,$J$5:$M$27,23,FALSE)-SUM($F$10,$F$21:$F$24,$F$26)-HLOOKUP($P59,$J$5:$M$27,16,FALSE)+HLOOKUP($P59,$J$5:$M$29,25,FALSE),0))+IF(R59="○",加算と減算!$AH$3,0)</f>
        <v>0</v>
      </c>
      <c r="U59" s="85">
        <f t="shared" ref="U59:U77" si="83">IFERROR(ROUNDDOWN(T59*S59/25,-1),0)</f>
        <v>0</v>
      </c>
      <c r="V59" s="262">
        <f t="shared" ref="V59:V77" si="84">IFERROR(ROUNDDOWN(IF($Q59="標準時間",HLOOKUP($P59,$F$5:$I$28,24,FALSE),IF($Q59="短時間",HLOOKUP($P59,$J$5:$M$28,24,FALSE),0))*S59/25,-1),0)</f>
        <v>0</v>
      </c>
      <c r="W59" s="262"/>
      <c r="X59" s="61" t="str">
        <f>IF(月途中入退所情報!$N9=$B$2,月途中入退所情報!$P9,"-")</f>
        <v>-</v>
      </c>
      <c r="Y59" s="61" t="str">
        <f>IF(月途中入退所情報!$N9=$B$2,月途中入退所情報!$Q9,"-")</f>
        <v>-</v>
      </c>
      <c r="Z59" s="61" t="str">
        <f>IF(月途中入退所情報!$N9=$B$2,月途中入退所情報!$R9,"-")</f>
        <v>-</v>
      </c>
      <c r="AA59" s="61" t="str">
        <f>IF(月途中入退所情報!$N9=$B$2,月途中入退所情報!$S9,"-")</f>
        <v>-</v>
      </c>
      <c r="AB59" s="61" t="str">
        <f>IF(月途中入退所情報!$N9=$B$2,月途中入退所情報!$T9,"-")</f>
        <v>-</v>
      </c>
      <c r="AC59" s="84">
        <f>IF($Z59="標準時間",HLOOKUP($Y59,$F$5:$I$27,23,FALSE)-SUM($F$10,$F$21:$F$24,$F$26)-HLOOKUP($Y59,$F$5:$I$27,16,FALSE)+HLOOKUP($Y59,$F$5:$I$29,25,FALSE),IF($Z59="短時間",HLOOKUP($Y59,$J$5:$M$27,23,FALSE)-SUM($F$10,$F$21:$F$24,$F$26)-HLOOKUP($Y59,$J$5:$M$27,16,FALSE)+HLOOKUP($Y59,$J$5:$M$29,25,FALSE),0))+IF(AA59="○",加算と減算!$AH$3,0)</f>
        <v>0</v>
      </c>
      <c r="AD59" s="85">
        <f t="shared" ref="AD59:AD77" si="85">IFERROR(-ROUNDUP(AC59*AB59/25,-1),0)</f>
        <v>0</v>
      </c>
      <c r="AE59" s="262">
        <f t="shared" ref="AE59:AE77" si="86">IFERROR(-ROUNDUP(IF($Z59="標準時間",HLOOKUP($Y59,$F$5:$I$28,24,FALSE),IF($Z59="短時間",HLOOKUP($Y59,$J$5:$M$28,24,FALSE),0))*AB59/25,-1),0)</f>
        <v>0</v>
      </c>
    </row>
    <row r="60" spans="2:43">
      <c r="B60" s="307"/>
      <c r="C60" s="307"/>
      <c r="D60" s="308"/>
      <c r="E60" s="309"/>
      <c r="F60" s="369" t="s">
        <v>6</v>
      </c>
      <c r="G60" s="369" t="s">
        <v>7</v>
      </c>
      <c r="H60" s="369" t="s">
        <v>8</v>
      </c>
      <c r="I60" s="369" t="s">
        <v>9</v>
      </c>
      <c r="J60" s="369" t="s">
        <v>6</v>
      </c>
      <c r="K60" s="369" t="s">
        <v>7</v>
      </c>
      <c r="L60" s="369" t="s">
        <v>8</v>
      </c>
      <c r="M60" s="369" t="s">
        <v>9</v>
      </c>
      <c r="O60" s="61" t="str">
        <f>IF(月途中入退所情報!$D10=$B$2,月途中入退所情報!$F10,"-")</f>
        <v>-</v>
      </c>
      <c r="P60" s="61" t="str">
        <f>IF(月途中入退所情報!$D10=$B$2,月途中入退所情報!$G10,"-")</f>
        <v>-</v>
      </c>
      <c r="Q60" s="61" t="str">
        <f>IF(月途中入退所情報!$D10=$B$2,月途中入退所情報!$H10,"-")</f>
        <v>-</v>
      </c>
      <c r="R60" s="61" t="str">
        <f>IF(月途中入退所情報!$D10=$B$2,月途中入退所情報!$I10,"-")</f>
        <v>-</v>
      </c>
      <c r="S60" s="61" t="str">
        <f>IF(月途中入退所情報!$D10=$B$2,月途中入退所情報!$J10,"-")</f>
        <v>-</v>
      </c>
      <c r="T60" s="84">
        <f>IF($Q60="標準時間",HLOOKUP($P60,$F$5:$I$27,23,FALSE)-SUM($F$10,$F$21:$F$24,$F$26)-HLOOKUP($P60,$F$5:$I$27,16,FALSE)+HLOOKUP($P60,$F$5:$I$29,25,FALSE),IF($Q60="短時間",HLOOKUP($P60,$J$5:$M$27,23,FALSE)-SUM($F$10,$F$21:$F$24,$F$26)-HLOOKUP($P60,$J$5:$M$27,16,FALSE)+HLOOKUP($P60,$J$5:$M$29,25,FALSE),0))+IF(R60="○",加算と減算!$AH$3,0)</f>
        <v>0</v>
      </c>
      <c r="U60" s="85">
        <f t="shared" si="83"/>
        <v>0</v>
      </c>
      <c r="V60" s="262">
        <f t="shared" si="84"/>
        <v>0</v>
      </c>
      <c r="W60" s="262"/>
      <c r="X60" s="61" t="str">
        <f>IF(月途中入退所情報!$N10=$B$2,月途中入退所情報!$P10,"-")</f>
        <v>-</v>
      </c>
      <c r="Y60" s="61" t="str">
        <f>IF(月途中入退所情報!$N10=$B$2,月途中入退所情報!$Q10,"-")</f>
        <v>-</v>
      </c>
      <c r="Z60" s="61" t="str">
        <f>IF(月途中入退所情報!$N10=$B$2,月途中入退所情報!$R10,"-")</f>
        <v>-</v>
      </c>
      <c r="AA60" s="61" t="str">
        <f>IF(月途中入退所情報!$N10=$B$2,月途中入退所情報!$S10,"-")</f>
        <v>-</v>
      </c>
      <c r="AB60" s="61" t="str">
        <f>IF(月途中入退所情報!$N10=$B$2,月途中入退所情報!$T10,"-")</f>
        <v>-</v>
      </c>
      <c r="AC60" s="84">
        <f>IF($Z60="標準時間",HLOOKUP($Y60,$F$5:$I$27,23,FALSE)-SUM($F$10,$F$21:$F$24,$F$26)-HLOOKUP($Y60,$F$5:$I$27,16,FALSE)+HLOOKUP($Y60,$F$5:$I$29,25,FALSE),IF($Z60="短時間",HLOOKUP($Y60,$J$5:$M$27,23,FALSE)-SUM($F$10,$F$21:$F$24,$F$26)-HLOOKUP($Y60,$J$5:$M$27,16,FALSE)+HLOOKUP($Y60,$J$5:$M$29,25,FALSE),0))+IF(AA60="○",加算と減算!$AH$3,0)</f>
        <v>0</v>
      </c>
      <c r="AD60" s="85">
        <f t="shared" si="85"/>
        <v>0</v>
      </c>
      <c r="AE60" s="262">
        <f t="shared" si="86"/>
        <v>0</v>
      </c>
    </row>
    <row r="61" spans="2:43">
      <c r="B61" s="307"/>
      <c r="C61" s="307"/>
      <c r="D61" s="1432" t="s">
        <v>482</v>
      </c>
      <c r="E61" s="320" t="s">
        <v>480</v>
      </c>
      <c r="F61" s="85" t="e">
        <f t="shared" ref="F61:M61" si="87">-ROUNDDOWN((F7+F9+F1)*$S$2%,-1)</f>
        <v>#VALUE!</v>
      </c>
      <c r="G61" s="85" t="e">
        <f t="shared" si="87"/>
        <v>#VALUE!</v>
      </c>
      <c r="H61" s="85" t="e">
        <f t="shared" si="87"/>
        <v>#VALUE!</v>
      </c>
      <c r="I61" s="85" t="e">
        <f t="shared" si="87"/>
        <v>#VALUE!</v>
      </c>
      <c r="J61" s="85" t="e">
        <f t="shared" si="87"/>
        <v>#VALUE!</v>
      </c>
      <c r="K61" s="85" t="e">
        <f t="shared" si="87"/>
        <v>#VALUE!</v>
      </c>
      <c r="L61" s="85" t="e">
        <f t="shared" si="87"/>
        <v>#VALUE!</v>
      </c>
      <c r="M61" s="85" t="e">
        <f t="shared" si="87"/>
        <v>#VALUE!</v>
      </c>
      <c r="O61" s="61" t="str">
        <f>IF(月途中入退所情報!$D11=$B$2,月途中入退所情報!$F11,"-")</f>
        <v>-</v>
      </c>
      <c r="P61" s="61" t="str">
        <f>IF(月途中入退所情報!$D11=$B$2,月途中入退所情報!$G11,"-")</f>
        <v>-</v>
      </c>
      <c r="Q61" s="61" t="str">
        <f>IF(月途中入退所情報!$D11=$B$2,月途中入退所情報!$H11,"-")</f>
        <v>-</v>
      </c>
      <c r="R61" s="61" t="str">
        <f>IF(月途中入退所情報!$D11=$B$2,月途中入退所情報!$I11,"-")</f>
        <v>-</v>
      </c>
      <c r="S61" s="61" t="str">
        <f>IF(月途中入退所情報!$D11=$B$2,月途中入退所情報!$J11,"-")</f>
        <v>-</v>
      </c>
      <c r="T61" s="84">
        <f>IF($Q61="標準時間",HLOOKUP($P61,$F$5:$I$27,23,FALSE)-SUM($F$10,$F$21:$F$24,$F$26)-HLOOKUP($P61,$F$5:$I$27,16,FALSE)+HLOOKUP($P61,$F$5:$I$29,25,FALSE),IF($Q61="短時間",HLOOKUP($P61,$J$5:$M$27,23,FALSE)-SUM($F$10,$F$21:$F$24,$F$26)-HLOOKUP($P61,$J$5:$M$27,16,FALSE)+HLOOKUP($P61,$J$5:$M$29,25,FALSE),0))+IF(R61="○",加算と減算!$AH$3,0)</f>
        <v>0</v>
      </c>
      <c r="U61" s="85">
        <f t="shared" si="83"/>
        <v>0</v>
      </c>
      <c r="V61" s="262">
        <f t="shared" si="84"/>
        <v>0</v>
      </c>
      <c r="W61" s="262"/>
      <c r="X61" s="61" t="str">
        <f>IF(月途中入退所情報!$N11=$B$2,月途中入退所情報!$P11,"-")</f>
        <v>-</v>
      </c>
      <c r="Y61" s="61" t="str">
        <f>IF(月途中入退所情報!$N11=$B$2,月途中入退所情報!$Q11,"-")</f>
        <v>-</v>
      </c>
      <c r="Z61" s="61" t="str">
        <f>IF(月途中入退所情報!$N11=$B$2,月途中入退所情報!$R11,"-")</f>
        <v>-</v>
      </c>
      <c r="AA61" s="61" t="str">
        <f>IF(月途中入退所情報!$N11=$B$2,月途中入退所情報!$S11,"-")</f>
        <v>-</v>
      </c>
      <c r="AB61" s="61" t="str">
        <f>IF(月途中入退所情報!$N11=$B$2,月途中入退所情報!$T11,"-")</f>
        <v>-</v>
      </c>
      <c r="AC61" s="84">
        <f>IF($Z61="標準時間",HLOOKUP($Y61,$F$5:$I$27,23,FALSE)-SUM($F$10,$F$21:$F$24,$F$26)-HLOOKUP($Y61,$F$5:$I$27,16,FALSE)+HLOOKUP($Y61,$F$5:$I$29,25,FALSE),IF($Z61="短時間",HLOOKUP($Y61,$J$5:$M$27,23,FALSE)-SUM($F$10,$F$21:$F$24,$F$26)-HLOOKUP($Y61,$J$5:$M$27,16,FALSE)+HLOOKUP($Y61,$J$5:$M$29,25,FALSE),0))+IF(AA61="○",加算と減算!$AH$3,0)</f>
        <v>0</v>
      </c>
      <c r="AD61" s="85">
        <f t="shared" si="85"/>
        <v>0</v>
      </c>
      <c r="AE61" s="262">
        <f t="shared" si="86"/>
        <v>0</v>
      </c>
    </row>
    <row r="62" spans="2:43">
      <c r="B62" s="307"/>
      <c r="C62" s="307"/>
      <c r="D62" s="1432"/>
      <c r="E62" s="320" t="s">
        <v>481</v>
      </c>
      <c r="F62" s="85" t="e">
        <f>F61*Q11</f>
        <v>#VALUE!</v>
      </c>
      <c r="G62" s="85" t="e">
        <f t="shared" ref="G62:M62" si="88">G61*R11</f>
        <v>#VALUE!</v>
      </c>
      <c r="H62" s="85" t="e">
        <f t="shared" si="88"/>
        <v>#VALUE!</v>
      </c>
      <c r="I62" s="85" t="e">
        <f t="shared" si="88"/>
        <v>#VALUE!</v>
      </c>
      <c r="J62" s="85" t="e">
        <f t="shared" si="88"/>
        <v>#VALUE!</v>
      </c>
      <c r="K62" s="85" t="e">
        <f t="shared" si="88"/>
        <v>#VALUE!</v>
      </c>
      <c r="L62" s="85" t="e">
        <f t="shared" si="88"/>
        <v>#VALUE!</v>
      </c>
      <c r="M62" s="85" t="e">
        <f t="shared" si="88"/>
        <v>#VALUE!</v>
      </c>
      <c r="O62" s="61" t="str">
        <f>IF(月途中入退所情報!$D12=$B$2,月途中入退所情報!$F12,"-")</f>
        <v>-</v>
      </c>
      <c r="P62" s="61" t="str">
        <f>IF(月途中入退所情報!$D12=$B$2,月途中入退所情報!$G12,"-")</f>
        <v>-</v>
      </c>
      <c r="Q62" s="61" t="str">
        <f>IF(月途中入退所情報!$D12=$B$2,月途中入退所情報!$H12,"-")</f>
        <v>-</v>
      </c>
      <c r="R62" s="61" t="str">
        <f>IF(月途中入退所情報!$D12=$B$2,月途中入退所情報!$I12,"-")</f>
        <v>-</v>
      </c>
      <c r="S62" s="61" t="str">
        <f>IF(月途中入退所情報!$D12=$B$2,月途中入退所情報!$J12,"-")</f>
        <v>-</v>
      </c>
      <c r="T62" s="84">
        <f>IF($Q62="標準時間",HLOOKUP($P62,$F$5:$I$27,23,FALSE)-SUM($F$10,$F$21:$F$24,$F$26)-HLOOKUP($P62,$F$5:$I$27,16,FALSE)+HLOOKUP($P62,$F$5:$I$29,25,FALSE),IF($Q62="短時間",HLOOKUP($P62,$J$5:$M$27,23,FALSE)-SUM($F$10,$F$21:$F$24,$F$26)-HLOOKUP($P62,$J$5:$M$27,16,FALSE)+HLOOKUP($P62,$J$5:$M$29,25,FALSE),0))+IF(R62="○",加算と減算!$AH$3,0)</f>
        <v>0</v>
      </c>
      <c r="U62" s="85">
        <f t="shared" si="83"/>
        <v>0</v>
      </c>
      <c r="V62" s="262">
        <f t="shared" si="84"/>
        <v>0</v>
      </c>
      <c r="W62" s="262"/>
      <c r="X62" s="61" t="str">
        <f>IF(月途中入退所情報!$N12=$B$2,月途中入退所情報!$P12,"-")</f>
        <v>-</v>
      </c>
      <c r="Y62" s="61" t="str">
        <f>IF(月途中入退所情報!$N12=$B$2,月途中入退所情報!$Q12,"-")</f>
        <v>-</v>
      </c>
      <c r="Z62" s="61" t="str">
        <f>IF(月途中入退所情報!$N12=$B$2,月途中入退所情報!$R12,"-")</f>
        <v>-</v>
      </c>
      <c r="AA62" s="61" t="str">
        <f>IF(月途中入退所情報!$N12=$B$2,月途中入退所情報!$S12,"-")</f>
        <v>-</v>
      </c>
      <c r="AB62" s="61" t="str">
        <f>IF(月途中入退所情報!$N12=$B$2,月途中入退所情報!$T12,"-")</f>
        <v>-</v>
      </c>
      <c r="AC62" s="84">
        <f>IF($Z62="標準時間",HLOOKUP($Y62,$F$5:$I$27,23,FALSE)-SUM($F$10,$F$21:$F$24,$F$26)-HLOOKUP($Y62,$F$5:$I$27,16,FALSE)+HLOOKUP($Y62,$F$5:$I$29,25,FALSE),IF($Z62="短時間",HLOOKUP($Y62,$J$5:$M$27,23,FALSE)-SUM($F$10,$F$21:$F$24,$F$26)-HLOOKUP($Y62,$J$5:$M$27,16,FALSE)+HLOOKUP($Y62,$J$5:$M$29,25,FALSE),0))+IF(AA62="○",加算と減算!$AH$3,0)</f>
        <v>0</v>
      </c>
      <c r="AD62" s="85">
        <f t="shared" si="85"/>
        <v>0</v>
      </c>
      <c r="AE62" s="262">
        <f t="shared" si="86"/>
        <v>0</v>
      </c>
    </row>
    <row r="63" spans="2:43">
      <c r="B63" s="307"/>
      <c r="C63" s="307"/>
      <c r="D63" s="317"/>
      <c r="E63" s="315"/>
      <c r="F63" s="316"/>
      <c r="G63" s="316"/>
      <c r="H63" s="316"/>
      <c r="I63" s="316"/>
      <c r="J63" s="316"/>
      <c r="K63" s="316"/>
      <c r="L63" s="316"/>
      <c r="M63" s="316"/>
      <c r="O63" s="61" t="str">
        <f>IF(月途中入退所情報!$D13=$B$2,月途中入退所情報!$F13,"-")</f>
        <v>-</v>
      </c>
      <c r="P63" s="61" t="str">
        <f>IF(月途中入退所情報!$D13=$B$2,月途中入退所情報!$G13,"-")</f>
        <v>-</v>
      </c>
      <c r="Q63" s="61" t="str">
        <f>IF(月途中入退所情報!$D13=$B$2,月途中入退所情報!$H13,"-")</f>
        <v>-</v>
      </c>
      <c r="R63" s="61" t="str">
        <f>IF(月途中入退所情報!$D13=$B$2,月途中入退所情報!$I13,"-")</f>
        <v>-</v>
      </c>
      <c r="S63" s="61" t="str">
        <f>IF(月途中入退所情報!$D13=$B$2,月途中入退所情報!$J13,"-")</f>
        <v>-</v>
      </c>
      <c r="T63" s="84">
        <f>IF($Q63="標準時間",HLOOKUP($P63,$F$5:$I$27,23,FALSE)-SUM($F$10,$F$21:$F$24,$F$26)-HLOOKUP($P63,$F$5:$I$27,16,FALSE)+HLOOKUP($P63,$F$5:$I$29,25,FALSE),IF($Q63="短時間",HLOOKUP($P63,$J$5:$M$27,23,FALSE)-SUM($F$10,$F$21:$F$24,$F$26)-HLOOKUP($P63,$J$5:$M$27,16,FALSE)+HLOOKUP($P63,$J$5:$M$29,25,FALSE),0))+IF(R63="○",加算と減算!$AH$3,0)</f>
        <v>0</v>
      </c>
      <c r="U63" s="85">
        <f t="shared" si="83"/>
        <v>0</v>
      </c>
      <c r="V63" s="262">
        <f t="shared" si="84"/>
        <v>0</v>
      </c>
      <c r="W63" s="262"/>
      <c r="X63" s="61" t="str">
        <f>IF(月途中入退所情報!$N13=$B$2,月途中入退所情報!$P13,"-")</f>
        <v>-</v>
      </c>
      <c r="Y63" s="61" t="str">
        <f>IF(月途中入退所情報!$N13=$B$2,月途中入退所情報!$Q13,"-")</f>
        <v>-</v>
      </c>
      <c r="Z63" s="61" t="str">
        <f>IF(月途中入退所情報!$N13=$B$2,月途中入退所情報!$R13,"-")</f>
        <v>-</v>
      </c>
      <c r="AA63" s="61" t="str">
        <f>IF(月途中入退所情報!$N13=$B$2,月途中入退所情報!$S13,"-")</f>
        <v>-</v>
      </c>
      <c r="AB63" s="61" t="str">
        <f>IF(月途中入退所情報!$N13=$B$2,月途中入退所情報!$T13,"-")</f>
        <v>-</v>
      </c>
      <c r="AC63" s="84">
        <f>IF($Z63="標準時間",HLOOKUP($Y63,$F$5:$I$27,23,FALSE)-SUM($F$10,$F$21:$F$24,$F$26)-HLOOKUP($Y63,$F$5:$I$27,16,FALSE)+HLOOKUP($Y63,$F$5:$I$29,25,FALSE),IF($Z63="短時間",HLOOKUP($Y63,$J$5:$M$27,23,FALSE)-SUM($F$10,$F$21:$F$24,$F$26)-HLOOKUP($Y63,$J$5:$M$27,16,FALSE)+HLOOKUP($Y63,$J$5:$M$29,25,FALSE),0))+IF(AA63="○",加算と減算!$AH$3,0)</f>
        <v>0</v>
      </c>
      <c r="AD63" s="85">
        <f t="shared" si="85"/>
        <v>0</v>
      </c>
      <c r="AE63" s="262">
        <f t="shared" si="86"/>
        <v>0</v>
      </c>
    </row>
    <row r="64" spans="2:43">
      <c r="B64" s="307"/>
      <c r="C64" s="307"/>
      <c r="D64" s="308"/>
      <c r="E64" s="309"/>
      <c r="F64" s="369" t="s">
        <v>6</v>
      </c>
      <c r="G64" s="369" t="s">
        <v>7</v>
      </c>
      <c r="H64" s="369" t="s">
        <v>8</v>
      </c>
      <c r="I64" s="369" t="s">
        <v>9</v>
      </c>
      <c r="J64" s="369" t="s">
        <v>6</v>
      </c>
      <c r="K64" s="369" t="s">
        <v>7</v>
      </c>
      <c r="L64" s="369" t="s">
        <v>8</v>
      </c>
      <c r="M64" s="369" t="s">
        <v>9</v>
      </c>
      <c r="O64" s="61" t="str">
        <f>IF(月途中入退所情報!$D14=$B$2,月途中入退所情報!$F14,"-")</f>
        <v>-</v>
      </c>
      <c r="P64" s="61" t="str">
        <f>IF(月途中入退所情報!$D14=$B$2,月途中入退所情報!$G14,"-")</f>
        <v>-</v>
      </c>
      <c r="Q64" s="61" t="str">
        <f>IF(月途中入退所情報!$D14=$B$2,月途中入退所情報!$H14,"-")</f>
        <v>-</v>
      </c>
      <c r="R64" s="61" t="str">
        <f>IF(月途中入退所情報!$D14=$B$2,月途中入退所情報!$I14,"-")</f>
        <v>-</v>
      </c>
      <c r="S64" s="61" t="str">
        <f>IF(月途中入退所情報!$D14=$B$2,月途中入退所情報!$J14,"-")</f>
        <v>-</v>
      </c>
      <c r="T64" s="84">
        <f>IF($Q64="標準時間",HLOOKUP($P64,$F$5:$I$27,23,FALSE)-SUM($F$10,$F$21:$F$24,$F$26)-HLOOKUP($P64,$F$5:$I$27,16,FALSE)+HLOOKUP($P64,$F$5:$I$29,25,FALSE),IF($Q64="短時間",HLOOKUP($P64,$J$5:$M$27,23,FALSE)-SUM($F$10,$F$21:$F$24,$F$26)-HLOOKUP($P64,$J$5:$M$27,16,FALSE)+HLOOKUP($P64,$J$5:$M$29,25,FALSE),0))+IF(R64="○",加算と減算!$AH$3,0)</f>
        <v>0</v>
      </c>
      <c r="U64" s="85">
        <f t="shared" si="83"/>
        <v>0</v>
      </c>
      <c r="V64" s="262">
        <f t="shared" si="84"/>
        <v>0</v>
      </c>
      <c r="W64" s="262"/>
      <c r="X64" s="61" t="str">
        <f>IF(月途中入退所情報!$N14=$B$2,月途中入退所情報!$P14,"-")</f>
        <v>-</v>
      </c>
      <c r="Y64" s="61" t="str">
        <f>IF(月途中入退所情報!$N14=$B$2,月途中入退所情報!$Q14,"-")</f>
        <v>-</v>
      </c>
      <c r="Z64" s="61" t="str">
        <f>IF(月途中入退所情報!$N14=$B$2,月途中入退所情報!$R14,"-")</f>
        <v>-</v>
      </c>
      <c r="AA64" s="61" t="str">
        <f>IF(月途中入退所情報!$N14=$B$2,月途中入退所情報!$S14,"-")</f>
        <v>-</v>
      </c>
      <c r="AB64" s="61" t="str">
        <f>IF(月途中入退所情報!$N14=$B$2,月途中入退所情報!$T14,"-")</f>
        <v>-</v>
      </c>
      <c r="AC64" s="84">
        <f>IF($Z64="標準時間",HLOOKUP($Y64,$F$5:$I$27,23,FALSE)-SUM($F$10,$F$21:$F$24,$F$26)-HLOOKUP($Y64,$F$5:$I$27,16,FALSE)+HLOOKUP($Y64,$F$5:$I$29,25,FALSE),IF($Z64="短時間",HLOOKUP($Y64,$J$5:$M$27,23,FALSE)-SUM($F$10,$F$21:$F$24,$F$26)-HLOOKUP($Y64,$J$5:$M$27,16,FALSE)+HLOOKUP($Y64,$J$5:$M$29,25,FALSE),0))+IF(AA64="○",加算と減算!$AH$3,0)</f>
        <v>0</v>
      </c>
      <c r="AD64" s="85">
        <f t="shared" si="85"/>
        <v>0</v>
      </c>
      <c r="AE64" s="262">
        <f t="shared" si="86"/>
        <v>0</v>
      </c>
    </row>
    <row r="65" spans="2:31">
      <c r="B65" s="307"/>
      <c r="C65" s="307"/>
      <c r="D65" s="1432" t="s">
        <v>483</v>
      </c>
      <c r="E65" s="320" t="s">
        <v>480</v>
      </c>
      <c r="F65" s="85">
        <f t="shared" ref="F65:M65" si="89">-ROUNDDOWN((F33+F35+F38)*$T$2%,-1)</f>
        <v>0</v>
      </c>
      <c r="G65" s="85">
        <f t="shared" si="89"/>
        <v>0</v>
      </c>
      <c r="H65" s="85">
        <f t="shared" si="89"/>
        <v>0</v>
      </c>
      <c r="I65" s="85">
        <f t="shared" si="89"/>
        <v>0</v>
      </c>
      <c r="J65" s="85">
        <f t="shared" si="89"/>
        <v>0</v>
      </c>
      <c r="K65" s="85">
        <f t="shared" si="89"/>
        <v>0</v>
      </c>
      <c r="L65" s="85">
        <f t="shared" si="89"/>
        <v>0</v>
      </c>
      <c r="M65" s="85">
        <f t="shared" si="89"/>
        <v>0</v>
      </c>
      <c r="O65" s="61" t="str">
        <f>IF(月途中入退所情報!$D15=$B$2,月途中入退所情報!$F15,"-")</f>
        <v>-</v>
      </c>
      <c r="P65" s="61" t="str">
        <f>IF(月途中入退所情報!$D15=$B$2,月途中入退所情報!$G15,"-")</f>
        <v>-</v>
      </c>
      <c r="Q65" s="61" t="str">
        <f>IF(月途中入退所情報!$D15=$B$2,月途中入退所情報!$H15,"-")</f>
        <v>-</v>
      </c>
      <c r="R65" s="61" t="str">
        <f>IF(月途中入退所情報!$D15=$B$2,月途中入退所情報!$I15,"-")</f>
        <v>-</v>
      </c>
      <c r="S65" s="61" t="str">
        <f>IF(月途中入退所情報!$D15=$B$2,月途中入退所情報!$J15,"-")</f>
        <v>-</v>
      </c>
      <c r="T65" s="84">
        <f>IF($Q65="標準時間",HLOOKUP($P65,$F$5:$I$27,23,FALSE)-SUM($F$10,$F$21:$F$24,$F$26)-HLOOKUP($P65,$F$5:$I$27,16,FALSE)+HLOOKUP($P65,$F$5:$I$29,25,FALSE),IF($Q65="短時間",HLOOKUP($P65,$J$5:$M$27,23,FALSE)-SUM($F$10,$F$21:$F$24,$F$26)-HLOOKUP($P65,$J$5:$M$27,16,FALSE)+HLOOKUP($P65,$J$5:$M$29,25,FALSE),0))+IF(R65="○",加算と減算!$AH$3,0)</f>
        <v>0</v>
      </c>
      <c r="U65" s="85">
        <f t="shared" si="83"/>
        <v>0</v>
      </c>
      <c r="V65" s="262">
        <f t="shared" si="84"/>
        <v>0</v>
      </c>
      <c r="W65" s="262"/>
      <c r="X65" s="61" t="str">
        <f>IF(月途中入退所情報!$N15=$B$2,月途中入退所情報!$P15,"-")</f>
        <v>-</v>
      </c>
      <c r="Y65" s="61" t="str">
        <f>IF(月途中入退所情報!$N15=$B$2,月途中入退所情報!$Q15,"-")</f>
        <v>-</v>
      </c>
      <c r="Z65" s="61" t="str">
        <f>IF(月途中入退所情報!$N15=$B$2,月途中入退所情報!$R15,"-")</f>
        <v>-</v>
      </c>
      <c r="AA65" s="61" t="str">
        <f>IF(月途中入退所情報!$N15=$B$2,月途中入退所情報!$S15,"-")</f>
        <v>-</v>
      </c>
      <c r="AB65" s="61" t="str">
        <f>IF(月途中入退所情報!$N15=$B$2,月途中入退所情報!$T15,"-")</f>
        <v>-</v>
      </c>
      <c r="AC65" s="84">
        <f>IF($Z65="標準時間",HLOOKUP($Y65,$F$5:$I$27,23,FALSE)-SUM($F$10,$F$21:$F$24,$F$26)-HLOOKUP($Y65,$F$5:$I$27,16,FALSE)+HLOOKUP($Y65,$F$5:$I$29,25,FALSE),IF($Z65="短時間",HLOOKUP($Y65,$J$5:$M$27,23,FALSE)-SUM($F$10,$F$21:$F$24,$F$26)-HLOOKUP($Y65,$J$5:$M$27,16,FALSE)+HLOOKUP($Y65,$J$5:$M$29,25,FALSE),0))+IF(AA65="○",加算と減算!$AH$3,0)</f>
        <v>0</v>
      </c>
      <c r="AD65" s="85">
        <f t="shared" si="85"/>
        <v>0</v>
      </c>
      <c r="AE65" s="262">
        <f t="shared" si="86"/>
        <v>0</v>
      </c>
    </row>
    <row r="66" spans="2:31">
      <c r="B66" s="307"/>
      <c r="C66" s="307"/>
      <c r="D66" s="1432"/>
      <c r="E66" s="320" t="s">
        <v>481</v>
      </c>
      <c r="F66" s="85">
        <f>F65*Q37</f>
        <v>0</v>
      </c>
      <c r="G66" s="85">
        <f t="shared" ref="G66:M66" si="90">G65*R37</f>
        <v>0</v>
      </c>
      <c r="H66" s="85">
        <f t="shared" si="90"/>
        <v>0</v>
      </c>
      <c r="I66" s="85">
        <f t="shared" si="90"/>
        <v>0</v>
      </c>
      <c r="J66" s="85">
        <f t="shared" si="90"/>
        <v>0</v>
      </c>
      <c r="K66" s="85">
        <f t="shared" si="90"/>
        <v>0</v>
      </c>
      <c r="L66" s="85">
        <f t="shared" si="90"/>
        <v>0</v>
      </c>
      <c r="M66" s="85">
        <f t="shared" si="90"/>
        <v>0</v>
      </c>
      <c r="O66" s="61" t="str">
        <f>IF(月途中入退所情報!$D16=$B$2,月途中入退所情報!$F16,"-")</f>
        <v>-</v>
      </c>
      <c r="P66" s="61" t="str">
        <f>IF(月途中入退所情報!$D16=$B$2,月途中入退所情報!$G16,"-")</f>
        <v>-</v>
      </c>
      <c r="Q66" s="61" t="str">
        <f>IF(月途中入退所情報!$D16=$B$2,月途中入退所情報!$H16,"-")</f>
        <v>-</v>
      </c>
      <c r="R66" s="61" t="str">
        <f>IF(月途中入退所情報!$D16=$B$2,月途中入退所情報!$I16,"-")</f>
        <v>-</v>
      </c>
      <c r="S66" s="61" t="str">
        <f>IF(月途中入退所情報!$D16=$B$2,月途中入退所情報!$J16,"-")</f>
        <v>-</v>
      </c>
      <c r="T66" s="84">
        <f>IF($Q66="標準時間",HLOOKUP($P66,$F$5:$I$27,23,FALSE)-SUM($F$10,$F$21:$F$24,$F$26)-HLOOKUP($P66,$F$5:$I$27,16,FALSE)+HLOOKUP($P66,$F$5:$I$29,25,FALSE),IF($Q66="短時間",HLOOKUP($P66,$J$5:$M$27,23,FALSE)-SUM($F$10,$F$21:$F$24,$F$26)-HLOOKUP($P66,$J$5:$M$27,16,FALSE)+HLOOKUP($P66,$J$5:$M$29,25,FALSE),0))+IF(R66="○",加算と減算!$AH$3,0)</f>
        <v>0</v>
      </c>
      <c r="U66" s="85">
        <f t="shared" si="83"/>
        <v>0</v>
      </c>
      <c r="V66" s="262">
        <f t="shared" si="84"/>
        <v>0</v>
      </c>
      <c r="W66" s="262"/>
      <c r="X66" s="61" t="str">
        <f>IF(月途中入退所情報!$N16=$B$2,月途中入退所情報!$P16,"-")</f>
        <v>-</v>
      </c>
      <c r="Y66" s="61" t="str">
        <f>IF(月途中入退所情報!$N16=$B$2,月途中入退所情報!$Q16,"-")</f>
        <v>-</v>
      </c>
      <c r="Z66" s="61" t="str">
        <f>IF(月途中入退所情報!$N16=$B$2,月途中入退所情報!$R16,"-")</f>
        <v>-</v>
      </c>
      <c r="AA66" s="61" t="str">
        <f>IF(月途中入退所情報!$N16=$B$2,月途中入退所情報!$S16,"-")</f>
        <v>-</v>
      </c>
      <c r="AB66" s="61" t="str">
        <f>IF(月途中入退所情報!$N16=$B$2,月途中入退所情報!$T16,"-")</f>
        <v>-</v>
      </c>
      <c r="AC66" s="84">
        <f>IF($Z66="標準時間",HLOOKUP($Y66,$F$5:$I$27,23,FALSE)-SUM($F$10,$F$21:$F$24,$F$26)-HLOOKUP($Y66,$F$5:$I$27,16,FALSE)+HLOOKUP($Y66,$F$5:$I$29,25,FALSE),IF($Z66="短時間",HLOOKUP($Y66,$J$5:$M$27,23,FALSE)-SUM($F$10,$F$21:$F$24,$F$26)-HLOOKUP($Y66,$J$5:$M$27,16,FALSE)+HLOOKUP($Y66,$J$5:$M$29,25,FALSE),0))+IF(AA66="○",加算と減算!$AH$3,0)</f>
        <v>0</v>
      </c>
      <c r="AD66" s="85">
        <f t="shared" si="85"/>
        <v>0</v>
      </c>
      <c r="AE66" s="262">
        <f t="shared" si="86"/>
        <v>0</v>
      </c>
    </row>
    <row r="67" spans="2:31" ht="15.75" thickBot="1">
      <c r="B67" s="307"/>
      <c r="C67" s="307"/>
      <c r="D67" s="317"/>
      <c r="E67" s="315"/>
      <c r="F67" s="316"/>
      <c r="G67" s="316"/>
      <c r="H67" s="316"/>
      <c r="I67" s="316"/>
      <c r="J67" s="316"/>
      <c r="K67" s="316"/>
      <c r="L67" s="316"/>
      <c r="M67" s="316"/>
      <c r="O67" s="61" t="str">
        <f>IF(月途中入退所情報!$D17=$B$2,月途中入退所情報!$F17,"-")</f>
        <v>-</v>
      </c>
      <c r="P67" s="61" t="str">
        <f>IF(月途中入退所情報!$D17=$B$2,月途中入退所情報!$G17,"-")</f>
        <v>-</v>
      </c>
      <c r="Q67" s="61" t="str">
        <f>IF(月途中入退所情報!$D17=$B$2,月途中入退所情報!$H17,"-")</f>
        <v>-</v>
      </c>
      <c r="R67" s="61" t="str">
        <f>IF(月途中入退所情報!$D17=$B$2,月途中入退所情報!$I17,"-")</f>
        <v>-</v>
      </c>
      <c r="S67" s="61" t="str">
        <f>IF(月途中入退所情報!$D17=$B$2,月途中入退所情報!$J17,"-")</f>
        <v>-</v>
      </c>
      <c r="T67" s="84">
        <f>IF($Q67="標準時間",HLOOKUP($P67,$F$5:$I$27,23,FALSE)-SUM($F$10,$F$21:$F$24,$F$26)-HLOOKUP($P67,$F$5:$I$27,16,FALSE)+HLOOKUP($P67,$F$5:$I$29,25,FALSE),IF($Q67="短時間",HLOOKUP($P67,$J$5:$M$27,23,FALSE)-SUM($F$10,$F$21:$F$24,$F$26)-HLOOKUP($P67,$J$5:$M$27,16,FALSE)+HLOOKUP($P67,$J$5:$M$29,25,FALSE),0))+IF(R67="○",加算と減算!$AH$3,0)</f>
        <v>0</v>
      </c>
      <c r="U67" s="85">
        <f t="shared" si="83"/>
        <v>0</v>
      </c>
      <c r="V67" s="262">
        <f t="shared" si="84"/>
        <v>0</v>
      </c>
      <c r="W67" s="262"/>
      <c r="X67" s="61" t="str">
        <f>IF(月途中入退所情報!$N17=$B$2,月途中入退所情報!$P17,"-")</f>
        <v>-</v>
      </c>
      <c r="Y67" s="61" t="str">
        <f>IF(月途中入退所情報!$N17=$B$2,月途中入退所情報!$Q17,"-")</f>
        <v>-</v>
      </c>
      <c r="Z67" s="61" t="str">
        <f>IF(月途中入退所情報!$N17=$B$2,月途中入退所情報!$R17,"-")</f>
        <v>-</v>
      </c>
      <c r="AA67" s="61" t="str">
        <f>IF(月途中入退所情報!$N17=$B$2,月途中入退所情報!$S17,"-")</f>
        <v>-</v>
      </c>
      <c r="AB67" s="61" t="str">
        <f>IF(月途中入退所情報!$N17=$B$2,月途中入退所情報!$T17,"-")</f>
        <v>-</v>
      </c>
      <c r="AC67" s="84">
        <f>IF($Z67="標準時間",HLOOKUP($Y67,$F$5:$I$27,23,FALSE)-SUM($F$10,$F$21:$F$24,$F$26)-HLOOKUP($Y67,$F$5:$I$27,16,FALSE)+HLOOKUP($Y67,$F$5:$I$29,25,FALSE),IF($Z67="短時間",HLOOKUP($Y67,$J$5:$M$27,23,FALSE)-SUM($F$10,$F$21:$F$24,$F$26)-HLOOKUP($Y67,$J$5:$M$27,16,FALSE)+HLOOKUP($Y67,$J$5:$M$29,25,FALSE),0))+IF(AA67="○",加算と減算!$AH$3,0)</f>
        <v>0</v>
      </c>
      <c r="AD67" s="85">
        <f t="shared" si="85"/>
        <v>0</v>
      </c>
      <c r="AE67" s="262">
        <f t="shared" si="86"/>
        <v>0</v>
      </c>
    </row>
    <row r="68" spans="2:31" ht="15.75" thickBot="1">
      <c r="D68" s="1433" t="s">
        <v>484</v>
      </c>
      <c r="E68" s="1434"/>
      <c r="F68" s="321" t="e">
        <f>F62+F66</f>
        <v>#VALUE!</v>
      </c>
      <c r="G68" s="321" t="e">
        <f t="shared" ref="G68:M68" si="91">G62+G66</f>
        <v>#VALUE!</v>
      </c>
      <c r="H68" s="321" t="e">
        <f t="shared" si="91"/>
        <v>#VALUE!</v>
      </c>
      <c r="I68" s="321" t="e">
        <f t="shared" si="91"/>
        <v>#VALUE!</v>
      </c>
      <c r="J68" s="321" t="e">
        <f t="shared" si="91"/>
        <v>#VALUE!</v>
      </c>
      <c r="K68" s="321" t="e">
        <f t="shared" si="91"/>
        <v>#VALUE!</v>
      </c>
      <c r="L68" s="321" t="e">
        <f t="shared" si="91"/>
        <v>#VALUE!</v>
      </c>
      <c r="M68" s="322" t="e">
        <f t="shared" si="91"/>
        <v>#VALUE!</v>
      </c>
      <c r="O68" s="61" t="str">
        <f>IF(月途中入退所情報!$D18=$B$2,月途中入退所情報!$F18,"-")</f>
        <v>-</v>
      </c>
      <c r="P68" s="61" t="str">
        <f>IF(月途中入退所情報!$D18=$B$2,月途中入退所情報!$G18,"-")</f>
        <v>-</v>
      </c>
      <c r="Q68" s="61" t="str">
        <f>IF(月途中入退所情報!$D18=$B$2,月途中入退所情報!$H18,"-")</f>
        <v>-</v>
      </c>
      <c r="R68" s="61" t="str">
        <f>IF(月途中入退所情報!$D18=$B$2,月途中入退所情報!$I18,"-")</f>
        <v>-</v>
      </c>
      <c r="S68" s="61" t="str">
        <f>IF(月途中入退所情報!$D18=$B$2,月途中入退所情報!$J18,"-")</f>
        <v>-</v>
      </c>
      <c r="T68" s="84">
        <f>IF($Q68="標準時間",HLOOKUP($P68,$F$5:$I$27,23,FALSE)-SUM($F$10,$F$21:$F$24,$F$26)-HLOOKUP($P68,$F$5:$I$27,16,FALSE)+HLOOKUP($P68,$F$5:$I$29,25,FALSE),IF($Q68="短時間",HLOOKUP($P68,$J$5:$M$27,23,FALSE)-SUM($F$10,$F$21:$F$24,$F$26)-HLOOKUP($P68,$J$5:$M$27,16,FALSE)+HLOOKUP($P68,$J$5:$M$29,25,FALSE),0))+IF(R68="○",加算と減算!$AH$3,0)</f>
        <v>0</v>
      </c>
      <c r="U68" s="85">
        <f t="shared" si="83"/>
        <v>0</v>
      </c>
      <c r="V68" s="262">
        <f t="shared" si="84"/>
        <v>0</v>
      </c>
      <c r="W68" s="262"/>
      <c r="X68" s="61" t="str">
        <f>IF(月途中入退所情報!$N18=$B$2,月途中入退所情報!$P18,"-")</f>
        <v>-</v>
      </c>
      <c r="Y68" s="61" t="str">
        <f>IF(月途中入退所情報!$N18=$B$2,月途中入退所情報!$Q18,"-")</f>
        <v>-</v>
      </c>
      <c r="Z68" s="61" t="str">
        <f>IF(月途中入退所情報!$N18=$B$2,月途中入退所情報!$R18,"-")</f>
        <v>-</v>
      </c>
      <c r="AA68" s="61" t="str">
        <f>IF(月途中入退所情報!$N18=$B$2,月途中入退所情報!$S18,"-")</f>
        <v>-</v>
      </c>
      <c r="AB68" s="61" t="str">
        <f>IF(月途中入退所情報!$N18=$B$2,月途中入退所情報!$T18,"-")</f>
        <v>-</v>
      </c>
      <c r="AC68" s="84">
        <f>IF($Z68="標準時間",HLOOKUP($Y68,$F$5:$I$27,23,FALSE)-SUM($F$10,$F$21:$F$24,$F$26)-HLOOKUP($Y68,$F$5:$I$27,16,FALSE)+HLOOKUP($Y68,$F$5:$I$29,25,FALSE),IF($Z68="短時間",HLOOKUP($Y68,$J$5:$M$27,23,FALSE)-SUM($F$10,$F$21:$F$24,$F$26)-HLOOKUP($Y68,$J$5:$M$27,16,FALSE)+HLOOKUP($Y68,$J$5:$M$29,25,FALSE),0))+IF(AA68="○",加算と減算!$AH$3,0)</f>
        <v>0</v>
      </c>
      <c r="AD68" s="85">
        <f t="shared" si="85"/>
        <v>0</v>
      </c>
      <c r="AE68" s="262">
        <f t="shared" si="86"/>
        <v>0</v>
      </c>
    </row>
    <row r="69" spans="2:31" ht="15.75" thickBot="1">
      <c r="D69" s="1435"/>
      <c r="E69" s="1436"/>
      <c r="F69" s="1437" t="e">
        <f>SUM(F68:M68)</f>
        <v>#VALUE!</v>
      </c>
      <c r="G69" s="1438"/>
      <c r="H69" s="1438"/>
      <c r="I69" s="1438"/>
      <c r="J69" s="1438"/>
      <c r="K69" s="1438"/>
      <c r="L69" s="1438"/>
      <c r="M69" s="1439"/>
      <c r="O69" s="61" t="str">
        <f>IF(月途中入退所情報!$D19=$B$2,月途中入退所情報!$F19,"-")</f>
        <v>-</v>
      </c>
      <c r="P69" s="61" t="str">
        <f>IF(月途中入退所情報!$D19=$B$2,月途中入退所情報!$G19,"-")</f>
        <v>-</v>
      </c>
      <c r="Q69" s="61" t="str">
        <f>IF(月途中入退所情報!$D19=$B$2,月途中入退所情報!$H19,"-")</f>
        <v>-</v>
      </c>
      <c r="R69" s="61" t="str">
        <f>IF(月途中入退所情報!$D19=$B$2,月途中入退所情報!$I19,"-")</f>
        <v>-</v>
      </c>
      <c r="S69" s="61" t="str">
        <f>IF(月途中入退所情報!$D19=$B$2,月途中入退所情報!$J19,"-")</f>
        <v>-</v>
      </c>
      <c r="T69" s="84">
        <f>IF($Q69="標準時間",HLOOKUP($P69,$F$5:$I$27,23,FALSE)-SUM($F$10,$F$21:$F$24,$F$26)-HLOOKUP($P69,$F$5:$I$27,16,FALSE)+HLOOKUP($P69,$F$5:$I$29,25,FALSE),IF($Q69="短時間",HLOOKUP($P69,$J$5:$M$27,23,FALSE)-SUM($F$10,$F$21:$F$24,$F$26)-HLOOKUP($P69,$J$5:$M$27,16,FALSE)+HLOOKUP($P69,$J$5:$M$29,25,FALSE),0))+IF(R69="○",加算と減算!$AH$3,0)</f>
        <v>0</v>
      </c>
      <c r="U69" s="85">
        <f t="shared" si="83"/>
        <v>0</v>
      </c>
      <c r="V69" s="262">
        <f t="shared" si="84"/>
        <v>0</v>
      </c>
      <c r="W69" s="262"/>
      <c r="X69" s="61" t="str">
        <f>IF(月途中入退所情報!$N19=$B$2,月途中入退所情報!$P19,"-")</f>
        <v>-</v>
      </c>
      <c r="Y69" s="61" t="str">
        <f>IF(月途中入退所情報!$N19=$B$2,月途中入退所情報!$Q19,"-")</f>
        <v>-</v>
      </c>
      <c r="Z69" s="61" t="str">
        <f>IF(月途中入退所情報!$N19=$B$2,月途中入退所情報!$R19,"-")</f>
        <v>-</v>
      </c>
      <c r="AA69" s="61" t="str">
        <f>IF(月途中入退所情報!$N19=$B$2,月途中入退所情報!$S19,"-")</f>
        <v>-</v>
      </c>
      <c r="AB69" s="61" t="str">
        <f>IF(月途中入退所情報!$N19=$B$2,月途中入退所情報!$T19,"-")</f>
        <v>-</v>
      </c>
      <c r="AC69" s="84">
        <f>IF($Z69="標準時間",HLOOKUP($Y69,$F$5:$I$27,23,FALSE)-SUM($F$10,$F$21:$F$24,$F$26)-HLOOKUP($Y69,$F$5:$I$27,16,FALSE)+HLOOKUP($Y69,$F$5:$I$29,25,FALSE),IF($Z69="短時間",HLOOKUP($Y69,$J$5:$M$27,23,FALSE)-SUM($F$10,$F$21:$F$24,$F$26)-HLOOKUP($Y69,$J$5:$M$27,16,FALSE)+HLOOKUP($Y69,$J$5:$M$29,25,FALSE),0))+IF(AA69="○",加算と減算!$AH$3,0)</f>
        <v>0</v>
      </c>
      <c r="AD69" s="85">
        <f t="shared" si="85"/>
        <v>0</v>
      </c>
      <c r="AE69" s="262">
        <f t="shared" si="86"/>
        <v>0</v>
      </c>
    </row>
    <row r="70" spans="2:31">
      <c r="D70" s="318"/>
      <c r="E70" s="319"/>
      <c r="F70" s="316"/>
      <c r="G70" s="316"/>
      <c r="H70" s="316"/>
      <c r="I70" s="316"/>
      <c r="J70" s="316"/>
      <c r="K70" s="316"/>
      <c r="L70" s="316"/>
      <c r="M70" s="316"/>
      <c r="O70" s="61" t="str">
        <f>IF(月途中入退所情報!$D20=$B$2,月途中入退所情報!$F20,"-")</f>
        <v>-</v>
      </c>
      <c r="P70" s="61" t="str">
        <f>IF(月途中入退所情報!$D20=$B$2,月途中入退所情報!$G20,"-")</f>
        <v>-</v>
      </c>
      <c r="Q70" s="61" t="str">
        <f>IF(月途中入退所情報!$D20=$B$2,月途中入退所情報!$H20,"-")</f>
        <v>-</v>
      </c>
      <c r="R70" s="61" t="str">
        <f>IF(月途中入退所情報!$D20=$B$2,月途中入退所情報!$I20,"-")</f>
        <v>-</v>
      </c>
      <c r="S70" s="61" t="str">
        <f>IF(月途中入退所情報!$D20=$B$2,月途中入退所情報!$J20,"-")</f>
        <v>-</v>
      </c>
      <c r="T70" s="84">
        <f>IF($Q70="標準時間",HLOOKUP($P70,$F$5:$I$27,23,FALSE)-SUM($F$10,$F$21:$F$24,$F$26)-HLOOKUP($P70,$F$5:$I$27,16,FALSE)+HLOOKUP($P70,$F$5:$I$29,25,FALSE),IF($Q70="短時間",HLOOKUP($P70,$J$5:$M$27,23,FALSE)-SUM($F$10,$F$21:$F$24,$F$26)-HLOOKUP($P70,$J$5:$M$27,16,FALSE)+HLOOKUP($P70,$J$5:$M$29,25,FALSE),0))+IF(R70="○",加算と減算!$AH$3,0)</f>
        <v>0</v>
      </c>
      <c r="U70" s="85">
        <f t="shared" si="83"/>
        <v>0</v>
      </c>
      <c r="V70" s="262">
        <f t="shared" si="84"/>
        <v>0</v>
      </c>
      <c r="W70" s="262"/>
      <c r="X70" s="61" t="str">
        <f>IF(月途中入退所情報!$N20=$B$2,月途中入退所情報!$P20,"-")</f>
        <v>-</v>
      </c>
      <c r="Y70" s="61" t="str">
        <f>IF(月途中入退所情報!$N20=$B$2,月途中入退所情報!$Q20,"-")</f>
        <v>-</v>
      </c>
      <c r="Z70" s="61" t="str">
        <f>IF(月途中入退所情報!$N20=$B$2,月途中入退所情報!$R20,"-")</f>
        <v>-</v>
      </c>
      <c r="AA70" s="61" t="str">
        <f>IF(月途中入退所情報!$N20=$B$2,月途中入退所情報!$S20,"-")</f>
        <v>-</v>
      </c>
      <c r="AB70" s="61" t="str">
        <f>IF(月途中入退所情報!$N20=$B$2,月途中入退所情報!$T20,"-")</f>
        <v>-</v>
      </c>
      <c r="AC70" s="84">
        <f>IF($Z70="標準時間",HLOOKUP($Y70,$F$5:$I$27,23,FALSE)-SUM($F$10,$F$21:$F$24,$F$26)-HLOOKUP($Y70,$F$5:$I$27,16,FALSE)+HLOOKUP($Y70,$F$5:$I$29,25,FALSE),IF($Z70="短時間",HLOOKUP($Y70,$J$5:$M$27,23,FALSE)-SUM($F$10,$F$21:$F$24,$F$26)-HLOOKUP($Y70,$J$5:$M$27,16,FALSE)+HLOOKUP($Y70,$J$5:$M$29,25,FALSE),0))+IF(AA70="○",加算と減算!$AH$3,0)</f>
        <v>0</v>
      </c>
      <c r="AD70" s="85">
        <f t="shared" si="85"/>
        <v>0</v>
      </c>
      <c r="AE70" s="262">
        <f t="shared" si="86"/>
        <v>0</v>
      </c>
    </row>
    <row r="71" spans="2:31">
      <c r="D71" s="318"/>
      <c r="E71" s="319"/>
      <c r="F71" s="316"/>
      <c r="G71" s="316"/>
      <c r="H71" s="316"/>
      <c r="I71" s="316"/>
      <c r="J71" s="316"/>
      <c r="K71" s="316"/>
      <c r="L71" s="316"/>
      <c r="M71" s="316"/>
      <c r="O71" s="61" t="str">
        <f>IF(月途中入退所情報!$D21=$B$2,月途中入退所情報!$F21,"-")</f>
        <v>-</v>
      </c>
      <c r="P71" s="61" t="str">
        <f>IF(月途中入退所情報!$D21=$B$2,月途中入退所情報!$G21,"-")</f>
        <v>-</v>
      </c>
      <c r="Q71" s="61" t="str">
        <f>IF(月途中入退所情報!$D21=$B$2,月途中入退所情報!$H21,"-")</f>
        <v>-</v>
      </c>
      <c r="R71" s="61" t="str">
        <f>IF(月途中入退所情報!$D21=$B$2,月途中入退所情報!$I21,"-")</f>
        <v>-</v>
      </c>
      <c r="S71" s="61" t="str">
        <f>IF(月途中入退所情報!$D21=$B$2,月途中入退所情報!$J21,"-")</f>
        <v>-</v>
      </c>
      <c r="T71" s="84">
        <f>IF($Q71="標準時間",HLOOKUP($P71,$F$5:$I$27,23,FALSE)-SUM($F$10,$F$21:$F$24,$F$26)-HLOOKUP($P71,$F$5:$I$27,16,FALSE)+HLOOKUP($P71,$F$5:$I$29,25,FALSE),IF($Q71="短時間",HLOOKUP($P71,$J$5:$M$27,23,FALSE)-SUM($F$10,$F$21:$F$24,$F$26)-HLOOKUP($P71,$J$5:$M$27,16,FALSE)+HLOOKUP($P71,$J$5:$M$29,25,FALSE),0))+IF(R71="○",加算と減算!$AH$3,0)</f>
        <v>0</v>
      </c>
      <c r="U71" s="85">
        <f t="shared" si="83"/>
        <v>0</v>
      </c>
      <c r="V71" s="262">
        <f t="shared" si="84"/>
        <v>0</v>
      </c>
      <c r="W71" s="262"/>
      <c r="X71" s="61" t="str">
        <f>IF(月途中入退所情報!$N21=$B$2,月途中入退所情報!$P21,"-")</f>
        <v>-</v>
      </c>
      <c r="Y71" s="61" t="str">
        <f>IF(月途中入退所情報!$N21=$B$2,月途中入退所情報!$Q21,"-")</f>
        <v>-</v>
      </c>
      <c r="Z71" s="61" t="str">
        <f>IF(月途中入退所情報!$N21=$B$2,月途中入退所情報!$R21,"-")</f>
        <v>-</v>
      </c>
      <c r="AA71" s="61" t="str">
        <f>IF(月途中入退所情報!$N21=$B$2,月途中入退所情報!$S21,"-")</f>
        <v>-</v>
      </c>
      <c r="AB71" s="61" t="str">
        <f>IF(月途中入退所情報!$N21=$B$2,月途中入退所情報!$T21,"-")</f>
        <v>-</v>
      </c>
      <c r="AC71" s="84">
        <f>IF($Z71="標準時間",HLOOKUP($Y71,$F$5:$I$27,23,FALSE)-SUM($F$10,$F$21:$F$24,$F$26)-HLOOKUP($Y71,$F$5:$I$27,16,FALSE)+HLOOKUP($Y71,$F$5:$I$29,25,FALSE),IF($Z71="短時間",HLOOKUP($Y71,$J$5:$M$27,23,FALSE)-SUM($F$10,$F$21:$F$24,$F$26)-HLOOKUP($Y71,$J$5:$M$27,16,FALSE)+HLOOKUP($Y71,$J$5:$M$29,25,FALSE),0))+IF(AA71="○",加算と減算!$AH$3,0)</f>
        <v>0</v>
      </c>
      <c r="AD71" s="85">
        <f t="shared" si="85"/>
        <v>0</v>
      </c>
      <c r="AE71" s="262">
        <f t="shared" si="86"/>
        <v>0</v>
      </c>
    </row>
    <row r="72" spans="2:31">
      <c r="D72" s="318"/>
      <c r="E72" s="319"/>
      <c r="F72" s="316"/>
      <c r="G72" s="316"/>
      <c r="H72" s="316"/>
      <c r="I72" s="316"/>
      <c r="J72" s="316"/>
      <c r="K72" s="316"/>
      <c r="L72" s="316"/>
      <c r="M72" s="316"/>
      <c r="O72" s="61" t="str">
        <f>IF(月途中入退所情報!$D22=$B$2,月途中入退所情報!$F22,"-")</f>
        <v>-</v>
      </c>
      <c r="P72" s="61" t="str">
        <f>IF(月途中入退所情報!$D22=$B$2,月途中入退所情報!$G22,"-")</f>
        <v>-</v>
      </c>
      <c r="Q72" s="61" t="str">
        <f>IF(月途中入退所情報!$D22=$B$2,月途中入退所情報!$H22,"-")</f>
        <v>-</v>
      </c>
      <c r="R72" s="61" t="str">
        <f>IF(月途中入退所情報!$D22=$B$2,月途中入退所情報!$I22,"-")</f>
        <v>-</v>
      </c>
      <c r="S72" s="61" t="str">
        <f>IF(月途中入退所情報!$D22=$B$2,月途中入退所情報!$J22,"-")</f>
        <v>-</v>
      </c>
      <c r="T72" s="84">
        <f>IF($Q72="標準時間",HLOOKUP($P72,$F$5:$I$27,23,FALSE)-SUM($F$10,$F$21:$F$24,$F$26)-HLOOKUP($P72,$F$5:$I$27,16,FALSE)+HLOOKUP($P72,$F$5:$I$29,25,FALSE),IF($Q72="短時間",HLOOKUP($P72,$J$5:$M$27,23,FALSE)-SUM($F$10,$F$21:$F$24,$F$26)-HLOOKUP($P72,$J$5:$M$27,16,FALSE)+HLOOKUP($P72,$J$5:$M$29,25,FALSE),0))+IF(R72="○",加算と減算!$AH$3,0)</f>
        <v>0</v>
      </c>
      <c r="U72" s="85">
        <f t="shared" si="83"/>
        <v>0</v>
      </c>
      <c r="V72" s="262">
        <f t="shared" si="84"/>
        <v>0</v>
      </c>
      <c r="W72" s="262"/>
      <c r="X72" s="61" t="str">
        <f>IF(月途中入退所情報!$N22=$B$2,月途中入退所情報!$P22,"-")</f>
        <v>-</v>
      </c>
      <c r="Y72" s="61" t="str">
        <f>IF(月途中入退所情報!$N22=$B$2,月途中入退所情報!$Q22,"-")</f>
        <v>-</v>
      </c>
      <c r="Z72" s="61" t="str">
        <f>IF(月途中入退所情報!$N22=$B$2,月途中入退所情報!$R22,"-")</f>
        <v>-</v>
      </c>
      <c r="AA72" s="61" t="str">
        <f>IF(月途中入退所情報!$N22=$B$2,月途中入退所情報!$S22,"-")</f>
        <v>-</v>
      </c>
      <c r="AB72" s="61" t="str">
        <f>IF(月途中入退所情報!$N22=$B$2,月途中入退所情報!$T22,"-")</f>
        <v>-</v>
      </c>
      <c r="AC72" s="84">
        <f>IF($Z72="標準時間",HLOOKUP($Y72,$F$5:$I$27,23,FALSE)-SUM($F$10,$F$21:$F$24,$F$26)-HLOOKUP($Y72,$F$5:$I$27,16,FALSE)+HLOOKUP($Y72,$F$5:$I$29,25,FALSE),IF($Z72="短時間",HLOOKUP($Y72,$J$5:$M$27,23,FALSE)-SUM($F$10,$F$21:$F$24,$F$26)-HLOOKUP($Y72,$J$5:$M$27,16,FALSE)+HLOOKUP($Y72,$J$5:$M$29,25,FALSE),0))+IF(AA72="○",加算と減算!$AH$3,0)</f>
        <v>0</v>
      </c>
      <c r="AD72" s="85">
        <f t="shared" si="85"/>
        <v>0</v>
      </c>
      <c r="AE72" s="262">
        <f t="shared" si="86"/>
        <v>0</v>
      </c>
    </row>
    <row r="73" spans="2:31">
      <c r="D73" s="318"/>
      <c r="E73" s="319"/>
      <c r="F73" s="316"/>
      <c r="G73" s="316"/>
      <c r="H73" s="316"/>
      <c r="I73" s="316"/>
      <c r="J73" s="316"/>
      <c r="K73" s="316"/>
      <c r="L73" s="316"/>
      <c r="M73" s="316"/>
      <c r="O73" s="61" t="str">
        <f>IF(月途中入退所情報!$D23=$B$2,月途中入退所情報!$F23,"-")</f>
        <v>-</v>
      </c>
      <c r="P73" s="61" t="str">
        <f>IF(月途中入退所情報!$D23=$B$2,月途中入退所情報!$G23,"-")</f>
        <v>-</v>
      </c>
      <c r="Q73" s="61" t="str">
        <f>IF(月途中入退所情報!$D23=$B$2,月途中入退所情報!$H23,"-")</f>
        <v>-</v>
      </c>
      <c r="R73" s="61" t="str">
        <f>IF(月途中入退所情報!$D23=$B$2,月途中入退所情報!$I23,"-")</f>
        <v>-</v>
      </c>
      <c r="S73" s="61" t="str">
        <f>IF(月途中入退所情報!$D23=$B$2,月途中入退所情報!$J23,"-")</f>
        <v>-</v>
      </c>
      <c r="T73" s="84">
        <f>IF($Q73="標準時間",HLOOKUP($P73,$F$5:$I$27,23,FALSE)-SUM($F$10,$F$21:$F$24,$F$26)-HLOOKUP($P73,$F$5:$I$27,16,FALSE)+HLOOKUP($P73,$F$5:$I$29,25,FALSE),IF($Q73="短時間",HLOOKUP($P73,$J$5:$M$27,23,FALSE)-SUM($F$10,$F$21:$F$24,$F$26)-HLOOKUP($P73,$J$5:$M$27,16,FALSE)+HLOOKUP($P73,$J$5:$M$29,25,FALSE),0))+IF(R73="○",加算と減算!$AH$3,0)</f>
        <v>0</v>
      </c>
      <c r="U73" s="85">
        <f t="shared" si="83"/>
        <v>0</v>
      </c>
      <c r="V73" s="262">
        <f t="shared" si="84"/>
        <v>0</v>
      </c>
      <c r="W73" s="262"/>
      <c r="X73" s="61" t="str">
        <f>IF(月途中入退所情報!$N23=$B$2,月途中入退所情報!$P23,"-")</f>
        <v>-</v>
      </c>
      <c r="Y73" s="61" t="str">
        <f>IF(月途中入退所情報!$N23=$B$2,月途中入退所情報!$Q23,"-")</f>
        <v>-</v>
      </c>
      <c r="Z73" s="61" t="str">
        <f>IF(月途中入退所情報!$N23=$B$2,月途中入退所情報!$R23,"-")</f>
        <v>-</v>
      </c>
      <c r="AA73" s="61" t="str">
        <f>IF(月途中入退所情報!$N23=$B$2,月途中入退所情報!$S23,"-")</f>
        <v>-</v>
      </c>
      <c r="AB73" s="61" t="str">
        <f>IF(月途中入退所情報!$N23=$B$2,月途中入退所情報!$T23,"-")</f>
        <v>-</v>
      </c>
      <c r="AC73" s="84">
        <f>IF($Z73="標準時間",HLOOKUP($Y73,$F$5:$I$27,23,FALSE)-SUM($F$10,$F$21:$F$24,$F$26)-HLOOKUP($Y73,$F$5:$I$27,16,FALSE)+HLOOKUP($Y73,$F$5:$I$29,25,FALSE),IF($Z73="短時間",HLOOKUP($Y73,$J$5:$M$27,23,FALSE)-SUM($F$10,$F$21:$F$24,$F$26)-HLOOKUP($Y73,$J$5:$M$27,16,FALSE)+HLOOKUP($Y73,$J$5:$M$29,25,FALSE),0))+IF(AA73="○",加算と減算!$AH$3,0)</f>
        <v>0</v>
      </c>
      <c r="AD73" s="85">
        <f t="shared" si="85"/>
        <v>0</v>
      </c>
      <c r="AE73" s="262">
        <f t="shared" si="86"/>
        <v>0</v>
      </c>
    </row>
    <row r="74" spans="2:31">
      <c r="D74" s="318"/>
      <c r="E74" s="319"/>
      <c r="F74" s="316"/>
      <c r="G74" s="316"/>
      <c r="H74" s="316"/>
      <c r="I74" s="316"/>
      <c r="J74" s="316"/>
      <c r="K74" s="316"/>
      <c r="L74" s="316"/>
      <c r="M74" s="316"/>
      <c r="O74" s="61" t="str">
        <f>IF(月途中入退所情報!$D24=$B$2,月途中入退所情報!$F24,"-")</f>
        <v>-</v>
      </c>
      <c r="P74" s="61" t="str">
        <f>IF(月途中入退所情報!$D24=$B$2,月途中入退所情報!$G24,"-")</f>
        <v>-</v>
      </c>
      <c r="Q74" s="61" t="str">
        <f>IF(月途中入退所情報!$D24=$B$2,月途中入退所情報!$H24,"-")</f>
        <v>-</v>
      </c>
      <c r="R74" s="61" t="str">
        <f>IF(月途中入退所情報!$D24=$B$2,月途中入退所情報!$I24,"-")</f>
        <v>-</v>
      </c>
      <c r="S74" s="61" t="str">
        <f>IF(月途中入退所情報!$D24=$B$2,月途中入退所情報!$J24,"-")</f>
        <v>-</v>
      </c>
      <c r="T74" s="84">
        <f>IF($Q74="標準時間",HLOOKUP($P74,$F$5:$I$27,23,FALSE)-SUM($F$10,$F$21:$F$24,$F$26)-HLOOKUP($P74,$F$5:$I$27,16,FALSE)+HLOOKUP($P74,$F$5:$I$29,25,FALSE),IF($Q74="短時間",HLOOKUP($P74,$J$5:$M$27,23,FALSE)-SUM($F$10,$F$21:$F$24,$F$26)-HLOOKUP($P74,$J$5:$M$27,16,FALSE)+HLOOKUP($P74,$J$5:$M$29,25,FALSE),0))+IF(R74="○",加算と減算!$AH$3,0)</f>
        <v>0</v>
      </c>
      <c r="U74" s="85">
        <f t="shared" si="83"/>
        <v>0</v>
      </c>
      <c r="V74" s="262">
        <f t="shared" si="84"/>
        <v>0</v>
      </c>
      <c r="W74" s="262"/>
      <c r="X74" s="61" t="str">
        <f>IF(月途中入退所情報!$N24=$B$2,月途中入退所情報!$P24,"-")</f>
        <v>-</v>
      </c>
      <c r="Y74" s="61" t="str">
        <f>IF(月途中入退所情報!$N24=$B$2,月途中入退所情報!$Q24,"-")</f>
        <v>-</v>
      </c>
      <c r="Z74" s="61" t="str">
        <f>IF(月途中入退所情報!$N24=$B$2,月途中入退所情報!$R24,"-")</f>
        <v>-</v>
      </c>
      <c r="AA74" s="61" t="str">
        <f>IF(月途中入退所情報!$N24=$B$2,月途中入退所情報!$S24,"-")</f>
        <v>-</v>
      </c>
      <c r="AB74" s="61" t="str">
        <f>IF(月途中入退所情報!$N24=$B$2,月途中入退所情報!$T24,"-")</f>
        <v>-</v>
      </c>
      <c r="AC74" s="84">
        <f>IF($Z74="標準時間",HLOOKUP($Y74,$F$5:$I$27,23,FALSE)-SUM($F$10,$F$21:$F$24,$F$26)-HLOOKUP($Y74,$F$5:$I$27,16,FALSE)+HLOOKUP($Y74,$F$5:$I$29,25,FALSE),IF($Z74="短時間",HLOOKUP($Y74,$J$5:$M$27,23,FALSE)-SUM($F$10,$F$21:$F$24,$F$26)-HLOOKUP($Y74,$J$5:$M$27,16,FALSE)+HLOOKUP($Y74,$J$5:$M$29,25,FALSE),0))+IF(AA74="○",加算と減算!$AH$3,0)</f>
        <v>0</v>
      </c>
      <c r="AD74" s="85">
        <f t="shared" si="85"/>
        <v>0</v>
      </c>
      <c r="AE74" s="262">
        <f t="shared" si="86"/>
        <v>0</v>
      </c>
    </row>
    <row r="75" spans="2:31">
      <c r="D75" s="318"/>
      <c r="E75" s="319"/>
      <c r="F75" s="316"/>
      <c r="G75" s="316"/>
      <c r="H75" s="316"/>
      <c r="I75" s="316"/>
      <c r="J75" s="316"/>
      <c r="K75" s="316"/>
      <c r="L75" s="316"/>
      <c r="M75" s="316"/>
      <c r="O75" s="61" t="str">
        <f>IF(月途中入退所情報!$D25=$B$2,月途中入退所情報!$F25,"-")</f>
        <v>-</v>
      </c>
      <c r="P75" s="61" t="str">
        <f>IF(月途中入退所情報!$D25=$B$2,月途中入退所情報!$G25,"-")</f>
        <v>-</v>
      </c>
      <c r="Q75" s="61" t="str">
        <f>IF(月途中入退所情報!$D25=$B$2,月途中入退所情報!$H25,"-")</f>
        <v>-</v>
      </c>
      <c r="R75" s="61" t="str">
        <f>IF(月途中入退所情報!$D25=$B$2,月途中入退所情報!$I25,"-")</f>
        <v>-</v>
      </c>
      <c r="S75" s="61" t="str">
        <f>IF(月途中入退所情報!$D25=$B$2,月途中入退所情報!$J25,"-")</f>
        <v>-</v>
      </c>
      <c r="T75" s="84">
        <f>IF($Q75="標準時間",HLOOKUP($P75,$F$5:$I$27,23,FALSE)-SUM($F$10,$F$21:$F$24,$F$26)-HLOOKUP($P75,$F$5:$I$27,16,FALSE)+HLOOKUP($P75,$F$5:$I$29,25,FALSE),IF($Q75="短時間",HLOOKUP($P75,$J$5:$M$27,23,FALSE)-SUM($F$10,$F$21:$F$24,$F$26)-HLOOKUP($P75,$J$5:$M$27,16,FALSE)+HLOOKUP($P75,$J$5:$M$29,25,FALSE),0))+IF(R75="○",加算と減算!$AH$3,0)</f>
        <v>0</v>
      </c>
      <c r="U75" s="85">
        <f t="shared" si="83"/>
        <v>0</v>
      </c>
      <c r="V75" s="262">
        <f t="shared" si="84"/>
        <v>0</v>
      </c>
      <c r="W75" s="262"/>
      <c r="X75" s="61" t="str">
        <f>IF(月途中入退所情報!$N25=$B$2,月途中入退所情報!$P25,"-")</f>
        <v>-</v>
      </c>
      <c r="Y75" s="61" t="str">
        <f>IF(月途中入退所情報!$N25=$B$2,月途中入退所情報!$Q25,"-")</f>
        <v>-</v>
      </c>
      <c r="Z75" s="61" t="str">
        <f>IF(月途中入退所情報!$N25=$B$2,月途中入退所情報!$R25,"-")</f>
        <v>-</v>
      </c>
      <c r="AA75" s="61" t="str">
        <f>IF(月途中入退所情報!$N25=$B$2,月途中入退所情報!$S25,"-")</f>
        <v>-</v>
      </c>
      <c r="AB75" s="61" t="str">
        <f>IF(月途中入退所情報!$N25=$B$2,月途中入退所情報!$T25,"-")</f>
        <v>-</v>
      </c>
      <c r="AC75" s="84">
        <f>IF($Z75="標準時間",HLOOKUP($Y75,$F$5:$I$27,23,FALSE)-SUM($F$10,$F$21:$F$24,$F$26)-HLOOKUP($Y75,$F$5:$I$27,16,FALSE)+HLOOKUP($Y75,$F$5:$I$29,25,FALSE),IF($Z75="短時間",HLOOKUP($Y75,$J$5:$M$27,23,FALSE)-SUM($F$10,$F$21:$F$24,$F$26)-HLOOKUP($Y75,$J$5:$M$27,16,FALSE)+HLOOKUP($Y75,$J$5:$M$29,25,FALSE),0))+IF(AA75="○",加算と減算!$AH$3,0)</f>
        <v>0</v>
      </c>
      <c r="AD75" s="85">
        <f t="shared" si="85"/>
        <v>0</v>
      </c>
      <c r="AE75" s="262">
        <f t="shared" si="86"/>
        <v>0</v>
      </c>
    </row>
    <row r="76" spans="2:31">
      <c r="O76" s="61" t="str">
        <f>IF(月途中入退所情報!$D26=$B$2,月途中入退所情報!$F26,"-")</f>
        <v>-</v>
      </c>
      <c r="P76" s="61" t="str">
        <f>IF(月途中入退所情報!$D26=$B$2,月途中入退所情報!$G26,"-")</f>
        <v>-</v>
      </c>
      <c r="Q76" s="61" t="str">
        <f>IF(月途中入退所情報!$D26=$B$2,月途中入退所情報!$H26,"-")</f>
        <v>-</v>
      </c>
      <c r="R76" s="61" t="str">
        <f>IF(月途中入退所情報!$D26=$B$2,月途中入退所情報!$I26,"-")</f>
        <v>-</v>
      </c>
      <c r="S76" s="61" t="str">
        <f>IF(月途中入退所情報!$D26=$B$2,月途中入退所情報!$J26,"-")</f>
        <v>-</v>
      </c>
      <c r="T76" s="84">
        <f>IF($Q76="標準時間",HLOOKUP($P76,$F$5:$I$27,23,FALSE)-SUM($F$10,$F$21:$F$24,$F$26)-HLOOKUP($P76,$F$5:$I$27,16,FALSE)+HLOOKUP($P76,$F$5:$I$29,25,FALSE),IF($Q76="短時間",HLOOKUP($P76,$J$5:$M$27,23,FALSE)-SUM($F$10,$F$21:$F$24,$F$26)-HLOOKUP($P76,$J$5:$M$27,16,FALSE)+HLOOKUP($P76,$J$5:$M$29,25,FALSE),0))+IF(R76="○",加算と減算!$AH$3,0)</f>
        <v>0</v>
      </c>
      <c r="U76" s="85">
        <f t="shared" si="83"/>
        <v>0</v>
      </c>
      <c r="V76" s="262">
        <f t="shared" si="84"/>
        <v>0</v>
      </c>
      <c r="W76" s="262"/>
      <c r="X76" s="61" t="str">
        <f>IF(月途中入退所情報!$N26=$B$2,月途中入退所情報!$P26,"-")</f>
        <v>-</v>
      </c>
      <c r="Y76" s="61" t="str">
        <f>IF(月途中入退所情報!$N26=$B$2,月途中入退所情報!$Q26,"-")</f>
        <v>-</v>
      </c>
      <c r="Z76" s="61" t="str">
        <f>IF(月途中入退所情報!$N26=$B$2,月途中入退所情報!$R26,"-")</f>
        <v>-</v>
      </c>
      <c r="AA76" s="61" t="str">
        <f>IF(月途中入退所情報!$N26=$B$2,月途中入退所情報!$S26,"-")</f>
        <v>-</v>
      </c>
      <c r="AB76" s="61" t="str">
        <f>IF(月途中入退所情報!$N26=$B$2,月途中入退所情報!$T26,"-")</f>
        <v>-</v>
      </c>
      <c r="AC76" s="84">
        <f>IF($Z76="標準時間",HLOOKUP($Y76,$F$5:$I$27,23,FALSE)-SUM($F$10,$F$21:$F$24,$F$26)-HLOOKUP($Y76,$F$5:$I$27,16,FALSE)+HLOOKUP($Y76,$F$5:$I$29,25,FALSE),IF($Z76="短時間",HLOOKUP($Y76,$J$5:$M$27,23,FALSE)-SUM($F$10,$F$21:$F$24,$F$26)-HLOOKUP($Y76,$J$5:$M$27,16,FALSE)+HLOOKUP($Y76,$J$5:$M$29,25,FALSE),0))+IF(AA76="○",加算と減算!$AH$3,0)</f>
        <v>0</v>
      </c>
      <c r="AD76" s="85">
        <f t="shared" si="85"/>
        <v>0</v>
      </c>
      <c r="AE76" s="262">
        <f t="shared" si="86"/>
        <v>0</v>
      </c>
    </row>
    <row r="77" spans="2:31">
      <c r="O77" s="61" t="str">
        <f>IF(月途中入退所情報!$D27=$B$2,月途中入退所情報!$F27,"-")</f>
        <v>-</v>
      </c>
      <c r="P77" s="61" t="str">
        <f>IF(月途中入退所情報!$D27=$B$2,月途中入退所情報!$G27,"-")</f>
        <v>-</v>
      </c>
      <c r="Q77" s="61" t="str">
        <f>IF(月途中入退所情報!$D27=$B$2,月途中入退所情報!$H27,"-")</f>
        <v>-</v>
      </c>
      <c r="R77" s="61" t="str">
        <f>IF(月途中入退所情報!$D27=$B$2,月途中入退所情報!$I27,"-")</f>
        <v>-</v>
      </c>
      <c r="S77" s="61" t="str">
        <f>IF(月途中入退所情報!$D27=$B$2,月途中入退所情報!$J27,"-")</f>
        <v>-</v>
      </c>
      <c r="T77" s="84">
        <f>IF($Q77="標準時間",HLOOKUP($P77,$F$5:$I$27,23,FALSE)-SUM($F$10,$F$21:$F$24,$F$26)-HLOOKUP($P77,$F$5:$I$27,16,FALSE)+HLOOKUP($P77,$F$5:$I$29,25,FALSE),IF($Q77="短時間",HLOOKUP($P77,$J$5:$M$27,23,FALSE)-SUM($F$10,$F$21:$F$24,$F$26)-HLOOKUP($P77,$J$5:$M$27,16,FALSE)+HLOOKUP($P77,$J$5:$M$29,25,FALSE),0))+IF(R77="○",加算と減算!$AH$3,0)</f>
        <v>0</v>
      </c>
      <c r="U77" s="85">
        <f t="shared" si="83"/>
        <v>0</v>
      </c>
      <c r="V77" s="262">
        <f t="shared" si="84"/>
        <v>0</v>
      </c>
      <c r="W77" s="262"/>
      <c r="X77" s="61" t="str">
        <f>IF(月途中入退所情報!$N27=$B$2,月途中入退所情報!$P27,"-")</f>
        <v>-</v>
      </c>
      <c r="Y77" s="61" t="str">
        <f>IF(月途中入退所情報!$N27=$B$2,月途中入退所情報!$Q27,"-")</f>
        <v>-</v>
      </c>
      <c r="Z77" s="61" t="str">
        <f>IF(月途中入退所情報!$N27=$B$2,月途中入退所情報!$R27,"-")</f>
        <v>-</v>
      </c>
      <c r="AA77" s="61" t="str">
        <f>IF(月途中入退所情報!$N27=$B$2,月途中入退所情報!$S27,"-")</f>
        <v>-</v>
      </c>
      <c r="AB77" s="61" t="str">
        <f>IF(月途中入退所情報!$N27=$B$2,月途中入退所情報!$T27,"-")</f>
        <v>-</v>
      </c>
      <c r="AC77" s="84">
        <f>IF($Z77="標準時間",HLOOKUP($Y77,$F$5:$I$27,23,FALSE)-SUM($F$10,$F$21:$F$24,$F$26)-HLOOKUP($Y77,$F$5:$I$27,16,FALSE)+HLOOKUP($Y77,$F$5:$I$29,25,FALSE),IF($Z77="短時間",HLOOKUP($Y77,$J$5:$M$27,23,FALSE)-SUM($F$10,$F$21:$F$24,$F$26)-HLOOKUP($Y77,$J$5:$M$27,16,FALSE)+HLOOKUP($Y77,$J$5:$M$29,25,FALSE),0))+IF(AA77="○",加算と減算!$AH$3,0)</f>
        <v>0</v>
      </c>
      <c r="AD77" s="85">
        <f t="shared" si="85"/>
        <v>0</v>
      </c>
      <c r="AE77" s="262">
        <f t="shared" si="86"/>
        <v>0</v>
      </c>
    </row>
    <row r="78" spans="2:31">
      <c r="T78" s="86" t="s">
        <v>217</v>
      </c>
      <c r="U78" s="85">
        <f>SUM(U58:U77)</f>
        <v>0</v>
      </c>
      <c r="V78" s="262">
        <f>SUM(V58:V77)</f>
        <v>0</v>
      </c>
      <c r="W78" s="262"/>
      <c r="AC78" s="86" t="s">
        <v>217</v>
      </c>
      <c r="AD78" s="85">
        <f>SUM(AD58:AD77)</f>
        <v>0</v>
      </c>
      <c r="AE78" s="264">
        <f>SUM(AE58:AE77)</f>
        <v>0</v>
      </c>
    </row>
    <row r="79" spans="2:31">
      <c r="O79" s="1430" t="s">
        <v>430</v>
      </c>
      <c r="P79" s="1430"/>
      <c r="X79" s="385" t="s">
        <v>431</v>
      </c>
      <c r="Y79" s="385"/>
    </row>
    <row r="80" spans="2:31">
      <c r="O80" s="83" t="s">
        <v>429</v>
      </c>
      <c r="P80" s="83" t="s">
        <v>206</v>
      </c>
      <c r="Q80" s="83" t="s">
        <v>207</v>
      </c>
      <c r="R80" s="83" t="s">
        <v>448</v>
      </c>
      <c r="S80" s="83" t="s">
        <v>214</v>
      </c>
      <c r="T80" s="83" t="s">
        <v>215</v>
      </c>
      <c r="U80" s="83" t="s">
        <v>216</v>
      </c>
      <c r="V80" s="282" t="s">
        <v>455</v>
      </c>
      <c r="W80" s="261"/>
      <c r="X80" s="83" t="s">
        <v>429</v>
      </c>
      <c r="Y80" s="83" t="s">
        <v>206</v>
      </c>
      <c r="Z80" s="83" t="s">
        <v>207</v>
      </c>
      <c r="AA80" s="83" t="s">
        <v>448</v>
      </c>
      <c r="AB80" s="83" t="s">
        <v>218</v>
      </c>
      <c r="AC80" s="83" t="s">
        <v>215</v>
      </c>
      <c r="AD80" s="280" t="s">
        <v>453</v>
      </c>
      <c r="AE80" s="282" t="s">
        <v>455</v>
      </c>
    </row>
    <row r="81" spans="15:31">
      <c r="O81" s="61" t="str">
        <f>IF(月途中入退所情報!$D31=$B$2,月途中入退所情報!$F31,"-")</f>
        <v>-</v>
      </c>
      <c r="P81" s="61" t="str">
        <f>IF(月途中入退所情報!$D31=$B$2,月途中入退所情報!$G31,"-")</f>
        <v>-</v>
      </c>
      <c r="Q81" s="61" t="str">
        <f>IF(月途中入退所情報!$D31=$B$2,月途中入退所情報!$H31,"-")</f>
        <v>-</v>
      </c>
      <c r="R81" s="61" t="str">
        <f>IF(月途中入退所情報!$D31=$B$2,月途中入退所情報!$I31,"-")</f>
        <v>-</v>
      </c>
      <c r="S81" s="61" t="str">
        <f>IF(月途中入退所情報!$D31=$B$2,月途中入退所情報!$J31,"-")</f>
        <v>-</v>
      </c>
      <c r="T81" s="84">
        <f>IF($Q81="標準時間",HLOOKUP($P81,$F$31:$I$54,24,FALSE)-SUM($F$10,$F$21:$F$24,$F$26)-HLOOKUP($P81,$F$31:$I$54,17,FALSE)+HLOOKUP($P81,$F$31:$I$56,26,FALSE),IF($Q81="短時間",HLOOKUP($P81,$J$31:$M$54,24,FALSE)-SUM($F$10,$F$21:$F$24,$F$26)-HLOOKUP($P81,$J$31:$M$54,17,FALSE)+HLOOKUP($P81,$J$31:$M$56,26,FALSE),0))+IF(R81="○",加算と減算!$AH$3,0)</f>
        <v>0</v>
      </c>
      <c r="U81" s="85">
        <f>IFERROR(ROUNDDOWN(T81*S81/25,-1),0)</f>
        <v>0</v>
      </c>
      <c r="V81" s="262">
        <f>IFERROR(ROUNDDOWN(IF($Q81="標準時間",HLOOKUP($P81,$F$31:$I$55,25,FALSE),IF($Q81="短時間",HLOOKUP($P81,$J$31:$M$55,25,FALSE),0))*S81/25,-1),0)</f>
        <v>0</v>
      </c>
      <c r="W81" s="262"/>
      <c r="X81" s="61" t="str">
        <f>IF(月途中入退所情報!$N31=$B$2,月途中入退所情報!$P31,"-")</f>
        <v>-</v>
      </c>
      <c r="Y81" s="61" t="str">
        <f>IF(月途中入退所情報!$N31=$B$2,月途中入退所情報!$Q31,"-")</f>
        <v>-</v>
      </c>
      <c r="Z81" s="61" t="str">
        <f>IF(月途中入退所情報!$N31=$B$2,月途中入退所情報!$R31,"-")</f>
        <v>-</v>
      </c>
      <c r="AA81" s="61" t="str">
        <f>IF(月途中入退所情報!$N31=$B$2,月途中入退所情報!$S31,"-")</f>
        <v>-</v>
      </c>
      <c r="AB81" s="61" t="str">
        <f>IF(月途中入退所情報!$N31=$B$2,月途中入退所情報!$T31,"-")</f>
        <v>-</v>
      </c>
      <c r="AC81" s="84">
        <f>IF($Z81="標準時間",HLOOKUP($Y81,$F$31:$I$54,24,FALSE)-SUM($F$10,$F$21:$F$24,$F$26)-HLOOKUP($Y81,$F$31:$I$54,17,FALSE)+HLOOKUP($Y81,$F$31:$I$56,26,FALSE),IF($Z81="短時間",HLOOKUP($Y81,$J$31:$M$54,24,FALSE)-SUM($F$10,$F$21:$F$24,$F$26)-HLOOKUP($Y81,$J$31:$M$54,17,FALSE)+HLOOKUP($Y81,$J$31:$M$56,26,FALSE),0))+IF(AA81="○",加算と減算!$AH$3,0)</f>
        <v>0</v>
      </c>
      <c r="AD81" s="85">
        <f>IFERROR(-ROUNDUP(AC81*AB81/25,-1),0)</f>
        <v>0</v>
      </c>
      <c r="AE81" s="262">
        <f>IFERROR(-ROUNDUP(IF($Z81="標準時間",HLOOKUP($Y81,$F$31:$I$55,25,FALSE),IF($Z81="短時間",HLOOKUP($Y81,$J$31:$M$55,25,FALSE),0))*AB81/25,-1),0)</f>
        <v>0</v>
      </c>
    </row>
    <row r="82" spans="15:31">
      <c r="O82" s="61" t="str">
        <f>IF(月途中入退所情報!$D32=$B$2,月途中入退所情報!$F32,"-")</f>
        <v>-</v>
      </c>
      <c r="P82" s="61" t="str">
        <f>IF(月途中入退所情報!$D32=$B$2,月途中入退所情報!$G32,"-")</f>
        <v>-</v>
      </c>
      <c r="Q82" s="61" t="str">
        <f>IF(月途中入退所情報!$D32=$B$2,月途中入退所情報!$H32,"-")</f>
        <v>-</v>
      </c>
      <c r="R82" s="61" t="str">
        <f>IF(月途中入退所情報!$D32=$B$2,月途中入退所情報!$I32,"-")</f>
        <v>-</v>
      </c>
      <c r="S82" s="61" t="str">
        <f>IF(月途中入退所情報!$D32=$B$2,月途中入退所情報!$J32,"-")</f>
        <v>-</v>
      </c>
      <c r="T82" s="84">
        <f>IF($Q82="標準時間",HLOOKUP($P82,$F$31:$I$54,24,FALSE)-SUM($F$10,$F$21:$F$24,$F$26)-HLOOKUP($P82,$F$31:$I$54,17,FALSE)+HLOOKUP($P82,$F$31:$I$56,26,FALSE),IF($Q82="短時間",HLOOKUP($P82,$J$31:$M$54,24,FALSE)-SUM($F$10,$F$21:$F$24,$F$26)-HLOOKUP($P82,$J$31:$M$54,17,FALSE)+HLOOKUP($P82,$J$31:$M$56,26,FALSE),0))+IF(R82="○",加算と減算!$AH$3,0)</f>
        <v>0</v>
      </c>
      <c r="U82" s="85">
        <f t="shared" ref="U82:U100" si="92">IFERROR(ROUNDDOWN(T82*S82/25,-1),0)</f>
        <v>0</v>
      </c>
      <c r="V82" s="262">
        <f t="shared" ref="V82:V100" si="93">IFERROR(ROUNDDOWN(IF($Q82="標準時間",HLOOKUP($P82,$F$31:$I$55,25,FALSE),IF($Q82="短時間",HLOOKUP($P82,$J$31:$M$55,25,FALSE),0))*S82/25,-1),0)</f>
        <v>0</v>
      </c>
      <c r="W82" s="262"/>
      <c r="X82" s="61" t="str">
        <f>IF(月途中入退所情報!$N32=$B$2,月途中入退所情報!$P32,"-")</f>
        <v>-</v>
      </c>
      <c r="Y82" s="61" t="str">
        <f>IF(月途中入退所情報!$N32=$B$2,月途中入退所情報!$Q32,"-")</f>
        <v>-</v>
      </c>
      <c r="Z82" s="61" t="str">
        <f>IF(月途中入退所情報!$N32=$B$2,月途中入退所情報!$R32,"-")</f>
        <v>-</v>
      </c>
      <c r="AA82" s="61" t="str">
        <f>IF(月途中入退所情報!$N32=$B$2,月途中入退所情報!$S32,"-")</f>
        <v>-</v>
      </c>
      <c r="AB82" s="61" t="str">
        <f>IF(月途中入退所情報!$N32=$B$2,月途中入退所情報!$T32,"-")</f>
        <v>-</v>
      </c>
      <c r="AC82" s="84">
        <f>IF($Z82="標準時間",HLOOKUP($Y82,$F$31:$I$54,24,FALSE)-SUM($F$10,$F$21:$F$24,$F$26)-HLOOKUP($Y82,$F$31:$I$54,17,FALSE)+HLOOKUP($Y82,$F$31:$I$56,26,FALSE),IF($Z82="短時間",HLOOKUP($Y82,$J$31:$M$54,24,FALSE)-SUM($F$10,$F$21:$F$24,$F$26)-HLOOKUP($Y82,$J$31:$M$54,17,FALSE)+HLOOKUP($Y82,$J$31:$M$56,26,FALSE),0))+IF(AA82="○",加算と減算!$AH$3,0)</f>
        <v>0</v>
      </c>
      <c r="AD82" s="85">
        <f t="shared" ref="AD82:AD100" si="94">IFERROR(-ROUNDUP(AC82*AB82/25,-1),0)</f>
        <v>0</v>
      </c>
      <c r="AE82" s="262">
        <f t="shared" ref="AE82:AE100" si="95">IFERROR(-ROUNDUP(IF($Z82="標準時間",HLOOKUP($Y82,$F$31:$I$55,25,FALSE),IF($Z82="短時間",HLOOKUP($Y82,$J$31:$M$55,25,FALSE),0))*AB82/25,-1),0)</f>
        <v>0</v>
      </c>
    </row>
    <row r="83" spans="15:31">
      <c r="O83" s="61" t="str">
        <f>IF(月途中入退所情報!$D33=$B$2,月途中入退所情報!$F33,"-")</f>
        <v>-</v>
      </c>
      <c r="P83" s="61" t="str">
        <f>IF(月途中入退所情報!$D33=$B$2,月途中入退所情報!$G33,"-")</f>
        <v>-</v>
      </c>
      <c r="Q83" s="61" t="str">
        <f>IF(月途中入退所情報!$D33=$B$2,月途中入退所情報!$H33,"-")</f>
        <v>-</v>
      </c>
      <c r="R83" s="61" t="str">
        <f>IF(月途中入退所情報!$D33=$B$2,月途中入退所情報!$I33,"-")</f>
        <v>-</v>
      </c>
      <c r="S83" s="61" t="str">
        <f>IF(月途中入退所情報!$D33=$B$2,月途中入退所情報!$J33,"-")</f>
        <v>-</v>
      </c>
      <c r="T83" s="84">
        <f>IF($Q83="標準時間",HLOOKUP($P83,$F$31:$I$54,24,FALSE)-SUM($F$10,$F$21:$F$24,$F$26)-HLOOKUP($P83,$F$31:$I$54,17,FALSE)+HLOOKUP($P83,$F$31:$I$56,26,FALSE),IF($Q83="短時間",HLOOKUP($P83,$J$31:$M$54,24,FALSE)-SUM($F$10,$F$21:$F$24,$F$26)-HLOOKUP($P83,$J$31:$M$54,17,FALSE)+HLOOKUP($P83,$J$31:$M$56,26,FALSE),0))+IF(R83="○",加算と減算!$AH$3,0)</f>
        <v>0</v>
      </c>
      <c r="U83" s="85">
        <f t="shared" si="92"/>
        <v>0</v>
      </c>
      <c r="V83" s="262">
        <f t="shared" si="93"/>
        <v>0</v>
      </c>
      <c r="W83" s="262"/>
      <c r="X83" s="61" t="str">
        <f>IF(月途中入退所情報!$N33=$B$2,月途中入退所情報!$P33,"-")</f>
        <v>-</v>
      </c>
      <c r="Y83" s="61" t="str">
        <f>IF(月途中入退所情報!$N33=$B$2,月途中入退所情報!$Q33,"-")</f>
        <v>-</v>
      </c>
      <c r="Z83" s="61" t="str">
        <f>IF(月途中入退所情報!$N33=$B$2,月途中入退所情報!$R33,"-")</f>
        <v>-</v>
      </c>
      <c r="AA83" s="61" t="str">
        <f>IF(月途中入退所情報!$N33=$B$2,月途中入退所情報!$S33,"-")</f>
        <v>-</v>
      </c>
      <c r="AB83" s="61" t="str">
        <f>IF(月途中入退所情報!$N33=$B$2,月途中入退所情報!$T33,"-")</f>
        <v>-</v>
      </c>
      <c r="AC83" s="84">
        <f>IF($Z83="標準時間",HLOOKUP($Y83,$F$31:$I$54,24,FALSE)-SUM($F$10,$F$21:$F$24,$F$26)-HLOOKUP($Y83,$F$31:$I$54,17,FALSE)+HLOOKUP($Y83,$F$31:$I$56,26,FALSE),IF($Z83="短時間",HLOOKUP($Y83,$J$31:$M$54,24,FALSE)-SUM($F$10,$F$21:$F$24,$F$26)-HLOOKUP($Y83,$J$31:$M$54,17,FALSE)+HLOOKUP($Y83,$J$31:$M$56,26,FALSE),0))+IF(AA83="○",加算と減算!$AH$3,0)</f>
        <v>0</v>
      </c>
      <c r="AD83" s="85">
        <f t="shared" si="94"/>
        <v>0</v>
      </c>
      <c r="AE83" s="262">
        <f t="shared" si="95"/>
        <v>0</v>
      </c>
    </row>
    <row r="84" spans="15:31">
      <c r="O84" s="61" t="str">
        <f>IF(月途中入退所情報!$D34=$B$2,月途中入退所情報!$F34,"-")</f>
        <v>-</v>
      </c>
      <c r="P84" s="61" t="str">
        <f>IF(月途中入退所情報!$D34=$B$2,月途中入退所情報!$G34,"-")</f>
        <v>-</v>
      </c>
      <c r="Q84" s="61" t="str">
        <f>IF(月途中入退所情報!$D34=$B$2,月途中入退所情報!$H34,"-")</f>
        <v>-</v>
      </c>
      <c r="R84" s="61" t="str">
        <f>IF(月途中入退所情報!$D34=$B$2,月途中入退所情報!$I34,"-")</f>
        <v>-</v>
      </c>
      <c r="S84" s="61" t="str">
        <f>IF(月途中入退所情報!$D34=$B$2,月途中入退所情報!$J34,"-")</f>
        <v>-</v>
      </c>
      <c r="T84" s="84">
        <f>IF($Q84="標準時間",HLOOKUP($P84,$F$31:$I$54,24,FALSE)-SUM($F$10,$F$21:$F$24,$F$26)-HLOOKUP($P84,$F$31:$I$54,17,FALSE)+HLOOKUP($P84,$F$31:$I$56,26,FALSE),IF($Q84="短時間",HLOOKUP($P84,$J$31:$M$54,24,FALSE)-SUM($F$10,$F$21:$F$24,$F$26)-HLOOKUP($P84,$J$31:$M$54,17,FALSE)+HLOOKUP($P84,$J$31:$M$56,26,FALSE),0))+IF(R84="○",加算と減算!$AH$3,0)</f>
        <v>0</v>
      </c>
      <c r="U84" s="85">
        <f t="shared" si="92"/>
        <v>0</v>
      </c>
      <c r="V84" s="262">
        <f t="shared" si="93"/>
        <v>0</v>
      </c>
      <c r="W84" s="262"/>
      <c r="X84" s="61" t="str">
        <f>IF(月途中入退所情報!$N34=$B$2,月途中入退所情報!$P34,"-")</f>
        <v>-</v>
      </c>
      <c r="Y84" s="61" t="str">
        <f>IF(月途中入退所情報!$N34=$B$2,月途中入退所情報!$Q34,"-")</f>
        <v>-</v>
      </c>
      <c r="Z84" s="61" t="str">
        <f>IF(月途中入退所情報!$N34=$B$2,月途中入退所情報!$R34,"-")</f>
        <v>-</v>
      </c>
      <c r="AA84" s="61" t="str">
        <f>IF(月途中入退所情報!$N34=$B$2,月途中入退所情報!$S34,"-")</f>
        <v>-</v>
      </c>
      <c r="AB84" s="61" t="str">
        <f>IF(月途中入退所情報!$N34=$B$2,月途中入退所情報!$T34,"-")</f>
        <v>-</v>
      </c>
      <c r="AC84" s="84">
        <f>IF($Z84="標準時間",HLOOKUP($Y84,$F$31:$I$54,24,FALSE)-SUM($F$10,$F$21:$F$24,$F$26)-HLOOKUP($Y84,$F$31:$I$54,17,FALSE)+HLOOKUP($Y84,$F$31:$I$56,26,FALSE),IF($Z84="短時間",HLOOKUP($Y84,$J$31:$M$54,24,FALSE)-SUM($F$10,$F$21:$F$24,$F$26)-HLOOKUP($Y84,$J$31:$M$54,17,FALSE)+HLOOKUP($Y84,$J$31:$M$56,26,FALSE),0))+IF(AA84="○",加算と減算!$AH$3,0)</f>
        <v>0</v>
      </c>
      <c r="AD84" s="85">
        <f t="shared" si="94"/>
        <v>0</v>
      </c>
      <c r="AE84" s="262">
        <f t="shared" si="95"/>
        <v>0</v>
      </c>
    </row>
    <row r="85" spans="15:31">
      <c r="O85" s="61" t="str">
        <f>IF(月途中入退所情報!$D35=$B$2,月途中入退所情報!$F35,"-")</f>
        <v>-</v>
      </c>
      <c r="P85" s="61" t="str">
        <f>IF(月途中入退所情報!$D35=$B$2,月途中入退所情報!$G35,"-")</f>
        <v>-</v>
      </c>
      <c r="Q85" s="61" t="str">
        <f>IF(月途中入退所情報!$D35=$B$2,月途中入退所情報!$H35,"-")</f>
        <v>-</v>
      </c>
      <c r="R85" s="61" t="str">
        <f>IF(月途中入退所情報!$D35=$B$2,月途中入退所情報!$I35,"-")</f>
        <v>-</v>
      </c>
      <c r="S85" s="61" t="str">
        <f>IF(月途中入退所情報!$D35=$B$2,月途中入退所情報!$J35,"-")</f>
        <v>-</v>
      </c>
      <c r="T85" s="84">
        <f>IF($Q85="標準時間",HLOOKUP($P85,$F$31:$I$54,24,FALSE)-SUM($F$10,$F$21:$F$24,$F$26)-HLOOKUP($P85,$F$31:$I$54,17,FALSE)+HLOOKUP($P85,$F$31:$I$56,26,FALSE),IF($Q85="短時間",HLOOKUP($P85,$J$31:$M$54,24,FALSE)-SUM($F$10,$F$21:$F$24,$F$26)-HLOOKUP($P85,$J$31:$M$54,17,FALSE)+HLOOKUP($P85,$J$31:$M$56,26,FALSE),0))+IF(R85="○",加算と減算!$AH$3,0)</f>
        <v>0</v>
      </c>
      <c r="U85" s="85">
        <f t="shared" si="92"/>
        <v>0</v>
      </c>
      <c r="V85" s="262">
        <f t="shared" si="93"/>
        <v>0</v>
      </c>
      <c r="W85" s="262"/>
      <c r="X85" s="61" t="str">
        <f>IF(月途中入退所情報!$N35=$B$2,月途中入退所情報!$P35,"-")</f>
        <v>-</v>
      </c>
      <c r="Y85" s="61" t="str">
        <f>IF(月途中入退所情報!$N35=$B$2,月途中入退所情報!$Q35,"-")</f>
        <v>-</v>
      </c>
      <c r="Z85" s="61" t="str">
        <f>IF(月途中入退所情報!$N35=$B$2,月途中入退所情報!$R35,"-")</f>
        <v>-</v>
      </c>
      <c r="AA85" s="61" t="str">
        <f>IF(月途中入退所情報!$N35=$B$2,月途中入退所情報!$S35,"-")</f>
        <v>-</v>
      </c>
      <c r="AB85" s="61" t="str">
        <f>IF(月途中入退所情報!$N35=$B$2,月途中入退所情報!$T35,"-")</f>
        <v>-</v>
      </c>
      <c r="AC85" s="84">
        <f>IF($Z85="標準時間",HLOOKUP($Y85,$F$31:$I$54,24,FALSE)-SUM($F$10,$F$21:$F$24,$F$26)-HLOOKUP($Y85,$F$31:$I$54,17,FALSE)+HLOOKUP($Y85,$F$31:$I$56,26,FALSE),IF($Z85="短時間",HLOOKUP($Y85,$J$31:$M$54,24,FALSE)-SUM($F$10,$F$21:$F$24,$F$26)-HLOOKUP($Y85,$J$31:$M$54,17,FALSE)+HLOOKUP($Y85,$J$31:$M$56,26,FALSE),0))+IF(AA85="○",加算と減算!$AH$3,0)</f>
        <v>0</v>
      </c>
      <c r="AD85" s="85">
        <f t="shared" si="94"/>
        <v>0</v>
      </c>
      <c r="AE85" s="262">
        <f t="shared" si="95"/>
        <v>0</v>
      </c>
    </row>
    <row r="86" spans="15:31">
      <c r="O86" s="61" t="str">
        <f>IF(月途中入退所情報!$D36=$B$2,月途中入退所情報!$F36,"-")</f>
        <v>-</v>
      </c>
      <c r="P86" s="61" t="str">
        <f>IF(月途中入退所情報!$D36=$B$2,月途中入退所情報!$G36,"-")</f>
        <v>-</v>
      </c>
      <c r="Q86" s="61" t="str">
        <f>IF(月途中入退所情報!$D36=$B$2,月途中入退所情報!$H36,"-")</f>
        <v>-</v>
      </c>
      <c r="R86" s="61" t="str">
        <f>IF(月途中入退所情報!$D36=$B$2,月途中入退所情報!$I36,"-")</f>
        <v>-</v>
      </c>
      <c r="S86" s="61" t="str">
        <f>IF(月途中入退所情報!$D36=$B$2,月途中入退所情報!$J36,"-")</f>
        <v>-</v>
      </c>
      <c r="T86" s="84">
        <f>IF($Q86="標準時間",HLOOKUP($P86,$F$31:$I$54,24,FALSE)-SUM($F$10,$F$21:$F$24,$F$26)-HLOOKUP($P86,$F$31:$I$54,17,FALSE)+HLOOKUP($P86,$F$31:$I$56,26,FALSE),IF($Q86="短時間",HLOOKUP($P86,$J$31:$M$54,24,FALSE)-SUM($F$10,$F$21:$F$24,$F$26)-HLOOKUP($P86,$J$31:$M$54,17,FALSE)+HLOOKUP($P86,$J$31:$M$56,26,FALSE),0))+IF(R86="○",加算と減算!$AH$3,0)</f>
        <v>0</v>
      </c>
      <c r="U86" s="85">
        <f t="shared" si="92"/>
        <v>0</v>
      </c>
      <c r="V86" s="262">
        <f t="shared" si="93"/>
        <v>0</v>
      </c>
      <c r="W86" s="262"/>
      <c r="X86" s="61" t="str">
        <f>IF(月途中入退所情報!$N36=$B$2,月途中入退所情報!$P36,"-")</f>
        <v>-</v>
      </c>
      <c r="Y86" s="61" t="str">
        <f>IF(月途中入退所情報!$N36=$B$2,月途中入退所情報!$Q36,"-")</f>
        <v>-</v>
      </c>
      <c r="Z86" s="61" t="str">
        <f>IF(月途中入退所情報!$N36=$B$2,月途中入退所情報!$R36,"-")</f>
        <v>-</v>
      </c>
      <c r="AA86" s="61" t="str">
        <f>IF(月途中入退所情報!$N36=$B$2,月途中入退所情報!$S36,"-")</f>
        <v>-</v>
      </c>
      <c r="AB86" s="61" t="str">
        <f>IF(月途中入退所情報!$N36=$B$2,月途中入退所情報!$T36,"-")</f>
        <v>-</v>
      </c>
      <c r="AC86" s="84">
        <f>IF($Z86="標準時間",HLOOKUP($Y86,$F$31:$I$54,24,FALSE)-SUM($F$10,$F$21:$F$24,$F$26)-HLOOKUP($Y86,$F$31:$I$54,17,FALSE)+HLOOKUP($Y86,$F$31:$I$56,26,FALSE),IF($Z86="短時間",HLOOKUP($Y86,$J$31:$M$54,24,FALSE)-SUM($F$10,$F$21:$F$24,$F$26)-HLOOKUP($Y86,$J$31:$M$54,17,FALSE)+HLOOKUP($Y86,$J$31:$M$56,26,FALSE),0))+IF(AA86="○",加算と減算!$AH$3,0)</f>
        <v>0</v>
      </c>
      <c r="AD86" s="85">
        <f t="shared" si="94"/>
        <v>0</v>
      </c>
      <c r="AE86" s="262">
        <f t="shared" si="95"/>
        <v>0</v>
      </c>
    </row>
    <row r="87" spans="15:31">
      <c r="O87" s="61" t="str">
        <f>IF(月途中入退所情報!$D37=$B$2,月途中入退所情報!$F37,"-")</f>
        <v>-</v>
      </c>
      <c r="P87" s="61" t="str">
        <f>IF(月途中入退所情報!$D37=$B$2,月途中入退所情報!$G37,"-")</f>
        <v>-</v>
      </c>
      <c r="Q87" s="61" t="str">
        <f>IF(月途中入退所情報!$D37=$B$2,月途中入退所情報!$H37,"-")</f>
        <v>-</v>
      </c>
      <c r="R87" s="61" t="str">
        <f>IF(月途中入退所情報!$D37=$B$2,月途中入退所情報!$I37,"-")</f>
        <v>-</v>
      </c>
      <c r="S87" s="61" t="str">
        <f>IF(月途中入退所情報!$D37=$B$2,月途中入退所情報!$J37,"-")</f>
        <v>-</v>
      </c>
      <c r="T87" s="84">
        <f>IF($Q87="標準時間",HLOOKUP($P87,$F$31:$I$54,24,FALSE)-SUM($F$10,$F$21:$F$24,$F$26)-HLOOKUP($P87,$F$31:$I$54,17,FALSE)+HLOOKUP($P87,$F$31:$I$56,26,FALSE),IF($Q87="短時間",HLOOKUP($P87,$J$31:$M$54,24,FALSE)-SUM($F$10,$F$21:$F$24,$F$26)-HLOOKUP($P87,$J$31:$M$54,17,FALSE)+HLOOKUP($P87,$J$31:$M$56,26,FALSE),0))+IF(R87="○",加算と減算!$AH$3,0)</f>
        <v>0</v>
      </c>
      <c r="U87" s="85">
        <f t="shared" si="92"/>
        <v>0</v>
      </c>
      <c r="V87" s="262">
        <f t="shared" si="93"/>
        <v>0</v>
      </c>
      <c r="W87" s="262"/>
      <c r="X87" s="61" t="str">
        <f>IF(月途中入退所情報!$N37=$B$2,月途中入退所情報!$P37,"-")</f>
        <v>-</v>
      </c>
      <c r="Y87" s="61" t="str">
        <f>IF(月途中入退所情報!$N37=$B$2,月途中入退所情報!$Q37,"-")</f>
        <v>-</v>
      </c>
      <c r="Z87" s="61" t="str">
        <f>IF(月途中入退所情報!$N37=$B$2,月途中入退所情報!$R37,"-")</f>
        <v>-</v>
      </c>
      <c r="AA87" s="61" t="str">
        <f>IF(月途中入退所情報!$N37=$B$2,月途中入退所情報!$S37,"-")</f>
        <v>-</v>
      </c>
      <c r="AB87" s="61" t="str">
        <f>IF(月途中入退所情報!$N37=$B$2,月途中入退所情報!$T37,"-")</f>
        <v>-</v>
      </c>
      <c r="AC87" s="84">
        <f>IF($Z87="標準時間",HLOOKUP($Y87,$F$31:$I$54,24,FALSE)-SUM($F$10,$F$21:$F$24,$F$26)-HLOOKUP($Y87,$F$31:$I$54,17,FALSE)+HLOOKUP($Y87,$F$31:$I$56,26,FALSE),IF($Z87="短時間",HLOOKUP($Y87,$J$31:$M$54,24,FALSE)-SUM($F$10,$F$21:$F$24,$F$26)-HLOOKUP($Y87,$J$31:$M$54,17,FALSE)+HLOOKUP($Y87,$J$31:$M$56,26,FALSE),0))+IF(AA87="○",加算と減算!$AH$3,0)</f>
        <v>0</v>
      </c>
      <c r="AD87" s="85">
        <f t="shared" si="94"/>
        <v>0</v>
      </c>
      <c r="AE87" s="262">
        <f t="shared" si="95"/>
        <v>0</v>
      </c>
    </row>
    <row r="88" spans="15:31">
      <c r="O88" s="61" t="str">
        <f>IF(月途中入退所情報!$D38=$B$2,月途中入退所情報!$F38,"-")</f>
        <v>-</v>
      </c>
      <c r="P88" s="61" t="str">
        <f>IF(月途中入退所情報!$D38=$B$2,月途中入退所情報!$G38,"-")</f>
        <v>-</v>
      </c>
      <c r="Q88" s="61" t="str">
        <f>IF(月途中入退所情報!$D38=$B$2,月途中入退所情報!$H38,"-")</f>
        <v>-</v>
      </c>
      <c r="R88" s="61" t="str">
        <f>IF(月途中入退所情報!$D38=$B$2,月途中入退所情報!$I38,"-")</f>
        <v>-</v>
      </c>
      <c r="S88" s="61" t="str">
        <f>IF(月途中入退所情報!$D38=$B$2,月途中入退所情報!$J38,"-")</f>
        <v>-</v>
      </c>
      <c r="T88" s="84">
        <f>IF($Q88="標準時間",HLOOKUP($P88,$F$31:$I$54,24,FALSE)-SUM($F$10,$F$21:$F$24,$F$26)-HLOOKUP($P88,$F$31:$I$54,17,FALSE)+HLOOKUP($P88,$F$31:$I$56,26,FALSE),IF($Q88="短時間",HLOOKUP($P88,$J$31:$M$54,24,FALSE)-SUM($F$10,$F$21:$F$24,$F$26)-HLOOKUP($P88,$J$31:$M$54,17,FALSE)+HLOOKUP($P88,$J$31:$M$56,26,FALSE),0))+IF(R88="○",加算と減算!$AH$3,0)</f>
        <v>0</v>
      </c>
      <c r="U88" s="85">
        <f t="shared" si="92"/>
        <v>0</v>
      </c>
      <c r="V88" s="262">
        <f t="shared" si="93"/>
        <v>0</v>
      </c>
      <c r="W88" s="262"/>
      <c r="X88" s="61" t="str">
        <f>IF(月途中入退所情報!$N38=$B$2,月途中入退所情報!$P38,"-")</f>
        <v>-</v>
      </c>
      <c r="Y88" s="61" t="str">
        <f>IF(月途中入退所情報!$N38=$B$2,月途中入退所情報!$Q38,"-")</f>
        <v>-</v>
      </c>
      <c r="Z88" s="61" t="str">
        <f>IF(月途中入退所情報!$N38=$B$2,月途中入退所情報!$R38,"-")</f>
        <v>-</v>
      </c>
      <c r="AA88" s="61" t="str">
        <f>IF(月途中入退所情報!$N38=$B$2,月途中入退所情報!$S38,"-")</f>
        <v>-</v>
      </c>
      <c r="AB88" s="61" t="str">
        <f>IF(月途中入退所情報!$N38=$B$2,月途中入退所情報!$T38,"-")</f>
        <v>-</v>
      </c>
      <c r="AC88" s="84">
        <f>IF($Z88="標準時間",HLOOKUP($Y88,$F$31:$I$54,24,FALSE)-SUM($F$10,$F$21:$F$24,$F$26)-HLOOKUP($Y88,$F$31:$I$54,17,FALSE)+HLOOKUP($Y88,$F$31:$I$56,26,FALSE),IF($Z88="短時間",HLOOKUP($Y88,$J$31:$M$54,24,FALSE)-SUM($F$10,$F$21:$F$24,$F$26)-HLOOKUP($Y88,$J$31:$M$54,17,FALSE)+HLOOKUP($Y88,$J$31:$M$56,26,FALSE),0))+IF(AA88="○",加算と減算!$AH$3,0)</f>
        <v>0</v>
      </c>
      <c r="AD88" s="85">
        <f t="shared" si="94"/>
        <v>0</v>
      </c>
      <c r="AE88" s="262">
        <f t="shared" si="95"/>
        <v>0</v>
      </c>
    </row>
    <row r="89" spans="15:31">
      <c r="O89" s="61" t="str">
        <f>IF(月途中入退所情報!$D39=$B$2,月途中入退所情報!$F39,"-")</f>
        <v>-</v>
      </c>
      <c r="P89" s="61" t="str">
        <f>IF(月途中入退所情報!$D39=$B$2,月途中入退所情報!$G39,"-")</f>
        <v>-</v>
      </c>
      <c r="Q89" s="61" t="str">
        <f>IF(月途中入退所情報!$D39=$B$2,月途中入退所情報!$H39,"-")</f>
        <v>-</v>
      </c>
      <c r="R89" s="61" t="str">
        <f>IF(月途中入退所情報!$D39=$B$2,月途中入退所情報!$I39,"-")</f>
        <v>-</v>
      </c>
      <c r="S89" s="61" t="str">
        <f>IF(月途中入退所情報!$D39=$B$2,月途中入退所情報!$J39,"-")</f>
        <v>-</v>
      </c>
      <c r="T89" s="84">
        <f>IF($Q89="標準時間",HLOOKUP($P89,$F$31:$I$54,24,FALSE)-SUM($F$10,$F$21:$F$24,$F$26)-HLOOKUP($P89,$F$31:$I$54,17,FALSE)+HLOOKUP($P89,$F$31:$I$56,26,FALSE),IF($Q89="短時間",HLOOKUP($P89,$J$31:$M$54,24,FALSE)-SUM($F$10,$F$21:$F$24,$F$26)-HLOOKUP($P89,$J$31:$M$54,17,FALSE)+HLOOKUP($P89,$J$31:$M$56,26,FALSE),0))+IF(R89="○",加算と減算!$AH$3,0)</f>
        <v>0</v>
      </c>
      <c r="U89" s="85">
        <f t="shared" si="92"/>
        <v>0</v>
      </c>
      <c r="V89" s="262">
        <f t="shared" si="93"/>
        <v>0</v>
      </c>
      <c r="W89" s="262"/>
      <c r="X89" s="61" t="str">
        <f>IF(月途中入退所情報!$N39=$B$2,月途中入退所情報!$P39,"-")</f>
        <v>-</v>
      </c>
      <c r="Y89" s="61" t="str">
        <f>IF(月途中入退所情報!$N39=$B$2,月途中入退所情報!$Q39,"-")</f>
        <v>-</v>
      </c>
      <c r="Z89" s="61" t="str">
        <f>IF(月途中入退所情報!$N39=$B$2,月途中入退所情報!$R39,"-")</f>
        <v>-</v>
      </c>
      <c r="AA89" s="61" t="str">
        <f>IF(月途中入退所情報!$N39=$B$2,月途中入退所情報!$S39,"-")</f>
        <v>-</v>
      </c>
      <c r="AB89" s="61" t="str">
        <f>IF(月途中入退所情報!$N39=$B$2,月途中入退所情報!$T39,"-")</f>
        <v>-</v>
      </c>
      <c r="AC89" s="84">
        <f>IF($Z89="標準時間",HLOOKUP($Y89,$F$31:$I$54,24,FALSE)-SUM($F$10,$F$21:$F$24,$F$26)-HLOOKUP($Y89,$F$31:$I$54,17,FALSE)+HLOOKUP($Y89,$F$31:$I$56,26,FALSE),IF($Z89="短時間",HLOOKUP($Y89,$J$31:$M$54,24,FALSE)-SUM($F$10,$F$21:$F$24,$F$26)-HLOOKUP($Y89,$J$31:$M$54,17,FALSE)+HLOOKUP($Y89,$J$31:$M$56,26,FALSE),0))+IF(AA89="○",加算と減算!$AH$3,0)</f>
        <v>0</v>
      </c>
      <c r="AD89" s="85">
        <f t="shared" si="94"/>
        <v>0</v>
      </c>
      <c r="AE89" s="262">
        <f t="shared" si="95"/>
        <v>0</v>
      </c>
    </row>
    <row r="90" spans="15:31">
      <c r="O90" s="61" t="str">
        <f>IF(月途中入退所情報!$D40=$B$2,月途中入退所情報!$F40,"-")</f>
        <v>-</v>
      </c>
      <c r="P90" s="61" t="str">
        <f>IF(月途中入退所情報!$D40=$B$2,月途中入退所情報!$G40,"-")</f>
        <v>-</v>
      </c>
      <c r="Q90" s="61" t="str">
        <f>IF(月途中入退所情報!$D40=$B$2,月途中入退所情報!$H40,"-")</f>
        <v>-</v>
      </c>
      <c r="R90" s="61" t="str">
        <f>IF(月途中入退所情報!$D40=$B$2,月途中入退所情報!$I40,"-")</f>
        <v>-</v>
      </c>
      <c r="S90" s="61" t="str">
        <f>IF(月途中入退所情報!$D40=$B$2,月途中入退所情報!$J40,"-")</f>
        <v>-</v>
      </c>
      <c r="T90" s="84">
        <f>IF($Q90="標準時間",HLOOKUP($P90,$F$31:$I$54,24,FALSE)-SUM($F$10,$F$21:$F$24,$F$26)-HLOOKUP($P90,$F$31:$I$54,17,FALSE)+HLOOKUP($P90,$F$31:$I$56,26,FALSE),IF($Q90="短時間",HLOOKUP($P90,$J$31:$M$54,24,FALSE)-SUM($F$10,$F$21:$F$24,$F$26)-HLOOKUP($P90,$J$31:$M$54,17,FALSE)+HLOOKUP($P90,$J$31:$M$56,26,FALSE),0))+IF(R90="○",加算と減算!$AH$3,0)</f>
        <v>0</v>
      </c>
      <c r="U90" s="85">
        <f t="shared" si="92"/>
        <v>0</v>
      </c>
      <c r="V90" s="262">
        <f t="shared" si="93"/>
        <v>0</v>
      </c>
      <c r="W90" s="262"/>
      <c r="X90" s="61" t="str">
        <f>IF(月途中入退所情報!$N40=$B$2,月途中入退所情報!$P40,"-")</f>
        <v>-</v>
      </c>
      <c r="Y90" s="61" t="str">
        <f>IF(月途中入退所情報!$N40=$B$2,月途中入退所情報!$Q40,"-")</f>
        <v>-</v>
      </c>
      <c r="Z90" s="61" t="str">
        <f>IF(月途中入退所情報!$N40=$B$2,月途中入退所情報!$R40,"-")</f>
        <v>-</v>
      </c>
      <c r="AA90" s="61" t="str">
        <f>IF(月途中入退所情報!$N40=$B$2,月途中入退所情報!$S40,"-")</f>
        <v>-</v>
      </c>
      <c r="AB90" s="61" t="str">
        <f>IF(月途中入退所情報!$N40=$B$2,月途中入退所情報!$T40,"-")</f>
        <v>-</v>
      </c>
      <c r="AC90" s="84">
        <f>IF($Z90="標準時間",HLOOKUP($Y90,$F$31:$I$54,24,FALSE)-SUM($F$10,$F$21:$F$24,$F$26)-HLOOKUP($Y90,$F$31:$I$54,17,FALSE)+HLOOKUP($Y90,$F$31:$I$56,26,FALSE),IF($Z90="短時間",HLOOKUP($Y90,$J$31:$M$54,24,FALSE)-SUM($F$10,$F$21:$F$24,$F$26)-HLOOKUP($Y90,$J$31:$M$54,17,FALSE)+HLOOKUP($Y90,$J$31:$M$56,26,FALSE),0))+IF(AA90="○",加算と減算!$AH$3,0)</f>
        <v>0</v>
      </c>
      <c r="AD90" s="85">
        <f t="shared" si="94"/>
        <v>0</v>
      </c>
      <c r="AE90" s="262">
        <f t="shared" si="95"/>
        <v>0</v>
      </c>
    </row>
    <row r="91" spans="15:31">
      <c r="O91" s="61" t="str">
        <f>IF(月途中入退所情報!$D41=$B$2,月途中入退所情報!$F41,"-")</f>
        <v>-</v>
      </c>
      <c r="P91" s="61" t="str">
        <f>IF(月途中入退所情報!$D41=$B$2,月途中入退所情報!$G41,"-")</f>
        <v>-</v>
      </c>
      <c r="Q91" s="61" t="str">
        <f>IF(月途中入退所情報!$D41=$B$2,月途中入退所情報!$H41,"-")</f>
        <v>-</v>
      </c>
      <c r="R91" s="61" t="str">
        <f>IF(月途中入退所情報!$D41=$B$2,月途中入退所情報!$I41,"-")</f>
        <v>-</v>
      </c>
      <c r="S91" s="61" t="str">
        <f>IF(月途中入退所情報!$D41=$B$2,月途中入退所情報!$J41,"-")</f>
        <v>-</v>
      </c>
      <c r="T91" s="84">
        <f>IF($Q91="標準時間",HLOOKUP($P91,$F$31:$I$54,24,FALSE)-SUM($F$10,$F$21:$F$24,$F$26)-HLOOKUP($P91,$F$31:$I$54,17,FALSE)+HLOOKUP($P91,$F$31:$I$56,26,FALSE),IF($Q91="短時間",HLOOKUP($P91,$J$31:$M$54,24,FALSE)-SUM($F$10,$F$21:$F$24,$F$26)-HLOOKUP($P91,$J$31:$M$54,17,FALSE)+HLOOKUP($P91,$J$31:$M$56,26,FALSE),0))+IF(R91="○",加算と減算!$AH$3,0)</f>
        <v>0</v>
      </c>
      <c r="U91" s="85">
        <f t="shared" si="92"/>
        <v>0</v>
      </c>
      <c r="V91" s="262">
        <f t="shared" si="93"/>
        <v>0</v>
      </c>
      <c r="W91" s="262"/>
      <c r="X91" s="61" t="str">
        <f>IF(月途中入退所情報!$N41=$B$2,月途中入退所情報!$P41,"-")</f>
        <v>-</v>
      </c>
      <c r="Y91" s="61" t="str">
        <f>IF(月途中入退所情報!$N41=$B$2,月途中入退所情報!$Q41,"-")</f>
        <v>-</v>
      </c>
      <c r="Z91" s="61" t="str">
        <f>IF(月途中入退所情報!$N41=$B$2,月途中入退所情報!$R41,"-")</f>
        <v>-</v>
      </c>
      <c r="AA91" s="61" t="str">
        <f>IF(月途中入退所情報!$N41=$B$2,月途中入退所情報!$S41,"-")</f>
        <v>-</v>
      </c>
      <c r="AB91" s="61" t="str">
        <f>IF(月途中入退所情報!$N41=$B$2,月途中入退所情報!$T41,"-")</f>
        <v>-</v>
      </c>
      <c r="AC91" s="84">
        <f>IF($Z91="標準時間",HLOOKUP($Y91,$F$31:$I$54,24,FALSE)-SUM($F$10,$F$21:$F$24,$F$26)-HLOOKUP($Y91,$F$31:$I$54,17,FALSE)+HLOOKUP($Y91,$F$31:$I$56,26,FALSE),IF($Z91="短時間",HLOOKUP($Y91,$J$31:$M$54,24,FALSE)-SUM($F$10,$F$21:$F$24,$F$26)-HLOOKUP($Y91,$J$31:$M$54,17,FALSE)+HLOOKUP($Y91,$J$31:$M$56,26,FALSE),0))+IF(AA91="○",加算と減算!$AH$3,0)</f>
        <v>0</v>
      </c>
      <c r="AD91" s="85">
        <f t="shared" si="94"/>
        <v>0</v>
      </c>
      <c r="AE91" s="262">
        <f t="shared" si="95"/>
        <v>0</v>
      </c>
    </row>
    <row r="92" spans="15:31">
      <c r="O92" s="61" t="str">
        <f>IF(月途中入退所情報!$D42=$B$2,月途中入退所情報!$F42,"-")</f>
        <v>-</v>
      </c>
      <c r="P92" s="61" t="str">
        <f>IF(月途中入退所情報!$D42=$B$2,月途中入退所情報!$G42,"-")</f>
        <v>-</v>
      </c>
      <c r="Q92" s="61" t="str">
        <f>IF(月途中入退所情報!$D42=$B$2,月途中入退所情報!$H42,"-")</f>
        <v>-</v>
      </c>
      <c r="R92" s="61" t="str">
        <f>IF(月途中入退所情報!$D42=$B$2,月途中入退所情報!$I42,"-")</f>
        <v>-</v>
      </c>
      <c r="S92" s="61" t="str">
        <f>IF(月途中入退所情報!$D42=$B$2,月途中入退所情報!$J42,"-")</f>
        <v>-</v>
      </c>
      <c r="T92" s="84">
        <f>IF($Q92="標準時間",HLOOKUP($P92,$F$31:$I$54,24,FALSE)-SUM($F$10,$F$21:$F$24,$F$26)-HLOOKUP($P92,$F$31:$I$54,17,FALSE)+HLOOKUP($P92,$F$31:$I$56,26,FALSE),IF($Q92="短時間",HLOOKUP($P92,$J$31:$M$54,24,FALSE)-SUM($F$10,$F$21:$F$24,$F$26)-HLOOKUP($P92,$J$31:$M$54,17,FALSE)+HLOOKUP($P92,$J$31:$M$56,26,FALSE),0))+IF(R92="○",加算と減算!$AH$3,0)</f>
        <v>0</v>
      </c>
      <c r="U92" s="85">
        <f t="shared" si="92"/>
        <v>0</v>
      </c>
      <c r="V92" s="262">
        <f t="shared" si="93"/>
        <v>0</v>
      </c>
      <c r="W92" s="262"/>
      <c r="X92" s="61" t="str">
        <f>IF(月途中入退所情報!$N42=$B$2,月途中入退所情報!$P42,"-")</f>
        <v>-</v>
      </c>
      <c r="Y92" s="61" t="str">
        <f>IF(月途中入退所情報!$N42=$B$2,月途中入退所情報!$Q42,"-")</f>
        <v>-</v>
      </c>
      <c r="Z92" s="61" t="str">
        <f>IF(月途中入退所情報!$N42=$B$2,月途中入退所情報!$R42,"-")</f>
        <v>-</v>
      </c>
      <c r="AA92" s="61" t="str">
        <f>IF(月途中入退所情報!$N42=$B$2,月途中入退所情報!$S42,"-")</f>
        <v>-</v>
      </c>
      <c r="AB92" s="61" t="str">
        <f>IF(月途中入退所情報!$N42=$B$2,月途中入退所情報!$T42,"-")</f>
        <v>-</v>
      </c>
      <c r="AC92" s="84">
        <f>IF($Z92="標準時間",HLOOKUP($Y92,$F$31:$I$54,24,FALSE)-SUM($F$10,$F$21:$F$24,$F$26)-HLOOKUP($Y92,$F$31:$I$54,17,FALSE)+HLOOKUP($Y92,$F$31:$I$56,26,FALSE),IF($Z92="短時間",HLOOKUP($Y92,$J$31:$M$54,24,FALSE)-SUM($F$10,$F$21:$F$24,$F$26)-HLOOKUP($Y92,$J$31:$M$54,17,FALSE)+HLOOKUP($Y92,$J$31:$M$56,26,FALSE),0))+IF(AA92="○",加算と減算!$AH$3,0)</f>
        <v>0</v>
      </c>
      <c r="AD92" s="85">
        <f t="shared" si="94"/>
        <v>0</v>
      </c>
      <c r="AE92" s="262">
        <f t="shared" si="95"/>
        <v>0</v>
      </c>
    </row>
    <row r="93" spans="15:31">
      <c r="O93" s="61" t="str">
        <f>IF(月途中入退所情報!$D43=$B$2,月途中入退所情報!$F43,"-")</f>
        <v>-</v>
      </c>
      <c r="P93" s="61" t="str">
        <f>IF(月途中入退所情報!$D43=$B$2,月途中入退所情報!$G43,"-")</f>
        <v>-</v>
      </c>
      <c r="Q93" s="61" t="str">
        <f>IF(月途中入退所情報!$D43=$B$2,月途中入退所情報!$H43,"-")</f>
        <v>-</v>
      </c>
      <c r="R93" s="61" t="str">
        <f>IF(月途中入退所情報!$D43=$B$2,月途中入退所情報!$I43,"-")</f>
        <v>-</v>
      </c>
      <c r="S93" s="61" t="str">
        <f>IF(月途中入退所情報!$D43=$B$2,月途中入退所情報!$J43,"-")</f>
        <v>-</v>
      </c>
      <c r="T93" s="84">
        <f>IF($Q93="標準時間",HLOOKUP($P93,$F$31:$I$54,24,FALSE)-SUM($F$10,$F$21:$F$24,$F$26)-HLOOKUP($P93,$F$31:$I$54,17,FALSE)+HLOOKUP($P93,$F$31:$I$56,26,FALSE),IF($Q93="短時間",HLOOKUP($P93,$J$31:$M$54,24,FALSE)-SUM($F$10,$F$21:$F$24,$F$26)-HLOOKUP($P93,$J$31:$M$54,17,FALSE)+HLOOKUP($P93,$J$31:$M$56,26,FALSE),0))+IF(R93="○",加算と減算!$AH$3,0)</f>
        <v>0</v>
      </c>
      <c r="U93" s="85">
        <f t="shared" si="92"/>
        <v>0</v>
      </c>
      <c r="V93" s="262">
        <f t="shared" si="93"/>
        <v>0</v>
      </c>
      <c r="W93" s="262"/>
      <c r="X93" s="61" t="str">
        <f>IF(月途中入退所情報!$N43=$B$2,月途中入退所情報!$P43,"-")</f>
        <v>-</v>
      </c>
      <c r="Y93" s="61" t="str">
        <f>IF(月途中入退所情報!$N43=$B$2,月途中入退所情報!$Q43,"-")</f>
        <v>-</v>
      </c>
      <c r="Z93" s="61" t="str">
        <f>IF(月途中入退所情報!$N43=$B$2,月途中入退所情報!$R43,"-")</f>
        <v>-</v>
      </c>
      <c r="AA93" s="61" t="str">
        <f>IF(月途中入退所情報!$N43=$B$2,月途中入退所情報!$S43,"-")</f>
        <v>-</v>
      </c>
      <c r="AB93" s="61" t="str">
        <f>IF(月途中入退所情報!$N43=$B$2,月途中入退所情報!$T43,"-")</f>
        <v>-</v>
      </c>
      <c r="AC93" s="84">
        <f>IF($Z93="標準時間",HLOOKUP($Y93,$F$31:$I$54,24,FALSE)-SUM($F$10,$F$21:$F$24,$F$26)-HLOOKUP($Y93,$F$31:$I$54,17,FALSE)+HLOOKUP($Y93,$F$31:$I$56,26,FALSE),IF($Z93="短時間",HLOOKUP($Y93,$J$31:$M$54,24,FALSE)-SUM($F$10,$F$21:$F$24,$F$26)-HLOOKUP($Y93,$J$31:$M$54,17,FALSE)+HLOOKUP($Y93,$J$31:$M$56,26,FALSE),0))+IF(AA93="○",加算と減算!$AH$3,0)</f>
        <v>0</v>
      </c>
      <c r="AD93" s="85">
        <f t="shared" si="94"/>
        <v>0</v>
      </c>
      <c r="AE93" s="262">
        <f t="shared" si="95"/>
        <v>0</v>
      </c>
    </row>
    <row r="94" spans="15:31">
      <c r="O94" s="61" t="str">
        <f>IF(月途中入退所情報!$D44=$B$2,月途中入退所情報!$F44,"-")</f>
        <v>-</v>
      </c>
      <c r="P94" s="61" t="str">
        <f>IF(月途中入退所情報!$D44=$B$2,月途中入退所情報!$G44,"-")</f>
        <v>-</v>
      </c>
      <c r="Q94" s="61" t="str">
        <f>IF(月途中入退所情報!$D44=$B$2,月途中入退所情報!$H44,"-")</f>
        <v>-</v>
      </c>
      <c r="R94" s="61" t="str">
        <f>IF(月途中入退所情報!$D44=$B$2,月途中入退所情報!$I44,"-")</f>
        <v>-</v>
      </c>
      <c r="S94" s="61" t="str">
        <f>IF(月途中入退所情報!$D44=$B$2,月途中入退所情報!$J44,"-")</f>
        <v>-</v>
      </c>
      <c r="T94" s="84">
        <f>IF($Q94="標準時間",HLOOKUP($P94,$F$31:$I$54,24,FALSE)-SUM($F$10,$F$21:$F$24,$F$26)-HLOOKUP($P94,$F$31:$I$54,17,FALSE)+HLOOKUP($P94,$F$31:$I$56,26,FALSE),IF($Q94="短時間",HLOOKUP($P94,$J$31:$M$54,24,FALSE)-SUM($F$10,$F$21:$F$24,$F$26)-HLOOKUP($P94,$J$31:$M$54,17,FALSE)+HLOOKUP($P94,$J$31:$M$56,26,FALSE),0))+IF(R94="○",加算と減算!$AH$3,0)</f>
        <v>0</v>
      </c>
      <c r="U94" s="85">
        <f t="shared" si="92"/>
        <v>0</v>
      </c>
      <c r="V94" s="262">
        <f t="shared" si="93"/>
        <v>0</v>
      </c>
      <c r="W94" s="262"/>
      <c r="X94" s="61" t="str">
        <f>IF(月途中入退所情報!$N44=$B$2,月途中入退所情報!$P44,"-")</f>
        <v>-</v>
      </c>
      <c r="Y94" s="61" t="str">
        <f>IF(月途中入退所情報!$N44=$B$2,月途中入退所情報!$Q44,"-")</f>
        <v>-</v>
      </c>
      <c r="Z94" s="61" t="str">
        <f>IF(月途中入退所情報!$N44=$B$2,月途中入退所情報!$R44,"-")</f>
        <v>-</v>
      </c>
      <c r="AA94" s="61" t="str">
        <f>IF(月途中入退所情報!$N44=$B$2,月途中入退所情報!$S44,"-")</f>
        <v>-</v>
      </c>
      <c r="AB94" s="61" t="str">
        <f>IF(月途中入退所情報!$N44=$B$2,月途中入退所情報!$T44,"-")</f>
        <v>-</v>
      </c>
      <c r="AC94" s="84">
        <f>IF($Z94="標準時間",HLOOKUP($Y94,$F$31:$I$54,24,FALSE)-SUM($F$10,$F$21:$F$24,$F$26)-HLOOKUP($Y94,$F$31:$I$54,17,FALSE)+HLOOKUP($Y94,$F$31:$I$56,26,FALSE),IF($Z94="短時間",HLOOKUP($Y94,$J$31:$M$54,24,FALSE)-SUM($F$10,$F$21:$F$24,$F$26)-HLOOKUP($Y94,$J$31:$M$54,17,FALSE)+HLOOKUP($Y94,$J$31:$M$56,26,FALSE),0))+IF(AA94="○",加算と減算!$AH$3,0)</f>
        <v>0</v>
      </c>
      <c r="AD94" s="85">
        <f t="shared" si="94"/>
        <v>0</v>
      </c>
      <c r="AE94" s="262">
        <f t="shared" si="95"/>
        <v>0</v>
      </c>
    </row>
    <row r="95" spans="15:31">
      <c r="O95" s="61" t="str">
        <f>IF(月途中入退所情報!$D45=$B$2,月途中入退所情報!$F45,"-")</f>
        <v>-</v>
      </c>
      <c r="P95" s="61" t="str">
        <f>IF(月途中入退所情報!$D45=$B$2,月途中入退所情報!$G45,"-")</f>
        <v>-</v>
      </c>
      <c r="Q95" s="61" t="str">
        <f>IF(月途中入退所情報!$D45=$B$2,月途中入退所情報!$H45,"-")</f>
        <v>-</v>
      </c>
      <c r="R95" s="61" t="str">
        <f>IF(月途中入退所情報!$D45=$B$2,月途中入退所情報!$I45,"-")</f>
        <v>-</v>
      </c>
      <c r="S95" s="61" t="str">
        <f>IF(月途中入退所情報!$D45=$B$2,月途中入退所情報!$J45,"-")</f>
        <v>-</v>
      </c>
      <c r="T95" s="84">
        <f>IF($Q95="標準時間",HLOOKUP($P95,$F$31:$I$54,24,FALSE)-SUM($F$10,$F$21:$F$24,$F$26)-HLOOKUP($P95,$F$31:$I$54,17,FALSE)+HLOOKUP($P95,$F$31:$I$56,26,FALSE),IF($Q95="短時間",HLOOKUP($P95,$J$31:$M$54,24,FALSE)-SUM($F$10,$F$21:$F$24,$F$26)-HLOOKUP($P95,$J$31:$M$54,17,FALSE)+HLOOKUP($P95,$J$31:$M$56,26,FALSE),0))+IF(R95="○",加算と減算!$AH$3,0)</f>
        <v>0</v>
      </c>
      <c r="U95" s="85">
        <f t="shared" si="92"/>
        <v>0</v>
      </c>
      <c r="V95" s="262">
        <f t="shared" si="93"/>
        <v>0</v>
      </c>
      <c r="W95" s="262"/>
      <c r="X95" s="61" t="str">
        <f>IF(月途中入退所情報!$N45=$B$2,月途中入退所情報!$P45,"-")</f>
        <v>-</v>
      </c>
      <c r="Y95" s="61" t="str">
        <f>IF(月途中入退所情報!$N45=$B$2,月途中入退所情報!$Q45,"-")</f>
        <v>-</v>
      </c>
      <c r="Z95" s="61" t="str">
        <f>IF(月途中入退所情報!$N45=$B$2,月途中入退所情報!$R45,"-")</f>
        <v>-</v>
      </c>
      <c r="AA95" s="61" t="str">
        <f>IF(月途中入退所情報!$N45=$B$2,月途中入退所情報!$S45,"-")</f>
        <v>-</v>
      </c>
      <c r="AB95" s="61" t="str">
        <f>IF(月途中入退所情報!$N45=$B$2,月途中入退所情報!$T45,"-")</f>
        <v>-</v>
      </c>
      <c r="AC95" s="84">
        <f>IF($Z95="標準時間",HLOOKUP($Y95,$F$31:$I$54,24,FALSE)-SUM($F$10,$F$21:$F$24,$F$26)-HLOOKUP($Y95,$F$31:$I$54,17,FALSE)+HLOOKUP($Y95,$F$31:$I$56,26,FALSE),IF($Z95="短時間",HLOOKUP($Y95,$J$31:$M$54,24,FALSE)-SUM($F$10,$F$21:$F$24,$F$26)-HLOOKUP($Y95,$J$31:$M$54,17,FALSE)+HLOOKUP($Y95,$J$31:$M$56,26,FALSE),0))+IF(AA95="○",加算と減算!$AH$3,0)</f>
        <v>0</v>
      </c>
      <c r="AD95" s="85">
        <f t="shared" si="94"/>
        <v>0</v>
      </c>
      <c r="AE95" s="262">
        <f t="shared" si="95"/>
        <v>0</v>
      </c>
    </row>
    <row r="96" spans="15:31">
      <c r="O96" s="61" t="str">
        <f>IF(月途中入退所情報!$D46=$B$2,月途中入退所情報!$F46,"-")</f>
        <v>-</v>
      </c>
      <c r="P96" s="61" t="str">
        <f>IF(月途中入退所情報!$D46=$B$2,月途中入退所情報!$G46,"-")</f>
        <v>-</v>
      </c>
      <c r="Q96" s="61" t="str">
        <f>IF(月途中入退所情報!$D46=$B$2,月途中入退所情報!$H46,"-")</f>
        <v>-</v>
      </c>
      <c r="R96" s="61" t="str">
        <f>IF(月途中入退所情報!$D46=$B$2,月途中入退所情報!$I46,"-")</f>
        <v>-</v>
      </c>
      <c r="S96" s="61" t="str">
        <f>IF(月途中入退所情報!$D46=$B$2,月途中入退所情報!$J46,"-")</f>
        <v>-</v>
      </c>
      <c r="T96" s="84">
        <f>IF($Q96="標準時間",HLOOKUP($P96,$F$31:$I$54,24,FALSE)-SUM($F$10,$F$21:$F$24,$F$26)-HLOOKUP($P96,$F$31:$I$54,17,FALSE)+HLOOKUP($P96,$F$31:$I$56,26,FALSE),IF($Q96="短時間",HLOOKUP($P96,$J$31:$M$54,24,FALSE)-SUM($F$10,$F$21:$F$24,$F$26)-HLOOKUP($P96,$J$31:$M$54,17,FALSE)+HLOOKUP($P96,$J$31:$M$56,26,FALSE),0))+IF(R96="○",加算と減算!$AH$3,0)</f>
        <v>0</v>
      </c>
      <c r="U96" s="85">
        <f t="shared" si="92"/>
        <v>0</v>
      </c>
      <c r="V96" s="262">
        <f t="shared" si="93"/>
        <v>0</v>
      </c>
      <c r="W96" s="262"/>
      <c r="X96" s="61" t="str">
        <f>IF(月途中入退所情報!$N46=$B$2,月途中入退所情報!$P46,"-")</f>
        <v>-</v>
      </c>
      <c r="Y96" s="61" t="str">
        <f>IF(月途中入退所情報!$N46=$B$2,月途中入退所情報!$Q46,"-")</f>
        <v>-</v>
      </c>
      <c r="Z96" s="61" t="str">
        <f>IF(月途中入退所情報!$N46=$B$2,月途中入退所情報!$R46,"-")</f>
        <v>-</v>
      </c>
      <c r="AA96" s="61" t="str">
        <f>IF(月途中入退所情報!$N46=$B$2,月途中入退所情報!$S46,"-")</f>
        <v>-</v>
      </c>
      <c r="AB96" s="61" t="str">
        <f>IF(月途中入退所情報!$N46=$B$2,月途中入退所情報!$T46,"-")</f>
        <v>-</v>
      </c>
      <c r="AC96" s="84">
        <f>IF($Z96="標準時間",HLOOKUP($Y96,$F$31:$I$54,24,FALSE)-SUM($F$10,$F$21:$F$24,$F$26)-HLOOKUP($Y96,$F$31:$I$54,17,FALSE)+HLOOKUP($Y96,$F$31:$I$56,26,FALSE),IF($Z96="短時間",HLOOKUP($Y96,$J$31:$M$54,24,FALSE)-SUM($F$10,$F$21:$F$24,$F$26)-HLOOKUP($Y96,$J$31:$M$54,17,FALSE)+HLOOKUP($Y96,$J$31:$M$56,26,FALSE),0))+IF(AA96="○",加算と減算!$AH$3,0)</f>
        <v>0</v>
      </c>
      <c r="AD96" s="85">
        <f t="shared" si="94"/>
        <v>0</v>
      </c>
      <c r="AE96" s="262">
        <f t="shared" si="95"/>
        <v>0</v>
      </c>
    </row>
    <row r="97" spans="15:31">
      <c r="O97" s="61" t="str">
        <f>IF(月途中入退所情報!$D47=$B$2,月途中入退所情報!$F47,"-")</f>
        <v>-</v>
      </c>
      <c r="P97" s="61" t="str">
        <f>IF(月途中入退所情報!$D47=$B$2,月途中入退所情報!$G47,"-")</f>
        <v>-</v>
      </c>
      <c r="Q97" s="61" t="str">
        <f>IF(月途中入退所情報!$D47=$B$2,月途中入退所情報!$H47,"-")</f>
        <v>-</v>
      </c>
      <c r="R97" s="61" t="str">
        <f>IF(月途中入退所情報!$D47=$B$2,月途中入退所情報!$I47,"-")</f>
        <v>-</v>
      </c>
      <c r="S97" s="61" t="str">
        <f>IF(月途中入退所情報!$D47=$B$2,月途中入退所情報!$J47,"-")</f>
        <v>-</v>
      </c>
      <c r="T97" s="84">
        <f>IF($Q97="標準時間",HLOOKUP($P97,$F$31:$I$54,24,FALSE)-SUM($F$10,$F$21:$F$24,$F$26)-HLOOKUP($P97,$F$31:$I$54,17,FALSE)+HLOOKUP($P97,$F$31:$I$56,26,FALSE),IF($Q97="短時間",HLOOKUP($P97,$J$31:$M$54,24,FALSE)-SUM($F$10,$F$21:$F$24,$F$26)-HLOOKUP($P97,$J$31:$M$54,17,FALSE)+HLOOKUP($P97,$J$31:$M$56,26,FALSE),0))+IF(R97="○",加算と減算!$AH$3,0)</f>
        <v>0</v>
      </c>
      <c r="U97" s="85">
        <f t="shared" si="92"/>
        <v>0</v>
      </c>
      <c r="V97" s="262">
        <f t="shared" si="93"/>
        <v>0</v>
      </c>
      <c r="W97" s="262"/>
      <c r="X97" s="61" t="str">
        <f>IF(月途中入退所情報!$N47=$B$2,月途中入退所情報!$P47,"-")</f>
        <v>-</v>
      </c>
      <c r="Y97" s="61" t="str">
        <f>IF(月途中入退所情報!$N47=$B$2,月途中入退所情報!$Q47,"-")</f>
        <v>-</v>
      </c>
      <c r="Z97" s="61" t="str">
        <f>IF(月途中入退所情報!$N47=$B$2,月途中入退所情報!$R47,"-")</f>
        <v>-</v>
      </c>
      <c r="AA97" s="61" t="str">
        <f>IF(月途中入退所情報!$N47=$B$2,月途中入退所情報!$S47,"-")</f>
        <v>-</v>
      </c>
      <c r="AB97" s="61" t="str">
        <f>IF(月途中入退所情報!$N47=$B$2,月途中入退所情報!$T47,"-")</f>
        <v>-</v>
      </c>
      <c r="AC97" s="84">
        <f>IF($Z97="標準時間",HLOOKUP($Y97,$F$31:$I$54,24,FALSE)-SUM($F$10,$F$21:$F$24,$F$26)-HLOOKUP($Y97,$F$31:$I$54,17,FALSE)+HLOOKUP($Y97,$F$31:$I$56,26,FALSE),IF($Z97="短時間",HLOOKUP($Y97,$J$31:$M$54,24,FALSE)-SUM($F$10,$F$21:$F$24,$F$26)-HLOOKUP($Y97,$J$31:$M$54,17,FALSE)+HLOOKUP($Y97,$J$31:$M$56,26,FALSE),0))+IF(AA97="○",加算と減算!$AH$3,0)</f>
        <v>0</v>
      </c>
      <c r="AD97" s="85">
        <f t="shared" si="94"/>
        <v>0</v>
      </c>
      <c r="AE97" s="262">
        <f t="shared" si="95"/>
        <v>0</v>
      </c>
    </row>
    <row r="98" spans="15:31">
      <c r="O98" s="61" t="str">
        <f>IF(月途中入退所情報!$D48=$B$2,月途中入退所情報!$F48,"-")</f>
        <v>-</v>
      </c>
      <c r="P98" s="61" t="str">
        <f>IF(月途中入退所情報!$D48=$B$2,月途中入退所情報!$G48,"-")</f>
        <v>-</v>
      </c>
      <c r="Q98" s="61" t="str">
        <f>IF(月途中入退所情報!$D48=$B$2,月途中入退所情報!$H48,"-")</f>
        <v>-</v>
      </c>
      <c r="R98" s="61" t="str">
        <f>IF(月途中入退所情報!$D48=$B$2,月途中入退所情報!$I48,"-")</f>
        <v>-</v>
      </c>
      <c r="S98" s="61" t="str">
        <f>IF(月途中入退所情報!$D48=$B$2,月途中入退所情報!$J48,"-")</f>
        <v>-</v>
      </c>
      <c r="T98" s="84">
        <f>IF($Q98="標準時間",HLOOKUP($P98,$F$31:$I$54,24,FALSE)-SUM($F$10,$F$21:$F$24,$F$26)-HLOOKUP($P98,$F$31:$I$54,17,FALSE)+HLOOKUP($P98,$F$31:$I$56,26,FALSE),IF($Q98="短時間",HLOOKUP($P98,$J$31:$M$54,24,FALSE)-SUM($F$10,$F$21:$F$24,$F$26)-HLOOKUP($P98,$J$31:$M$54,17,FALSE)+HLOOKUP($P98,$J$31:$M$56,26,FALSE),0))+IF(R98="○",加算と減算!$AH$3,0)</f>
        <v>0</v>
      </c>
      <c r="U98" s="85">
        <f t="shared" si="92"/>
        <v>0</v>
      </c>
      <c r="V98" s="262">
        <f t="shared" si="93"/>
        <v>0</v>
      </c>
      <c r="W98" s="262"/>
      <c r="X98" s="61" t="str">
        <f>IF(月途中入退所情報!$N48=$B$2,月途中入退所情報!$P48,"-")</f>
        <v>-</v>
      </c>
      <c r="Y98" s="61" t="str">
        <f>IF(月途中入退所情報!$N48=$B$2,月途中入退所情報!$Q48,"-")</f>
        <v>-</v>
      </c>
      <c r="Z98" s="61" t="str">
        <f>IF(月途中入退所情報!$N48=$B$2,月途中入退所情報!$R48,"-")</f>
        <v>-</v>
      </c>
      <c r="AA98" s="61" t="str">
        <f>IF(月途中入退所情報!$N48=$B$2,月途中入退所情報!$S48,"-")</f>
        <v>-</v>
      </c>
      <c r="AB98" s="61" t="str">
        <f>IF(月途中入退所情報!$N48=$B$2,月途中入退所情報!$T48,"-")</f>
        <v>-</v>
      </c>
      <c r="AC98" s="84">
        <f>IF($Z98="標準時間",HLOOKUP($Y98,$F$31:$I$54,24,FALSE)-SUM($F$10,$F$21:$F$24,$F$26)-HLOOKUP($Y98,$F$31:$I$54,17,FALSE)+HLOOKUP($Y98,$F$31:$I$56,26,FALSE),IF($Z98="短時間",HLOOKUP($Y98,$J$31:$M$54,24,FALSE)-SUM($F$10,$F$21:$F$24,$F$26)-HLOOKUP($Y98,$J$31:$M$54,17,FALSE)+HLOOKUP($Y98,$J$31:$M$56,26,FALSE),0))+IF(AA98="○",加算と減算!$AH$3,0)</f>
        <v>0</v>
      </c>
      <c r="AD98" s="85">
        <f t="shared" si="94"/>
        <v>0</v>
      </c>
      <c r="AE98" s="262">
        <f t="shared" si="95"/>
        <v>0</v>
      </c>
    </row>
    <row r="99" spans="15:31">
      <c r="O99" s="61" t="str">
        <f>IF(月途中入退所情報!$D49=$B$2,月途中入退所情報!$F49,"-")</f>
        <v>-</v>
      </c>
      <c r="P99" s="61" t="str">
        <f>IF(月途中入退所情報!$D49=$B$2,月途中入退所情報!$G49,"-")</f>
        <v>-</v>
      </c>
      <c r="Q99" s="61" t="str">
        <f>IF(月途中入退所情報!$D49=$B$2,月途中入退所情報!$H49,"-")</f>
        <v>-</v>
      </c>
      <c r="R99" s="61" t="str">
        <f>IF(月途中入退所情報!$D49=$B$2,月途中入退所情報!$I49,"-")</f>
        <v>-</v>
      </c>
      <c r="S99" s="61" t="str">
        <f>IF(月途中入退所情報!$D49=$B$2,月途中入退所情報!$J49,"-")</f>
        <v>-</v>
      </c>
      <c r="T99" s="84">
        <f>IF($Q99="標準時間",HLOOKUP($P99,$F$31:$I$54,24,FALSE)-SUM($F$10,$F$21:$F$24,$F$26)-HLOOKUP($P99,$F$31:$I$54,17,FALSE)+HLOOKUP($P99,$F$31:$I$56,26,FALSE),IF($Q99="短時間",HLOOKUP($P99,$J$31:$M$54,24,FALSE)-SUM($F$10,$F$21:$F$24,$F$26)-HLOOKUP($P99,$J$31:$M$54,17,FALSE)+HLOOKUP($P99,$J$31:$M$56,26,FALSE),0))+IF(R99="○",加算と減算!$AH$3,0)</f>
        <v>0</v>
      </c>
      <c r="U99" s="85">
        <f t="shared" si="92"/>
        <v>0</v>
      </c>
      <c r="V99" s="262">
        <f t="shared" si="93"/>
        <v>0</v>
      </c>
      <c r="W99" s="262"/>
      <c r="X99" s="61" t="str">
        <f>IF(月途中入退所情報!$N49=$B$2,月途中入退所情報!$P49,"-")</f>
        <v>-</v>
      </c>
      <c r="Y99" s="61" t="str">
        <f>IF(月途中入退所情報!$N49=$B$2,月途中入退所情報!$Q49,"-")</f>
        <v>-</v>
      </c>
      <c r="Z99" s="61" t="str">
        <f>IF(月途中入退所情報!$N49=$B$2,月途中入退所情報!$R49,"-")</f>
        <v>-</v>
      </c>
      <c r="AA99" s="61" t="str">
        <f>IF(月途中入退所情報!$N49=$B$2,月途中入退所情報!$S49,"-")</f>
        <v>-</v>
      </c>
      <c r="AB99" s="61" t="str">
        <f>IF(月途中入退所情報!$N49=$B$2,月途中入退所情報!$T49,"-")</f>
        <v>-</v>
      </c>
      <c r="AC99" s="84">
        <f>IF($Z99="標準時間",HLOOKUP($Y99,$F$31:$I$54,24,FALSE)-SUM($F$10,$F$21:$F$24,$F$26)-HLOOKUP($Y99,$F$31:$I$54,17,FALSE)+HLOOKUP($Y99,$F$31:$I$56,26,FALSE),IF($Z99="短時間",HLOOKUP($Y99,$J$31:$M$54,24,FALSE)-SUM($F$10,$F$21:$F$24,$F$26)-HLOOKUP($Y99,$J$31:$M$54,17,FALSE)+HLOOKUP($Y99,$J$31:$M$56,26,FALSE),0))+IF(AA99="○",加算と減算!$AH$3,0)</f>
        <v>0</v>
      </c>
      <c r="AD99" s="85">
        <f t="shared" si="94"/>
        <v>0</v>
      </c>
      <c r="AE99" s="262">
        <f t="shared" si="95"/>
        <v>0</v>
      </c>
    </row>
    <row r="100" spans="15:31">
      <c r="O100" s="61" t="str">
        <f>IF(月途中入退所情報!$D50=$B$2,月途中入退所情報!$F50,"-")</f>
        <v>-</v>
      </c>
      <c r="P100" s="61" t="str">
        <f>IF(月途中入退所情報!$D50=$B$2,月途中入退所情報!$G50,"-")</f>
        <v>-</v>
      </c>
      <c r="Q100" s="61" t="str">
        <f>IF(月途中入退所情報!$D50=$B$2,月途中入退所情報!$H50,"-")</f>
        <v>-</v>
      </c>
      <c r="R100" s="61" t="str">
        <f>IF(月途中入退所情報!$D50=$B$2,月途中入退所情報!$I50,"-")</f>
        <v>-</v>
      </c>
      <c r="S100" s="61" t="str">
        <f>IF(月途中入退所情報!$D50=$B$2,月途中入退所情報!$J50,"-")</f>
        <v>-</v>
      </c>
      <c r="T100" s="84">
        <f>IF($Q100="標準時間",HLOOKUP($P100,$F$31:$I$54,24,FALSE)-SUM($F$10,$F$21:$F$24,$F$26)-HLOOKUP($P100,$F$31:$I$54,17,FALSE)+HLOOKUP($P100,$F$31:$I$56,26,FALSE),IF($Q100="短時間",HLOOKUP($P100,$J$31:$M$54,24,FALSE)-SUM($F$10,$F$21:$F$24,$F$26)-HLOOKUP($P100,$J$31:$M$54,17,FALSE)+HLOOKUP($P100,$J$31:$M$56,26,FALSE),0))+IF(R100="○",加算と減算!$AH$3,0)</f>
        <v>0</v>
      </c>
      <c r="U100" s="85">
        <f t="shared" si="92"/>
        <v>0</v>
      </c>
      <c r="V100" s="262">
        <f t="shared" si="93"/>
        <v>0</v>
      </c>
      <c r="W100" s="262"/>
      <c r="X100" s="61" t="str">
        <f>IF(月途中入退所情報!$N50=$B$2,月途中入退所情報!$P50,"-")</f>
        <v>-</v>
      </c>
      <c r="Y100" s="61" t="str">
        <f>IF(月途中入退所情報!$N50=$B$2,月途中入退所情報!$Q50,"-")</f>
        <v>-</v>
      </c>
      <c r="Z100" s="61" t="str">
        <f>IF(月途中入退所情報!$N50=$B$2,月途中入退所情報!$R50,"-")</f>
        <v>-</v>
      </c>
      <c r="AA100" s="61" t="str">
        <f>IF(月途中入退所情報!$N50=$B$2,月途中入退所情報!$S50,"-")</f>
        <v>-</v>
      </c>
      <c r="AB100" s="61" t="str">
        <f>IF(月途中入退所情報!$N50=$B$2,月途中入退所情報!$T50,"-")</f>
        <v>-</v>
      </c>
      <c r="AC100" s="84">
        <f>IF($Z100="標準時間",HLOOKUP($Y100,$F$31:$I$54,24,FALSE)-SUM($F$10,$F$21:$F$24,$F$26)-HLOOKUP($Y100,$F$31:$I$54,17,FALSE)+HLOOKUP($Y100,$F$31:$I$56,26,FALSE),IF($Z100="短時間",HLOOKUP($Y100,$J$31:$M$54,24,FALSE)-SUM($F$10,$F$21:$F$24,$F$26)-HLOOKUP($Y100,$J$31:$M$54,17,FALSE)+HLOOKUP($Y100,$J$31:$M$56,26,FALSE),0))+IF(AA100="○",加算と減算!$AH$3,0)</f>
        <v>0</v>
      </c>
      <c r="AD100" s="85">
        <f t="shared" si="94"/>
        <v>0</v>
      </c>
      <c r="AE100" s="262">
        <f t="shared" si="95"/>
        <v>0</v>
      </c>
    </row>
    <row r="101" spans="15:31">
      <c r="T101" s="86" t="s">
        <v>36</v>
      </c>
      <c r="U101" s="85">
        <f>SUM(U81:U100)</f>
        <v>0</v>
      </c>
      <c r="V101" s="262">
        <f>SUM(V81:V100)</f>
        <v>0</v>
      </c>
      <c r="W101" s="262"/>
      <c r="AC101" s="86" t="s">
        <v>36</v>
      </c>
      <c r="AD101" s="85">
        <f>SUM(AD81:AD100)</f>
        <v>0</v>
      </c>
      <c r="AE101" s="264">
        <f>SUM(AE81:AE100)</f>
        <v>0</v>
      </c>
    </row>
  </sheetData>
  <sheetProtection algorithmName="SHA-512" hashValue="hQeyq0wmmu4yZ0bZkvcc0XH5tl9qamREJEdtOLYdw+9jNnQdAJTvaErWHAr5g2rlxY7aTZcerDPR+kQpbR3Wag==" saltValue="KoWXWmEHDGk7KUqkkxbN7g==" spinCount="100000" sheet="1" objects="1" scenarios="1"/>
  <mergeCells count="89">
    <mergeCell ref="AN55:AO55"/>
    <mergeCell ref="AN54:AO54"/>
    <mergeCell ref="AN28:AO28"/>
    <mergeCell ref="AN27:AO27"/>
    <mergeCell ref="AM30:AM54"/>
    <mergeCell ref="AN30:AO31"/>
    <mergeCell ref="AN43:AN47"/>
    <mergeCell ref="AO44:AO45"/>
    <mergeCell ref="AN48:AN53"/>
    <mergeCell ref="AM4:AM27"/>
    <mergeCell ref="AN4:AO5"/>
    <mergeCell ref="AN17:AN20"/>
    <mergeCell ref="AO17:AO18"/>
    <mergeCell ref="AN21:AN26"/>
    <mergeCell ref="AP30:AP31"/>
    <mergeCell ref="AN32:AO33"/>
    <mergeCell ref="AN34:AN42"/>
    <mergeCell ref="AO34:AO35"/>
    <mergeCell ref="AO37:AO38"/>
    <mergeCell ref="AO41:AO42"/>
    <mergeCell ref="AP4:AP5"/>
    <mergeCell ref="AN6:AO7"/>
    <mergeCell ref="AN8:AN16"/>
    <mergeCell ref="AO8:AO9"/>
    <mergeCell ref="AO11:AO12"/>
    <mergeCell ref="AO15:AO16"/>
    <mergeCell ref="C8:C16"/>
    <mergeCell ref="D61:D62"/>
    <mergeCell ref="D65:D66"/>
    <mergeCell ref="F69:M69"/>
    <mergeCell ref="D68:E69"/>
    <mergeCell ref="F59:I59"/>
    <mergeCell ref="J59:M59"/>
    <mergeCell ref="D34:D35"/>
    <mergeCell ref="D37:D38"/>
    <mergeCell ref="D41:D42"/>
    <mergeCell ref="C34:C42"/>
    <mergeCell ref="B2:D2"/>
    <mergeCell ref="E30:E31"/>
    <mergeCell ref="F30:I30"/>
    <mergeCell ref="J30:M30"/>
    <mergeCell ref="D17:D18"/>
    <mergeCell ref="F4:I4"/>
    <mergeCell ref="J4:M4"/>
    <mergeCell ref="E4:E5"/>
    <mergeCell ref="D8:D9"/>
    <mergeCell ref="D11:D12"/>
    <mergeCell ref="D15:D16"/>
    <mergeCell ref="C4:D5"/>
    <mergeCell ref="C6:D7"/>
    <mergeCell ref="C17:C20"/>
    <mergeCell ref="B4:B27"/>
    <mergeCell ref="B30:B54"/>
    <mergeCell ref="O13:O20"/>
    <mergeCell ref="P13:P14"/>
    <mergeCell ref="Y4:Y5"/>
    <mergeCell ref="Y13:Y14"/>
    <mergeCell ref="Q13:T13"/>
    <mergeCell ref="U13:X13"/>
    <mergeCell ref="O4:O11"/>
    <mergeCell ref="Q4:T4"/>
    <mergeCell ref="U4:X4"/>
    <mergeCell ref="P4:P5"/>
    <mergeCell ref="O79:P79"/>
    <mergeCell ref="C21:C26"/>
    <mergeCell ref="C27:D27"/>
    <mergeCell ref="C48:C53"/>
    <mergeCell ref="C54:D54"/>
    <mergeCell ref="O39:O46"/>
    <mergeCell ref="P39:P40"/>
    <mergeCell ref="O30:O37"/>
    <mergeCell ref="P30:P31"/>
    <mergeCell ref="T22:T28"/>
    <mergeCell ref="O48:O54"/>
    <mergeCell ref="T48:T54"/>
    <mergeCell ref="O22:O28"/>
    <mergeCell ref="O56:P56"/>
    <mergeCell ref="Q39:T39"/>
    <mergeCell ref="Q30:T30"/>
    <mergeCell ref="X56:Y56"/>
    <mergeCell ref="C30:D31"/>
    <mergeCell ref="C32:D33"/>
    <mergeCell ref="C43:C47"/>
    <mergeCell ref="D44:D45"/>
    <mergeCell ref="X48:Y48"/>
    <mergeCell ref="Y30:Y31"/>
    <mergeCell ref="U39:X39"/>
    <mergeCell ref="Y39:Y40"/>
    <mergeCell ref="U30:X30"/>
  </mergeCells>
  <phoneticPr fontId="2"/>
  <printOptions headings="1"/>
  <pageMargins left="0.70866141732283472" right="0.70866141732283472" top="0.74803149606299213" bottom="0.74803149606299213" header="0.31496062992125984" footer="0.31496062992125984"/>
  <pageSetup paperSize="8" scale="4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43061-0ADD-4918-BC79-E980AD70134C}">
  <sheetPr>
    <tabColor theme="0" tint="-0.499984740745262"/>
  </sheetPr>
  <dimension ref="B1:AQ101"/>
  <sheetViews>
    <sheetView view="pageBreakPreview" zoomScale="85" zoomScaleNormal="100" zoomScaleSheetLayoutView="85" workbookViewId="0">
      <pane ySplit="5" topLeftCell="A34" activePane="bottomLeft" state="frozen"/>
      <selection activeCell="V65" sqref="V65"/>
      <selection pane="bottomLeft" activeCell="G37" sqref="G37"/>
    </sheetView>
  </sheetViews>
  <sheetFormatPr defaultColWidth="8.75" defaultRowHeight="15"/>
  <cols>
    <col min="1" max="1" width="1" style="2" customWidth="1"/>
    <col min="2" max="3" width="2.75" style="2" customWidth="1"/>
    <col min="4" max="4" width="16.5" style="1" customWidth="1"/>
    <col min="5" max="5" width="8.25" style="57" customWidth="1"/>
    <col min="6" max="13" width="7.25" style="2" customWidth="1"/>
    <col min="14" max="14" width="1" style="2" customWidth="1"/>
    <col min="15" max="16" width="8.625" style="2" customWidth="1"/>
    <col min="17" max="25" width="9.75" style="2" customWidth="1"/>
    <col min="26" max="27" width="8.75" style="2" customWidth="1"/>
    <col min="28" max="31" width="8.875" style="2" customWidth="1"/>
    <col min="32" max="38" width="8.75" style="2"/>
    <col min="39" max="40" width="3.875" style="2" bestFit="1" customWidth="1"/>
    <col min="41" max="41" width="16.5" style="2" bestFit="1" customWidth="1"/>
    <col min="42" max="42" width="8.75" style="2"/>
    <col min="43" max="43" width="9.375" style="264" bestFit="1" customWidth="1"/>
    <col min="44" max="16384" width="8.75" style="2"/>
  </cols>
  <sheetData>
    <row r="1" spans="2:43" ht="4.9000000000000004" customHeight="1" thickBot="1">
      <c r="F1" s="57"/>
      <c r="G1" s="57"/>
      <c r="H1" s="57"/>
      <c r="I1" s="57"/>
      <c r="J1" s="57"/>
      <c r="K1" s="57"/>
      <c r="L1" s="57"/>
      <c r="M1" s="57"/>
    </row>
    <row r="2" spans="2:43" ht="15.75" thickBot="1">
      <c r="B2" s="1450">
        <v>2</v>
      </c>
      <c r="C2" s="1451"/>
      <c r="D2" s="1452"/>
      <c r="E2" s="2"/>
      <c r="F2" s="55" t="s">
        <v>183</v>
      </c>
      <c r="G2" s="72">
        <f>児童数!O18</f>
        <v>0</v>
      </c>
      <c r="H2" s="73" t="s">
        <v>184</v>
      </c>
      <c r="I2" s="72">
        <f>児童数!AB18</f>
        <v>0</v>
      </c>
      <c r="J2" s="73" t="s">
        <v>182</v>
      </c>
      <c r="K2" s="72">
        <f>G2+I2</f>
        <v>0</v>
      </c>
      <c r="L2" s="62"/>
      <c r="N2" s="1"/>
      <c r="O2" s="55" t="s">
        <v>192</v>
      </c>
      <c r="P2" s="78">
        <f>IF(基本情報!E5="",0,基本情報!G10)</f>
        <v>0</v>
      </c>
      <c r="Q2" s="77" t="s">
        <v>11</v>
      </c>
      <c r="R2" s="55" t="s">
        <v>202</v>
      </c>
      <c r="S2" s="257">
        <f>IF(基本情報!E12="１日",単価表!BB11,IF(基本情報!E12="２日",単価表!BC11,IF(基本情報!E12="３日",単価表!BD11,IF(基本情報!E12="全て",単価表!BE11,0))))*100</f>
        <v>0</v>
      </c>
      <c r="T2" s="258">
        <f>IF(基本情報!E12="１日",単価表!BB27,IF(基本情報!E12="２日",単価表!BC27,IF(基本情報!E12="３日",単価表!BD27,IF(基本情報!E12="全て",単価表!BE27,0))))*100</f>
        <v>0</v>
      </c>
      <c r="U2" s="55" t="s">
        <v>198</v>
      </c>
      <c r="V2" s="257">
        <f>IF(基本情報!E14="該当",定員超過減算率!C2,0)</f>
        <v>0</v>
      </c>
      <c r="W2" s="258">
        <f>IF(基本情報!E14="該当",定員超過減算率!C3,0)</f>
        <v>0</v>
      </c>
      <c r="X2" s="55"/>
      <c r="Y2" s="55"/>
      <c r="AC2" s="1" t="s">
        <v>206</v>
      </c>
      <c r="AD2" s="1" t="s">
        <v>207</v>
      </c>
    </row>
    <row r="3" spans="2:43" ht="6" customHeight="1">
      <c r="K3" s="1"/>
    </row>
    <row r="4" spans="2:43" ht="15" customHeight="1">
      <c r="B4" s="1426" t="s">
        <v>181</v>
      </c>
      <c r="C4" s="1429"/>
      <c r="D4" s="1429"/>
      <c r="E4" s="1416" t="s">
        <v>172</v>
      </c>
      <c r="F4" s="1418" t="s">
        <v>15</v>
      </c>
      <c r="G4" s="1418"/>
      <c r="H4" s="1418"/>
      <c r="I4" s="1418"/>
      <c r="J4" s="1418" t="s">
        <v>16</v>
      </c>
      <c r="K4" s="1418"/>
      <c r="L4" s="1418"/>
      <c r="M4" s="1418"/>
      <c r="O4" s="1449" t="s">
        <v>40</v>
      </c>
      <c r="P4" s="1446" t="s">
        <v>171</v>
      </c>
      <c r="Q4" s="1440" t="s">
        <v>15</v>
      </c>
      <c r="R4" s="1440"/>
      <c r="S4" s="1440"/>
      <c r="T4" s="1440"/>
      <c r="U4" s="1440" t="s">
        <v>16</v>
      </c>
      <c r="V4" s="1440"/>
      <c r="W4" s="1440"/>
      <c r="X4" s="1440"/>
      <c r="Y4" s="1441" t="s">
        <v>177</v>
      </c>
      <c r="Z4" s="11"/>
      <c r="AA4" s="1"/>
      <c r="AM4" s="1426" t="s">
        <v>181</v>
      </c>
      <c r="AN4" s="1429"/>
      <c r="AO4" s="1429"/>
      <c r="AP4" s="1416" t="s">
        <v>172</v>
      </c>
      <c r="AQ4" s="85"/>
    </row>
    <row r="5" spans="2:43" s="1" customFormat="1">
      <c r="B5" s="1427"/>
      <c r="C5" s="1429"/>
      <c r="D5" s="1429"/>
      <c r="E5" s="1417"/>
      <c r="F5" s="370" t="s">
        <v>6</v>
      </c>
      <c r="G5" s="370" t="s">
        <v>7</v>
      </c>
      <c r="H5" s="370" t="s">
        <v>8</v>
      </c>
      <c r="I5" s="370" t="s">
        <v>9</v>
      </c>
      <c r="J5" s="370" t="s">
        <v>6</v>
      </c>
      <c r="K5" s="370" t="s">
        <v>7</v>
      </c>
      <c r="L5" s="370" t="s">
        <v>8</v>
      </c>
      <c r="M5" s="370" t="s">
        <v>9</v>
      </c>
      <c r="O5" s="1444"/>
      <c r="P5" s="1446"/>
      <c r="Q5" s="368" t="s">
        <v>6</v>
      </c>
      <c r="R5" s="368" t="s">
        <v>7</v>
      </c>
      <c r="S5" s="368" t="s">
        <v>8</v>
      </c>
      <c r="T5" s="368" t="s">
        <v>9</v>
      </c>
      <c r="U5" s="368" t="s">
        <v>6</v>
      </c>
      <c r="V5" s="368" t="s">
        <v>7</v>
      </c>
      <c r="W5" s="368" t="s">
        <v>8</v>
      </c>
      <c r="X5" s="368" t="s">
        <v>9</v>
      </c>
      <c r="Y5" s="1442"/>
      <c r="Z5" s="11"/>
      <c r="AC5" s="1" t="s">
        <v>6</v>
      </c>
      <c r="AD5" s="1" t="s">
        <v>212</v>
      </c>
      <c r="AM5" s="1427"/>
      <c r="AN5" s="1429"/>
      <c r="AO5" s="1429"/>
      <c r="AP5" s="1417"/>
      <c r="AQ5" s="85"/>
    </row>
    <row r="6" spans="2:43" s="1" customFormat="1">
      <c r="B6" s="1427"/>
      <c r="C6" s="1460" t="s">
        <v>17</v>
      </c>
      <c r="D6" s="1461"/>
      <c r="E6" s="53" t="s">
        <v>169</v>
      </c>
      <c r="F6" s="3" t="e">
        <f>単価表!AV7</f>
        <v>#VALUE!</v>
      </c>
      <c r="G6" s="3" t="e">
        <f>単価表!AV9</f>
        <v>#VALUE!</v>
      </c>
      <c r="H6" s="3" t="e">
        <f>単価表!AV11</f>
        <v>#VALUE!</v>
      </c>
      <c r="I6" s="3" t="e">
        <f>単価表!AV13</f>
        <v>#VALUE!</v>
      </c>
      <c r="J6" s="3" t="e">
        <f>単価表!AW7</f>
        <v>#VALUE!</v>
      </c>
      <c r="K6" s="3" t="e">
        <f>単価表!AW9</f>
        <v>#VALUE!</v>
      </c>
      <c r="L6" s="3" t="e">
        <f>単価表!AW11</f>
        <v>#VALUE!</v>
      </c>
      <c r="M6" s="3" t="e">
        <f>単価表!AW13</f>
        <v>#VALUE!</v>
      </c>
      <c r="O6" s="1444"/>
      <c r="P6" s="630">
        <f>基本情報!E17</f>
        <v>0</v>
      </c>
      <c r="Q6" s="3">
        <f>児童数!E32</f>
        <v>0</v>
      </c>
      <c r="R6" s="3">
        <f>児童数!F32</f>
        <v>0</v>
      </c>
      <c r="S6" s="3">
        <f>児童数!G32</f>
        <v>0</v>
      </c>
      <c r="T6" s="3">
        <f>児童数!H32</f>
        <v>0</v>
      </c>
      <c r="U6" s="3">
        <f>児童数!J32</f>
        <v>0</v>
      </c>
      <c r="V6" s="3">
        <f>児童数!K32</f>
        <v>0</v>
      </c>
      <c r="W6" s="3">
        <f>児童数!L32</f>
        <v>0</v>
      </c>
      <c r="X6" s="3">
        <f>児童数!M32</f>
        <v>0</v>
      </c>
      <c r="Y6" s="64">
        <f>SUM(Q6:X6)</f>
        <v>0</v>
      </c>
      <c r="Z6" s="2"/>
      <c r="AC6" s="1" t="s">
        <v>7</v>
      </c>
      <c r="AD6" s="1" t="s">
        <v>16</v>
      </c>
      <c r="AM6" s="1427"/>
      <c r="AN6" s="1418" t="s">
        <v>17</v>
      </c>
      <c r="AO6" s="1418"/>
      <c r="AP6" s="53" t="s">
        <v>169</v>
      </c>
      <c r="AQ6" s="85" t="e">
        <f>SUMPRODUCT(F6:M6,$Q$11:$X$11)</f>
        <v>#VALUE!</v>
      </c>
    </row>
    <row r="7" spans="2:43" s="1" customFormat="1">
      <c r="B7" s="1427"/>
      <c r="C7" s="1462"/>
      <c r="D7" s="1463"/>
      <c r="E7" s="53" t="s">
        <v>167</v>
      </c>
      <c r="F7" s="3" t="e">
        <f>単価表!AX7*基本情報!G7</f>
        <v>#VALUE!</v>
      </c>
      <c r="G7" s="3" t="e">
        <f>単価表!AX9*基本情報!G7</f>
        <v>#VALUE!</v>
      </c>
      <c r="H7" s="3" t="e">
        <f>単価表!AX11*基本情報!G7</f>
        <v>#VALUE!</v>
      </c>
      <c r="I7" s="3" t="e">
        <f>単価表!AX13*基本情報!G7</f>
        <v>#VALUE!</v>
      </c>
      <c r="J7" s="3" t="e">
        <f>単価表!AY7*基本情報!G7</f>
        <v>#VALUE!</v>
      </c>
      <c r="K7" s="3" t="e">
        <f>単価表!AY9*基本情報!G7</f>
        <v>#VALUE!</v>
      </c>
      <c r="L7" s="3" t="e">
        <f>単価表!AY11*基本情報!G7</f>
        <v>#VALUE!</v>
      </c>
      <c r="M7" s="3" t="e">
        <f>単価表!AY13*基本情報!G7</f>
        <v>#VALUE!</v>
      </c>
      <c r="O7" s="1444"/>
      <c r="P7" s="631">
        <f>基本情報!E18</f>
        <v>0</v>
      </c>
      <c r="Q7" s="3">
        <f>児童数!E46</f>
        <v>0</v>
      </c>
      <c r="R7" s="3">
        <f>児童数!F46</f>
        <v>0</v>
      </c>
      <c r="S7" s="3">
        <f>児童数!G46</f>
        <v>0</v>
      </c>
      <c r="T7" s="3">
        <f>児童数!H46</f>
        <v>0</v>
      </c>
      <c r="U7" s="3">
        <f>児童数!J46</f>
        <v>0</v>
      </c>
      <c r="V7" s="3">
        <f>児童数!K46</f>
        <v>0</v>
      </c>
      <c r="W7" s="3">
        <f>児童数!L46</f>
        <v>0</v>
      </c>
      <c r="X7" s="3">
        <f>児童数!M46</f>
        <v>0</v>
      </c>
      <c r="Y7" s="64">
        <f t="shared" ref="Y7:Y10" si="0">SUM(Q7:X7)</f>
        <v>0</v>
      </c>
      <c r="Z7" s="2"/>
      <c r="AA7" s="2"/>
      <c r="AC7" s="1" t="s">
        <v>8</v>
      </c>
      <c r="AM7" s="1427"/>
      <c r="AN7" s="1418"/>
      <c r="AO7" s="1418"/>
      <c r="AP7" s="53" t="s">
        <v>167</v>
      </c>
      <c r="AQ7" s="85" t="e">
        <f t="shared" ref="AQ7:AQ26" si="1">SUMPRODUCT(F7:M7,$Q$11:$X$11)</f>
        <v>#VALUE!</v>
      </c>
    </row>
    <row r="8" spans="2:43" ht="15" customHeight="1">
      <c r="B8" s="1427"/>
      <c r="C8" s="1419" t="s">
        <v>203</v>
      </c>
      <c r="D8" s="1422" t="s">
        <v>37</v>
      </c>
      <c r="E8" s="53" t="s">
        <v>169</v>
      </c>
      <c r="F8" s="6"/>
      <c r="G8" s="3">
        <f>IF(加算と減算!O5="○",単価表!AV41,0)</f>
        <v>0</v>
      </c>
      <c r="H8" s="6"/>
      <c r="I8" s="6"/>
      <c r="J8" s="6"/>
      <c r="K8" s="3">
        <f>G8</f>
        <v>0</v>
      </c>
      <c r="L8" s="6"/>
      <c r="M8" s="6"/>
      <c r="O8" s="1444"/>
      <c r="P8" s="632">
        <f>基本情報!E19</f>
        <v>0</v>
      </c>
      <c r="Q8" s="3">
        <f>児童数!E60</f>
        <v>0</v>
      </c>
      <c r="R8" s="3">
        <f>児童数!F60</f>
        <v>0</v>
      </c>
      <c r="S8" s="3">
        <f>児童数!G60</f>
        <v>0</v>
      </c>
      <c r="T8" s="3">
        <f>児童数!H60</f>
        <v>0</v>
      </c>
      <c r="U8" s="3">
        <f>児童数!J60</f>
        <v>0</v>
      </c>
      <c r="V8" s="3">
        <f>児童数!K60</f>
        <v>0</v>
      </c>
      <c r="W8" s="3">
        <f>児童数!L60</f>
        <v>0</v>
      </c>
      <c r="X8" s="3">
        <f>児童数!M60</f>
        <v>0</v>
      </c>
      <c r="Y8" s="64">
        <f t="shared" si="0"/>
        <v>0</v>
      </c>
      <c r="AC8" s="1" t="s">
        <v>9</v>
      </c>
      <c r="AM8" s="1427"/>
      <c r="AN8" s="1419" t="s">
        <v>203</v>
      </c>
      <c r="AO8" s="1422" t="s">
        <v>37</v>
      </c>
      <c r="AP8" s="732" t="s">
        <v>559</v>
      </c>
      <c r="AQ8" s="85">
        <f t="shared" si="1"/>
        <v>0</v>
      </c>
    </row>
    <row r="9" spans="2:43">
      <c r="B9" s="1427"/>
      <c r="C9" s="1420"/>
      <c r="D9" s="1422"/>
      <c r="E9" s="53" t="s">
        <v>167</v>
      </c>
      <c r="F9" s="6"/>
      <c r="G9" s="3">
        <f>IF(加算と減算!O5="○",単価表!AW41*基本情報!G7,0)</f>
        <v>0</v>
      </c>
      <c r="H9" s="6"/>
      <c r="I9" s="6"/>
      <c r="J9" s="6"/>
      <c r="K9" s="3">
        <f>G9</f>
        <v>0</v>
      </c>
      <c r="L9" s="6"/>
      <c r="M9" s="6"/>
      <c r="O9" s="1444"/>
      <c r="P9" s="633">
        <f>基本情報!E20</f>
        <v>0</v>
      </c>
      <c r="Q9" s="3">
        <f>児童数!E74</f>
        <v>0</v>
      </c>
      <c r="R9" s="3">
        <f>児童数!F74</f>
        <v>0</v>
      </c>
      <c r="S9" s="3">
        <f>児童数!G74</f>
        <v>0</v>
      </c>
      <c r="T9" s="3">
        <f>児童数!H74</f>
        <v>0</v>
      </c>
      <c r="U9" s="3">
        <f>児童数!J74</f>
        <v>0</v>
      </c>
      <c r="V9" s="3">
        <f>児童数!K74</f>
        <v>0</v>
      </c>
      <c r="W9" s="3">
        <f>児童数!L74</f>
        <v>0</v>
      </c>
      <c r="X9" s="3">
        <f>児童数!M74</f>
        <v>0</v>
      </c>
      <c r="Y9" s="64">
        <f t="shared" si="0"/>
        <v>0</v>
      </c>
      <c r="AM9" s="1427"/>
      <c r="AN9" s="1420"/>
      <c r="AO9" s="1422"/>
      <c r="AP9" s="53" t="s">
        <v>167</v>
      </c>
      <c r="AQ9" s="85">
        <f t="shared" si="1"/>
        <v>0</v>
      </c>
    </row>
    <row r="10" spans="2:43">
      <c r="B10" s="1427"/>
      <c r="C10" s="1420"/>
      <c r="D10" s="383" t="s">
        <v>69</v>
      </c>
      <c r="E10" s="60"/>
      <c r="F10" s="3">
        <f>IF(K2=0,0,IF(加算と減算!O6="○",ROUNDDOWN((加算と減算!W6+(加算と減算!X6*基本情報!G7))/'2月'!K2,-1),0))</f>
        <v>0</v>
      </c>
      <c r="G10" s="3">
        <f t="shared" ref="G10:G18" si="2">F10</f>
        <v>0</v>
      </c>
      <c r="H10" s="3">
        <f>F10</f>
        <v>0</v>
      </c>
      <c r="I10" s="3">
        <f>F10</f>
        <v>0</v>
      </c>
      <c r="J10" s="3">
        <f t="shared" ref="J10:J18" si="3">F10</f>
        <v>0</v>
      </c>
      <c r="K10" s="3">
        <f t="shared" ref="K10:K18" si="4">F10</f>
        <v>0</v>
      </c>
      <c r="L10" s="3">
        <f>F10</f>
        <v>0</v>
      </c>
      <c r="M10" s="3">
        <f>F10</f>
        <v>0</v>
      </c>
      <c r="O10" s="1444"/>
      <c r="P10" s="634">
        <f>基本情報!E21</f>
        <v>0</v>
      </c>
      <c r="Q10" s="3">
        <f>児童数!E88</f>
        <v>0</v>
      </c>
      <c r="R10" s="3">
        <f>児童数!F88</f>
        <v>0</v>
      </c>
      <c r="S10" s="3">
        <f>児童数!G88</f>
        <v>0</v>
      </c>
      <c r="T10" s="3">
        <f>児童数!H88</f>
        <v>0</v>
      </c>
      <c r="U10" s="3">
        <f>児童数!J88</f>
        <v>0</v>
      </c>
      <c r="V10" s="3">
        <f>児童数!K88</f>
        <v>0</v>
      </c>
      <c r="W10" s="3">
        <f>児童数!L88</f>
        <v>0</v>
      </c>
      <c r="X10" s="3">
        <f>児童数!M88</f>
        <v>0</v>
      </c>
      <c r="Y10" s="64">
        <f t="shared" si="0"/>
        <v>0</v>
      </c>
      <c r="AM10" s="1427"/>
      <c r="AN10" s="1420"/>
      <c r="AO10" s="383" t="s">
        <v>69</v>
      </c>
      <c r="AP10" s="629"/>
      <c r="AQ10" s="85">
        <f t="shared" si="1"/>
        <v>0</v>
      </c>
    </row>
    <row r="11" spans="2:43">
      <c r="B11" s="1427"/>
      <c r="C11" s="1420"/>
      <c r="D11" s="1422" t="s">
        <v>161</v>
      </c>
      <c r="E11" s="53" t="s">
        <v>169</v>
      </c>
      <c r="F11" s="3">
        <f>IFERROR(IF(加算と減算!O7="○",単価表!AZ39,0),0)</f>
        <v>0</v>
      </c>
      <c r="G11" s="3">
        <f t="shared" si="2"/>
        <v>0</v>
      </c>
      <c r="H11" s="3">
        <f>IFERROR(IF(加算と減算!O7="○",単価表!AZ43,0),0)</f>
        <v>0</v>
      </c>
      <c r="I11" s="3">
        <f>H11</f>
        <v>0</v>
      </c>
      <c r="J11" s="3">
        <f t="shared" si="3"/>
        <v>0</v>
      </c>
      <c r="K11" s="3">
        <f t="shared" si="4"/>
        <v>0</v>
      </c>
      <c r="L11" s="3">
        <f>H11</f>
        <v>0</v>
      </c>
      <c r="M11" s="3">
        <f>H11</f>
        <v>0</v>
      </c>
      <c r="O11" s="1445"/>
      <c r="P11" s="635" t="s">
        <v>36</v>
      </c>
      <c r="Q11" s="3">
        <f>SUM(Q6:Q10)</f>
        <v>0</v>
      </c>
      <c r="R11" s="3">
        <f t="shared" ref="R11:Y11" si="5">SUM(R6:R10)</f>
        <v>0</v>
      </c>
      <c r="S11" s="3">
        <f t="shared" si="5"/>
        <v>0</v>
      </c>
      <c r="T11" s="3">
        <f t="shared" si="5"/>
        <v>0</v>
      </c>
      <c r="U11" s="3">
        <f t="shared" si="5"/>
        <v>0</v>
      </c>
      <c r="V11" s="3">
        <f t="shared" si="5"/>
        <v>0</v>
      </c>
      <c r="W11" s="3">
        <f t="shared" si="5"/>
        <v>0</v>
      </c>
      <c r="X11" s="3">
        <f t="shared" si="5"/>
        <v>0</v>
      </c>
      <c r="Y11" s="3">
        <f t="shared" si="5"/>
        <v>0</v>
      </c>
      <c r="Z11" s="55" t="s">
        <v>176</v>
      </c>
      <c r="AA11" s="71" t="str">
        <f>IF(SUM(Q11:X11)=G2,"OK",SUM(Q11:X11)-K2)</f>
        <v>OK</v>
      </c>
      <c r="AB11" s="62"/>
      <c r="AM11" s="1427"/>
      <c r="AN11" s="1420"/>
      <c r="AO11" s="1422" t="s">
        <v>161</v>
      </c>
      <c r="AP11" s="53" t="s">
        <v>169</v>
      </c>
      <c r="AQ11" s="85">
        <f t="shared" si="1"/>
        <v>0</v>
      </c>
    </row>
    <row r="12" spans="2:43" ht="15" customHeight="1">
      <c r="B12" s="1427"/>
      <c r="C12" s="1420"/>
      <c r="D12" s="1422"/>
      <c r="E12" s="53" t="s">
        <v>167</v>
      </c>
      <c r="F12" s="3">
        <f>IFERROR(IF(加算と減算!O7="○",単価表!BA39*基本情報!G7,0),0)</f>
        <v>0</v>
      </c>
      <c r="G12" s="3">
        <f t="shared" si="2"/>
        <v>0</v>
      </c>
      <c r="H12" s="3">
        <f>IFERROR(IF(加算と減算!O7="○",単価表!BA43*基本情報!G7,0),0)</f>
        <v>0</v>
      </c>
      <c r="I12" s="3">
        <f>H12</f>
        <v>0</v>
      </c>
      <c r="J12" s="3">
        <f t="shared" si="3"/>
        <v>0</v>
      </c>
      <c r="K12" s="3">
        <f t="shared" si="4"/>
        <v>0</v>
      </c>
      <c r="L12" s="3">
        <f>H12</f>
        <v>0</v>
      </c>
      <c r="M12" s="3">
        <f>H12</f>
        <v>0</v>
      </c>
      <c r="O12" s="75"/>
      <c r="P12" s="636"/>
      <c r="Q12" s="54"/>
      <c r="R12" s="54"/>
      <c r="S12" s="54"/>
      <c r="T12" s="54"/>
      <c r="U12" s="54"/>
      <c r="V12" s="54"/>
      <c r="W12" s="54"/>
      <c r="X12" s="54"/>
      <c r="Y12" s="54"/>
      <c r="AA12" s="62"/>
      <c r="AB12" s="62"/>
      <c r="AM12" s="1427"/>
      <c r="AN12" s="1420"/>
      <c r="AO12" s="1422"/>
      <c r="AP12" s="53" t="s">
        <v>167</v>
      </c>
      <c r="AQ12" s="85">
        <f t="shared" si="1"/>
        <v>0</v>
      </c>
    </row>
    <row r="13" spans="2:43" ht="16.5">
      <c r="B13" s="1427"/>
      <c r="C13" s="1420"/>
      <c r="D13" s="366" t="s">
        <v>162</v>
      </c>
      <c r="E13" s="59"/>
      <c r="F13" s="3">
        <f>IF(加算と減算!O8="○",加算と減算!R8,0)</f>
        <v>0</v>
      </c>
      <c r="G13" s="3">
        <f t="shared" si="2"/>
        <v>0</v>
      </c>
      <c r="H13" s="3">
        <f t="shared" ref="H13:H18" si="6">F13</f>
        <v>0</v>
      </c>
      <c r="I13" s="3">
        <f t="shared" ref="I13:I18" si="7">F13</f>
        <v>0</v>
      </c>
      <c r="J13" s="3">
        <f t="shared" si="3"/>
        <v>0</v>
      </c>
      <c r="K13" s="3">
        <f t="shared" si="4"/>
        <v>0</v>
      </c>
      <c r="L13" s="3">
        <f t="shared" ref="L13:L18" si="8">F13</f>
        <v>0</v>
      </c>
      <c r="M13" s="3">
        <f t="shared" ref="M13:M18" si="9">F13</f>
        <v>0</v>
      </c>
      <c r="O13" s="1443" t="s">
        <v>187</v>
      </c>
      <c r="P13" s="1449" t="s">
        <v>171</v>
      </c>
      <c r="Q13" s="1440" t="s">
        <v>15</v>
      </c>
      <c r="R13" s="1440"/>
      <c r="S13" s="1440"/>
      <c r="T13" s="1440"/>
      <c r="U13" s="1440" t="s">
        <v>16</v>
      </c>
      <c r="V13" s="1440"/>
      <c r="W13" s="1440"/>
      <c r="X13" s="1440"/>
      <c r="Y13" s="1449" t="s">
        <v>177</v>
      </c>
      <c r="AA13" s="62"/>
      <c r="AB13" s="62"/>
      <c r="AM13" s="1427"/>
      <c r="AN13" s="1420"/>
      <c r="AO13" s="720" t="s">
        <v>162</v>
      </c>
      <c r="AP13" s="731" t="s">
        <v>353</v>
      </c>
      <c r="AQ13" s="85">
        <f t="shared" si="1"/>
        <v>0</v>
      </c>
    </row>
    <row r="14" spans="2:43" ht="16.5">
      <c r="B14" s="1427"/>
      <c r="C14" s="1420"/>
      <c r="D14" s="366" t="s">
        <v>54</v>
      </c>
      <c r="E14" s="59"/>
      <c r="F14" s="3">
        <f>IF(加算と減算!O9="○",加算と減算!R9,0)</f>
        <v>0</v>
      </c>
      <c r="G14" s="3">
        <f t="shared" si="2"/>
        <v>0</v>
      </c>
      <c r="H14" s="3">
        <f t="shared" si="6"/>
        <v>0</v>
      </c>
      <c r="I14" s="3">
        <f t="shared" si="7"/>
        <v>0</v>
      </c>
      <c r="J14" s="3">
        <f t="shared" si="3"/>
        <v>0</v>
      </c>
      <c r="K14" s="3">
        <f t="shared" si="4"/>
        <v>0</v>
      </c>
      <c r="L14" s="3">
        <f t="shared" si="8"/>
        <v>0</v>
      </c>
      <c r="M14" s="3">
        <f t="shared" si="9"/>
        <v>0</v>
      </c>
      <c r="O14" s="1447"/>
      <c r="P14" s="1445"/>
      <c r="Q14" s="368" t="s">
        <v>6</v>
      </c>
      <c r="R14" s="368" t="s">
        <v>7</v>
      </c>
      <c r="S14" s="368" t="s">
        <v>8</v>
      </c>
      <c r="T14" s="368" t="s">
        <v>9</v>
      </c>
      <c r="U14" s="368" t="s">
        <v>6</v>
      </c>
      <c r="V14" s="368" t="s">
        <v>7</v>
      </c>
      <c r="W14" s="368" t="s">
        <v>8</v>
      </c>
      <c r="X14" s="368" t="s">
        <v>9</v>
      </c>
      <c r="Y14" s="1445"/>
      <c r="AA14" s="62"/>
      <c r="AB14" s="62"/>
      <c r="AM14" s="1427"/>
      <c r="AN14" s="1420"/>
      <c r="AO14" s="720" t="s">
        <v>54</v>
      </c>
      <c r="AP14" s="731" t="s">
        <v>353</v>
      </c>
      <c r="AQ14" s="85">
        <f t="shared" si="1"/>
        <v>0</v>
      </c>
    </row>
    <row r="15" spans="2:43" ht="16.5">
      <c r="B15" s="1427"/>
      <c r="C15" s="1420"/>
      <c r="D15" s="1422" t="s">
        <v>38</v>
      </c>
      <c r="E15" s="53" t="s">
        <v>169</v>
      </c>
      <c r="F15" s="3">
        <f>IF(加算と減算!O10="○",加算と減算!W10,0)</f>
        <v>0</v>
      </c>
      <c r="G15" s="3">
        <f t="shared" si="2"/>
        <v>0</v>
      </c>
      <c r="H15" s="3">
        <f t="shared" si="6"/>
        <v>0</v>
      </c>
      <c r="I15" s="3">
        <f t="shared" si="7"/>
        <v>0</v>
      </c>
      <c r="J15" s="3">
        <f t="shared" si="3"/>
        <v>0</v>
      </c>
      <c r="K15" s="3">
        <f t="shared" si="4"/>
        <v>0</v>
      </c>
      <c r="L15" s="3">
        <f t="shared" si="8"/>
        <v>0</v>
      </c>
      <c r="M15" s="3">
        <f t="shared" si="9"/>
        <v>0</v>
      </c>
      <c r="O15" s="1447"/>
      <c r="P15" s="630">
        <f>P6</f>
        <v>0</v>
      </c>
      <c r="Q15" s="3" t="e">
        <f>F27*Q6</f>
        <v>#VALUE!</v>
      </c>
      <c r="R15" s="3" t="e">
        <f t="shared" ref="R15:X15" si="10">G27*R6</f>
        <v>#VALUE!</v>
      </c>
      <c r="S15" s="3" t="e">
        <f t="shared" si="10"/>
        <v>#VALUE!</v>
      </c>
      <c r="T15" s="3" t="e">
        <f t="shared" si="10"/>
        <v>#VALUE!</v>
      </c>
      <c r="U15" s="3" t="e">
        <f t="shared" si="10"/>
        <v>#VALUE!</v>
      </c>
      <c r="V15" s="3" t="e">
        <f t="shared" si="10"/>
        <v>#VALUE!</v>
      </c>
      <c r="W15" s="3" t="e">
        <f t="shared" si="10"/>
        <v>#VALUE!</v>
      </c>
      <c r="X15" s="3" t="e">
        <f t="shared" si="10"/>
        <v>#VALUE!</v>
      </c>
      <c r="Y15" s="3" t="e">
        <f>SUM(Q15:X15)</f>
        <v>#VALUE!</v>
      </c>
      <c r="AA15" s="62"/>
      <c r="AB15" s="62"/>
      <c r="AM15" s="1427"/>
      <c r="AN15" s="1420"/>
      <c r="AO15" s="1422" t="s">
        <v>38</v>
      </c>
      <c r="AP15" s="732" t="s">
        <v>559</v>
      </c>
      <c r="AQ15" s="85">
        <f t="shared" si="1"/>
        <v>0</v>
      </c>
    </row>
    <row r="16" spans="2:43">
      <c r="B16" s="1427"/>
      <c r="C16" s="1421"/>
      <c r="D16" s="1422"/>
      <c r="E16" s="53" t="s">
        <v>167</v>
      </c>
      <c r="F16" s="3">
        <f>IF(加算と減算!O10="○",加算と減算!X10*基本情報!G7,0)</f>
        <v>0</v>
      </c>
      <c r="G16" s="3">
        <f t="shared" si="2"/>
        <v>0</v>
      </c>
      <c r="H16" s="3">
        <f t="shared" si="6"/>
        <v>0</v>
      </c>
      <c r="I16" s="3">
        <f t="shared" si="7"/>
        <v>0</v>
      </c>
      <c r="J16" s="3">
        <f t="shared" si="3"/>
        <v>0</v>
      </c>
      <c r="K16" s="3">
        <f t="shared" si="4"/>
        <v>0</v>
      </c>
      <c r="L16" s="3">
        <f t="shared" si="8"/>
        <v>0</v>
      </c>
      <c r="M16" s="3">
        <f t="shared" si="9"/>
        <v>0</v>
      </c>
      <c r="O16" s="1447"/>
      <c r="P16" s="631">
        <f>P7</f>
        <v>0</v>
      </c>
      <c r="Q16" s="3" t="e">
        <f>F27*Q7</f>
        <v>#VALUE!</v>
      </c>
      <c r="R16" s="3" t="e">
        <f t="shared" ref="R16:X16" si="11">G27*R7</f>
        <v>#VALUE!</v>
      </c>
      <c r="S16" s="3" t="e">
        <f t="shared" si="11"/>
        <v>#VALUE!</v>
      </c>
      <c r="T16" s="3" t="e">
        <f t="shared" si="11"/>
        <v>#VALUE!</v>
      </c>
      <c r="U16" s="3" t="e">
        <f t="shared" si="11"/>
        <v>#VALUE!</v>
      </c>
      <c r="V16" s="3" t="e">
        <f t="shared" si="11"/>
        <v>#VALUE!</v>
      </c>
      <c r="W16" s="3" t="e">
        <f t="shared" si="11"/>
        <v>#VALUE!</v>
      </c>
      <c r="X16" s="3" t="e">
        <f t="shared" si="11"/>
        <v>#VALUE!</v>
      </c>
      <c r="Y16" s="3" t="e">
        <f t="shared" ref="Y16:Y19" si="12">SUM(Q16:X16)</f>
        <v>#VALUE!</v>
      </c>
      <c r="AA16" s="62"/>
      <c r="AB16" s="62"/>
      <c r="AM16" s="1427"/>
      <c r="AN16" s="1421"/>
      <c r="AO16" s="1422"/>
      <c r="AP16" s="53" t="s">
        <v>167</v>
      </c>
      <c r="AQ16" s="85">
        <f t="shared" si="1"/>
        <v>0</v>
      </c>
    </row>
    <row r="17" spans="2:43">
      <c r="B17" s="1427"/>
      <c r="C17" s="1423" t="s">
        <v>205</v>
      </c>
      <c r="D17" s="1424" t="s">
        <v>43</v>
      </c>
      <c r="E17" s="53" t="s">
        <v>169</v>
      </c>
      <c r="F17" s="74">
        <f>-IF(加算と減算!O32="○",単価表!AZ7,0)</f>
        <v>0</v>
      </c>
      <c r="G17" s="74">
        <f t="shared" si="2"/>
        <v>0</v>
      </c>
      <c r="H17" s="74">
        <f t="shared" si="6"/>
        <v>0</v>
      </c>
      <c r="I17" s="74">
        <f t="shared" si="7"/>
        <v>0</v>
      </c>
      <c r="J17" s="74">
        <f t="shared" si="3"/>
        <v>0</v>
      </c>
      <c r="K17" s="74">
        <f t="shared" si="4"/>
        <v>0</v>
      </c>
      <c r="L17" s="74">
        <f t="shared" si="8"/>
        <v>0</v>
      </c>
      <c r="M17" s="74">
        <f t="shared" si="9"/>
        <v>0</v>
      </c>
      <c r="O17" s="1447"/>
      <c r="P17" s="632">
        <f>P8</f>
        <v>0</v>
      </c>
      <c r="Q17" s="3" t="e">
        <f>F27*Q8</f>
        <v>#VALUE!</v>
      </c>
      <c r="R17" s="3" t="e">
        <f t="shared" ref="R17:X17" si="13">G27*R8</f>
        <v>#VALUE!</v>
      </c>
      <c r="S17" s="3" t="e">
        <f t="shared" si="13"/>
        <v>#VALUE!</v>
      </c>
      <c r="T17" s="3" t="e">
        <f t="shared" si="13"/>
        <v>#VALUE!</v>
      </c>
      <c r="U17" s="3" t="e">
        <f t="shared" si="13"/>
        <v>#VALUE!</v>
      </c>
      <c r="V17" s="3" t="e">
        <f t="shared" si="13"/>
        <v>#VALUE!</v>
      </c>
      <c r="W17" s="3" t="e">
        <f t="shared" si="13"/>
        <v>#VALUE!</v>
      </c>
      <c r="X17" s="3" t="e">
        <f t="shared" si="13"/>
        <v>#VALUE!</v>
      </c>
      <c r="Y17" s="3" t="e">
        <f t="shared" si="12"/>
        <v>#VALUE!</v>
      </c>
      <c r="AA17" s="62"/>
      <c r="AB17" s="62"/>
      <c r="AM17" s="1427"/>
      <c r="AN17" s="1423" t="s">
        <v>205</v>
      </c>
      <c r="AO17" s="1424" t="s">
        <v>43</v>
      </c>
      <c r="AP17" s="53" t="s">
        <v>169</v>
      </c>
      <c r="AQ17" s="85">
        <f t="shared" si="1"/>
        <v>0</v>
      </c>
    </row>
    <row r="18" spans="2:43">
      <c r="B18" s="1427"/>
      <c r="C18" s="1423"/>
      <c r="D18" s="1424"/>
      <c r="E18" s="53" t="s">
        <v>167</v>
      </c>
      <c r="F18" s="74">
        <f>-IF(加算と減算!O32="○",単価表!BA7*基本情報!G7,0)</f>
        <v>0</v>
      </c>
      <c r="G18" s="74">
        <f t="shared" si="2"/>
        <v>0</v>
      </c>
      <c r="H18" s="74">
        <f t="shared" si="6"/>
        <v>0</v>
      </c>
      <c r="I18" s="74">
        <f t="shared" si="7"/>
        <v>0</v>
      </c>
      <c r="J18" s="74">
        <f t="shared" si="3"/>
        <v>0</v>
      </c>
      <c r="K18" s="74">
        <f t="shared" si="4"/>
        <v>0</v>
      </c>
      <c r="L18" s="74">
        <f t="shared" si="8"/>
        <v>0</v>
      </c>
      <c r="M18" s="74">
        <f t="shared" si="9"/>
        <v>0</v>
      </c>
      <c r="O18" s="1447"/>
      <c r="P18" s="633">
        <f>P9</f>
        <v>0</v>
      </c>
      <c r="Q18" s="3" t="e">
        <f>F27*Q9</f>
        <v>#VALUE!</v>
      </c>
      <c r="R18" s="3" t="e">
        <f t="shared" ref="R18:X18" si="14">G27*R9</f>
        <v>#VALUE!</v>
      </c>
      <c r="S18" s="3" t="e">
        <f t="shared" si="14"/>
        <v>#VALUE!</v>
      </c>
      <c r="T18" s="3" t="e">
        <f t="shared" si="14"/>
        <v>#VALUE!</v>
      </c>
      <c r="U18" s="3" t="e">
        <f t="shared" si="14"/>
        <v>#VALUE!</v>
      </c>
      <c r="V18" s="3" t="e">
        <f t="shared" si="14"/>
        <v>#VALUE!</v>
      </c>
      <c r="W18" s="3" t="e">
        <f t="shared" si="14"/>
        <v>#VALUE!</v>
      </c>
      <c r="X18" s="3" t="e">
        <f t="shared" si="14"/>
        <v>#VALUE!</v>
      </c>
      <c r="Y18" s="3" t="e">
        <f t="shared" si="12"/>
        <v>#VALUE!</v>
      </c>
      <c r="AA18" s="62"/>
      <c r="AB18" s="62"/>
      <c r="AM18" s="1427"/>
      <c r="AN18" s="1423"/>
      <c r="AO18" s="1424"/>
      <c r="AP18" s="53" t="s">
        <v>167</v>
      </c>
      <c r="AQ18" s="85">
        <f t="shared" si="1"/>
        <v>0</v>
      </c>
    </row>
    <row r="19" spans="2:43">
      <c r="B19" s="1427"/>
      <c r="C19" s="1423"/>
      <c r="D19" s="371" t="s">
        <v>165</v>
      </c>
      <c r="E19" s="60"/>
      <c r="F19" s="74" t="e">
        <f t="shared" ref="F19:M19" si="15">-ROUNDDOWN((F6+F7+F11+F12+F8+F9)*$S$2/100,-1)</f>
        <v>#VALUE!</v>
      </c>
      <c r="G19" s="74" t="e">
        <f t="shared" si="15"/>
        <v>#VALUE!</v>
      </c>
      <c r="H19" s="74" t="e">
        <f t="shared" si="15"/>
        <v>#VALUE!</v>
      </c>
      <c r="I19" s="74" t="e">
        <f t="shared" si="15"/>
        <v>#VALUE!</v>
      </c>
      <c r="J19" s="74" t="e">
        <f t="shared" si="15"/>
        <v>#VALUE!</v>
      </c>
      <c r="K19" s="74" t="e">
        <f t="shared" si="15"/>
        <v>#VALUE!</v>
      </c>
      <c r="L19" s="74" t="e">
        <f t="shared" si="15"/>
        <v>#VALUE!</v>
      </c>
      <c r="M19" s="74" t="e">
        <f t="shared" si="15"/>
        <v>#VALUE!</v>
      </c>
      <c r="O19" s="1447"/>
      <c r="P19" s="634">
        <f>P10</f>
        <v>0</v>
      </c>
      <c r="Q19" s="3" t="e">
        <f>F27*Q10</f>
        <v>#VALUE!</v>
      </c>
      <c r="R19" s="3" t="e">
        <f t="shared" ref="R19:X19" si="16">G27*R10</f>
        <v>#VALUE!</v>
      </c>
      <c r="S19" s="3" t="e">
        <f t="shared" si="16"/>
        <v>#VALUE!</v>
      </c>
      <c r="T19" s="3" t="e">
        <f t="shared" si="16"/>
        <v>#VALUE!</v>
      </c>
      <c r="U19" s="3" t="e">
        <f t="shared" si="16"/>
        <v>#VALUE!</v>
      </c>
      <c r="V19" s="3" t="e">
        <f t="shared" si="16"/>
        <v>#VALUE!</v>
      </c>
      <c r="W19" s="3" t="e">
        <f t="shared" si="16"/>
        <v>#VALUE!</v>
      </c>
      <c r="X19" s="3" t="e">
        <f t="shared" si="16"/>
        <v>#VALUE!</v>
      </c>
      <c r="Y19" s="3" t="e">
        <f t="shared" si="12"/>
        <v>#VALUE!</v>
      </c>
      <c r="AA19" s="62"/>
      <c r="AB19" s="62"/>
      <c r="AM19" s="1427"/>
      <c r="AN19" s="1423"/>
      <c r="AO19" s="717" t="s">
        <v>165</v>
      </c>
      <c r="AP19" s="60"/>
      <c r="AQ19" s="85" t="e">
        <f t="shared" si="1"/>
        <v>#VALUE!</v>
      </c>
    </row>
    <row r="20" spans="2:43">
      <c r="B20" s="1427"/>
      <c r="C20" s="1423"/>
      <c r="D20" s="371" t="s">
        <v>166</v>
      </c>
      <c r="E20" s="60"/>
      <c r="F20" s="74" t="e">
        <f t="shared" ref="F20:M20" si="17">-ROUNDUP(SUM(F6:F19)*$V$2/100,-1)</f>
        <v>#VALUE!</v>
      </c>
      <c r="G20" s="74" t="e">
        <f t="shared" si="17"/>
        <v>#VALUE!</v>
      </c>
      <c r="H20" s="74" t="e">
        <f t="shared" si="17"/>
        <v>#VALUE!</v>
      </c>
      <c r="I20" s="74" t="e">
        <f t="shared" si="17"/>
        <v>#VALUE!</v>
      </c>
      <c r="J20" s="74" t="e">
        <f t="shared" si="17"/>
        <v>#VALUE!</v>
      </c>
      <c r="K20" s="74" t="e">
        <f t="shared" si="17"/>
        <v>#VALUE!</v>
      </c>
      <c r="L20" s="74" t="e">
        <f t="shared" si="17"/>
        <v>#VALUE!</v>
      </c>
      <c r="M20" s="74" t="e">
        <f t="shared" si="17"/>
        <v>#VALUE!</v>
      </c>
      <c r="O20" s="1448"/>
      <c r="P20" s="635" t="s">
        <v>36</v>
      </c>
      <c r="Q20" s="3" t="e">
        <f>SUM(Q15:Q19)</f>
        <v>#VALUE!</v>
      </c>
      <c r="R20" s="3" t="e">
        <f t="shared" ref="R20:Y20" si="18">SUM(R15:R19)</f>
        <v>#VALUE!</v>
      </c>
      <c r="S20" s="3" t="e">
        <f t="shared" si="18"/>
        <v>#VALUE!</v>
      </c>
      <c r="T20" s="3" t="e">
        <f t="shared" si="18"/>
        <v>#VALUE!</v>
      </c>
      <c r="U20" s="3" t="e">
        <f t="shared" si="18"/>
        <v>#VALUE!</v>
      </c>
      <c r="V20" s="3" t="e">
        <f t="shared" si="18"/>
        <v>#VALUE!</v>
      </c>
      <c r="W20" s="3" t="e">
        <f t="shared" si="18"/>
        <v>#VALUE!</v>
      </c>
      <c r="X20" s="3" t="e">
        <f t="shared" si="18"/>
        <v>#VALUE!</v>
      </c>
      <c r="Y20" s="3" t="e">
        <f t="shared" si="18"/>
        <v>#VALUE!</v>
      </c>
      <c r="AA20" s="62"/>
      <c r="AB20" s="62"/>
      <c r="AM20" s="1427"/>
      <c r="AN20" s="1423"/>
      <c r="AO20" s="717" t="s">
        <v>166</v>
      </c>
      <c r="AP20" s="60"/>
      <c r="AQ20" s="85" t="e">
        <f t="shared" si="1"/>
        <v>#VALUE!</v>
      </c>
    </row>
    <row r="21" spans="2:43" ht="15" customHeight="1">
      <c r="B21" s="1427"/>
      <c r="C21" s="1419" t="s">
        <v>204</v>
      </c>
      <c r="D21" s="366" t="s">
        <v>18</v>
      </c>
      <c r="E21" s="59"/>
      <c r="F21" s="3">
        <f>IF(K2=0,0,IF(加算と減算!O13="",0,ROUNDDOWN(加算と減算!Z13/'2月'!$K$2,-1)))</f>
        <v>0</v>
      </c>
      <c r="G21" s="3">
        <f>F21</f>
        <v>0</v>
      </c>
      <c r="H21" s="3">
        <f t="shared" ref="H21:M21" si="19">G21</f>
        <v>0</v>
      </c>
      <c r="I21" s="3">
        <f t="shared" si="19"/>
        <v>0</v>
      </c>
      <c r="J21" s="3">
        <f t="shared" si="19"/>
        <v>0</v>
      </c>
      <c r="K21" s="3">
        <f t="shared" si="19"/>
        <v>0</v>
      </c>
      <c r="L21" s="3">
        <f t="shared" si="19"/>
        <v>0</v>
      </c>
      <c r="M21" s="3">
        <f t="shared" si="19"/>
        <v>0</v>
      </c>
      <c r="O21" s="76"/>
      <c r="P21" s="636"/>
      <c r="Q21" s="54"/>
      <c r="R21" s="54"/>
      <c r="S21" s="9"/>
      <c r="T21" s="9"/>
      <c r="U21" s="54"/>
      <c r="V21" s="54"/>
      <c r="W21" s="10"/>
      <c r="X21" s="10"/>
      <c r="Y21" s="10"/>
      <c r="AA21" s="62"/>
      <c r="AB21" s="62"/>
      <c r="AM21" s="1427"/>
      <c r="AN21" s="1419" t="s">
        <v>204</v>
      </c>
      <c r="AO21" s="720" t="s">
        <v>18</v>
      </c>
      <c r="AP21" s="732" t="s">
        <v>559</v>
      </c>
      <c r="AQ21" s="85">
        <f t="shared" si="1"/>
        <v>0</v>
      </c>
    </row>
    <row r="22" spans="2:43" ht="15" customHeight="1">
      <c r="B22" s="1427"/>
      <c r="C22" s="1420"/>
      <c r="D22" s="366" t="s">
        <v>62</v>
      </c>
      <c r="E22" s="59"/>
      <c r="F22" s="3">
        <f>IF(K2=0,0,ROUNDDOWN(IF(加算と減算!O14="○",加算と減算!U14,IF(加算と減算!O15="○",加算と減算!U15,0))/K2,-1))</f>
        <v>0</v>
      </c>
      <c r="G22" s="3">
        <f t="shared" ref="G22:M26" si="20">F22</f>
        <v>0</v>
      </c>
      <c r="H22" s="3">
        <f t="shared" si="20"/>
        <v>0</v>
      </c>
      <c r="I22" s="3">
        <f t="shared" si="20"/>
        <v>0</v>
      </c>
      <c r="J22" s="3">
        <f t="shared" si="20"/>
        <v>0</v>
      </c>
      <c r="K22" s="3">
        <f t="shared" si="20"/>
        <v>0</v>
      </c>
      <c r="L22" s="3">
        <f t="shared" si="20"/>
        <v>0</v>
      </c>
      <c r="M22" s="3">
        <f>L22</f>
        <v>0</v>
      </c>
      <c r="O22" s="1443" t="s">
        <v>180</v>
      </c>
      <c r="P22" s="367" t="s">
        <v>171</v>
      </c>
      <c r="Q22" s="368" t="s">
        <v>178</v>
      </c>
      <c r="R22" s="367" t="s">
        <v>179</v>
      </c>
      <c r="S22" s="4"/>
      <c r="T22" s="1443" t="s">
        <v>188</v>
      </c>
      <c r="U22" s="367" t="s">
        <v>171</v>
      </c>
      <c r="V22" s="40" t="s">
        <v>179</v>
      </c>
      <c r="AA22" s="62"/>
      <c r="AB22" s="62"/>
      <c r="AM22" s="1427"/>
      <c r="AN22" s="1420"/>
      <c r="AO22" s="720" t="s">
        <v>62</v>
      </c>
      <c r="AP22" s="732" t="s">
        <v>559</v>
      </c>
      <c r="AQ22" s="85">
        <f t="shared" si="1"/>
        <v>0</v>
      </c>
    </row>
    <row r="23" spans="2:43" ht="16.5">
      <c r="B23" s="1427"/>
      <c r="C23" s="1420"/>
      <c r="D23" s="366" t="s">
        <v>19</v>
      </c>
      <c r="E23" s="59"/>
      <c r="F23" s="3">
        <f>IF(K2=0,0,IF(加算と減算!O16="",0,ROUNDDOWN(加算と減算!U16/'2月'!$K$2,-1)))</f>
        <v>0</v>
      </c>
      <c r="G23" s="3">
        <f t="shared" si="20"/>
        <v>0</v>
      </c>
      <c r="H23" s="3">
        <f t="shared" si="20"/>
        <v>0</v>
      </c>
      <c r="I23" s="3">
        <f t="shared" si="20"/>
        <v>0</v>
      </c>
      <c r="J23" s="3">
        <f t="shared" si="20"/>
        <v>0</v>
      </c>
      <c r="K23" s="3">
        <f t="shared" si="20"/>
        <v>0</v>
      </c>
      <c r="L23" s="3">
        <f t="shared" si="20"/>
        <v>0</v>
      </c>
      <c r="M23" s="3">
        <f t="shared" si="20"/>
        <v>0</v>
      </c>
      <c r="O23" s="1447"/>
      <c r="P23" s="630">
        <f>P6</f>
        <v>0</v>
      </c>
      <c r="Q23" s="3">
        <f>児童数!AE32</f>
        <v>0</v>
      </c>
      <c r="R23" s="64">
        <f>4500*Q23</f>
        <v>0</v>
      </c>
      <c r="S23" s="4"/>
      <c r="T23" s="1447"/>
      <c r="U23" s="630">
        <f>P6</f>
        <v>0</v>
      </c>
      <c r="V23" s="65" t="e">
        <f>Y15+R23</f>
        <v>#VALUE!</v>
      </c>
      <c r="AA23" s="62"/>
      <c r="AB23" s="62"/>
      <c r="AM23" s="1427"/>
      <c r="AN23" s="1420"/>
      <c r="AO23" s="720" t="s">
        <v>19</v>
      </c>
      <c r="AP23" s="732" t="s">
        <v>559</v>
      </c>
      <c r="AQ23" s="85">
        <f t="shared" si="1"/>
        <v>0</v>
      </c>
    </row>
    <row r="24" spans="2:43" ht="16.5">
      <c r="B24" s="1427"/>
      <c r="C24" s="1420"/>
      <c r="D24" s="366" t="s">
        <v>41</v>
      </c>
      <c r="E24" s="59"/>
      <c r="F24" s="3">
        <f>IF(K2=0,0,IF(加算と減算!D17="",0,ROUNDDOWN(加算と減算!Z17/'2月'!$K$2,-1)))</f>
        <v>0</v>
      </c>
      <c r="G24" s="3">
        <f t="shared" si="20"/>
        <v>0</v>
      </c>
      <c r="H24" s="3">
        <f t="shared" si="20"/>
        <v>0</v>
      </c>
      <c r="I24" s="3">
        <f t="shared" si="20"/>
        <v>0</v>
      </c>
      <c r="J24" s="3">
        <f t="shared" si="20"/>
        <v>0</v>
      </c>
      <c r="K24" s="3">
        <f t="shared" si="20"/>
        <v>0</v>
      </c>
      <c r="L24" s="3">
        <f t="shared" si="20"/>
        <v>0</v>
      </c>
      <c r="M24" s="3">
        <f t="shared" si="20"/>
        <v>0</v>
      </c>
      <c r="O24" s="1447"/>
      <c r="P24" s="631">
        <f>P7</f>
        <v>0</v>
      </c>
      <c r="Q24" s="3">
        <f>児童数!AE46</f>
        <v>0</v>
      </c>
      <c r="R24" s="64">
        <f t="shared" ref="R24:R27" si="21">4500*Q24</f>
        <v>0</v>
      </c>
      <c r="S24" s="4"/>
      <c r="T24" s="1447"/>
      <c r="U24" s="631">
        <f>P7</f>
        <v>0</v>
      </c>
      <c r="V24" s="66" t="e">
        <f>Y16+R24</f>
        <v>#VALUE!</v>
      </c>
      <c r="AA24" s="62"/>
      <c r="AB24" s="62"/>
      <c r="AM24" s="1427"/>
      <c r="AN24" s="1420"/>
      <c r="AO24" s="720" t="s">
        <v>41</v>
      </c>
      <c r="AP24" s="732" t="s">
        <v>559</v>
      </c>
      <c r="AQ24" s="85">
        <f t="shared" si="1"/>
        <v>0</v>
      </c>
    </row>
    <row r="25" spans="2:43" ht="16.5">
      <c r="B25" s="1427"/>
      <c r="C25" s="1420"/>
      <c r="D25" s="366" t="s">
        <v>42</v>
      </c>
      <c r="E25" s="59"/>
      <c r="F25" s="3" t="str">
        <f>加算と減算!U18</f>
        <v/>
      </c>
      <c r="G25" s="3" t="str">
        <f t="shared" si="20"/>
        <v/>
      </c>
      <c r="H25" s="3" t="str">
        <f t="shared" si="20"/>
        <v/>
      </c>
      <c r="I25" s="3" t="str">
        <f t="shared" si="20"/>
        <v/>
      </c>
      <c r="J25" s="3" t="str">
        <f t="shared" si="20"/>
        <v/>
      </c>
      <c r="K25" s="3" t="str">
        <f t="shared" si="20"/>
        <v/>
      </c>
      <c r="L25" s="3" t="str">
        <f t="shared" si="20"/>
        <v/>
      </c>
      <c r="M25" s="3" t="str">
        <f t="shared" si="20"/>
        <v/>
      </c>
      <c r="O25" s="1447"/>
      <c r="P25" s="632">
        <f>P8</f>
        <v>0</v>
      </c>
      <c r="Q25" s="3">
        <f>児童数!AE60</f>
        <v>0</v>
      </c>
      <c r="R25" s="64">
        <f t="shared" si="21"/>
        <v>0</v>
      </c>
      <c r="S25" s="4"/>
      <c r="T25" s="1447"/>
      <c r="U25" s="632">
        <f>P8</f>
        <v>0</v>
      </c>
      <c r="V25" s="67" t="e">
        <f>Y17+R25</f>
        <v>#VALUE!</v>
      </c>
      <c r="AA25" s="62"/>
      <c r="AB25" s="62"/>
      <c r="AM25" s="1427"/>
      <c r="AN25" s="1420"/>
      <c r="AO25" s="718" t="s">
        <v>42</v>
      </c>
      <c r="AP25" s="731" t="s">
        <v>353</v>
      </c>
      <c r="AQ25" s="85">
        <f t="shared" si="1"/>
        <v>0</v>
      </c>
    </row>
    <row r="26" spans="2:43" ht="16.5">
      <c r="B26" s="1427"/>
      <c r="C26" s="1421"/>
      <c r="D26" s="366" t="s">
        <v>80</v>
      </c>
      <c r="E26" s="59"/>
      <c r="F26" s="3">
        <f>IF(K2=0,0,ROUNDDOWN(IF(加算と減算!O26="○",加算と減算!U26,IF(加算と減算!O27="○",加算と減算!U27,IF(加算と減算!O28="○",加算と減算!U28,0)))/K2,-1))</f>
        <v>0</v>
      </c>
      <c r="G26" s="3">
        <f t="shared" si="20"/>
        <v>0</v>
      </c>
      <c r="H26" s="3">
        <f t="shared" si="20"/>
        <v>0</v>
      </c>
      <c r="I26" s="3">
        <f t="shared" si="20"/>
        <v>0</v>
      </c>
      <c r="J26" s="3">
        <f t="shared" si="20"/>
        <v>0</v>
      </c>
      <c r="K26" s="3">
        <f t="shared" si="20"/>
        <v>0</v>
      </c>
      <c r="L26" s="3">
        <f t="shared" si="20"/>
        <v>0</v>
      </c>
      <c r="M26" s="3">
        <f t="shared" si="20"/>
        <v>0</v>
      </c>
      <c r="O26" s="1447"/>
      <c r="P26" s="633">
        <f>P9</f>
        <v>0</v>
      </c>
      <c r="Q26" s="3">
        <f>児童数!AE74</f>
        <v>0</v>
      </c>
      <c r="R26" s="64">
        <f t="shared" si="21"/>
        <v>0</v>
      </c>
      <c r="S26" s="4"/>
      <c r="T26" s="1447"/>
      <c r="U26" s="633">
        <f>P9</f>
        <v>0</v>
      </c>
      <c r="V26" s="68" t="e">
        <f>Y18+R26</f>
        <v>#VALUE!</v>
      </c>
      <c r="AA26" s="62"/>
      <c r="AB26" s="62"/>
      <c r="AM26" s="1427"/>
      <c r="AN26" s="1421"/>
      <c r="AO26" s="720" t="s">
        <v>80</v>
      </c>
      <c r="AP26" s="731" t="s">
        <v>353</v>
      </c>
      <c r="AQ26" s="85">
        <f t="shared" si="1"/>
        <v>0</v>
      </c>
    </row>
    <row r="27" spans="2:43" ht="18.75" customHeight="1" thickBot="1">
      <c r="B27" s="1428"/>
      <c r="C27" s="1410" t="s">
        <v>44</v>
      </c>
      <c r="D27" s="1411"/>
      <c r="E27" s="53"/>
      <c r="F27" s="5" t="e">
        <f t="shared" ref="F27:M27" si="22">SUM(F6:F26)</f>
        <v>#VALUE!</v>
      </c>
      <c r="G27" s="5" t="e">
        <f t="shared" si="22"/>
        <v>#VALUE!</v>
      </c>
      <c r="H27" s="5" t="e">
        <f t="shared" si="22"/>
        <v>#VALUE!</v>
      </c>
      <c r="I27" s="5" t="e">
        <f t="shared" si="22"/>
        <v>#VALUE!</v>
      </c>
      <c r="J27" s="5" t="e">
        <f t="shared" si="22"/>
        <v>#VALUE!</v>
      </c>
      <c r="K27" s="5" t="e">
        <f t="shared" si="22"/>
        <v>#VALUE!</v>
      </c>
      <c r="L27" s="5" t="e">
        <f t="shared" si="22"/>
        <v>#VALUE!</v>
      </c>
      <c r="M27" s="5" t="e">
        <f t="shared" si="22"/>
        <v>#VALUE!</v>
      </c>
      <c r="O27" s="1447"/>
      <c r="P27" s="634">
        <f>P10</f>
        <v>0</v>
      </c>
      <c r="Q27" s="3">
        <f>児童数!AE88</f>
        <v>0</v>
      </c>
      <c r="R27" s="64">
        <f t="shared" si="21"/>
        <v>0</v>
      </c>
      <c r="S27" s="4"/>
      <c r="T27" s="1447"/>
      <c r="U27" s="634">
        <f>P10</f>
        <v>0</v>
      </c>
      <c r="V27" s="69" t="e">
        <f>Y19+R27</f>
        <v>#VALUE!</v>
      </c>
      <c r="AA27" s="62"/>
      <c r="AB27" s="62"/>
      <c r="AM27" s="1428"/>
      <c r="AN27" s="1425" t="s">
        <v>562</v>
      </c>
      <c r="AO27" s="1425"/>
      <c r="AP27" s="733" t="s">
        <v>376</v>
      </c>
      <c r="AQ27" s="85">
        <f>R28</f>
        <v>0</v>
      </c>
    </row>
    <row r="28" spans="2:43" ht="15.75" thickBot="1">
      <c r="B28" s="263"/>
      <c r="C28" s="58"/>
      <c r="D28" s="58"/>
      <c r="E28" s="58" t="s">
        <v>167</v>
      </c>
      <c r="F28" s="7" t="e">
        <f>F7+F9+F12+F16+F18</f>
        <v>#VALUE!</v>
      </c>
      <c r="G28" s="7" t="e">
        <f t="shared" ref="G28:M28" si="23">G7+G9+G12+G16+G18</f>
        <v>#VALUE!</v>
      </c>
      <c r="H28" s="7" t="e">
        <f t="shared" si="23"/>
        <v>#VALUE!</v>
      </c>
      <c r="I28" s="7" t="e">
        <f t="shared" si="23"/>
        <v>#VALUE!</v>
      </c>
      <c r="J28" s="7" t="e">
        <f t="shared" si="23"/>
        <v>#VALUE!</v>
      </c>
      <c r="K28" s="7" t="e">
        <f>K7+K9+K12+K16+K18</f>
        <v>#VALUE!</v>
      </c>
      <c r="L28" s="7" t="e">
        <f>L7+L9+L12+L16+L18</f>
        <v>#VALUE!</v>
      </c>
      <c r="M28" s="7" t="e">
        <f t="shared" si="23"/>
        <v>#VALUE!</v>
      </c>
      <c r="O28" s="1448"/>
      <c r="P28" s="635" t="s">
        <v>36</v>
      </c>
      <c r="Q28" s="3">
        <f>SUM(Q23:Q27)</f>
        <v>0</v>
      </c>
      <c r="R28" s="3">
        <f>SUM(R23:R27)</f>
        <v>0</v>
      </c>
      <c r="S28" s="4"/>
      <c r="T28" s="1448"/>
      <c r="U28" s="635" t="s">
        <v>36</v>
      </c>
      <c r="V28" s="70" t="e">
        <f>SUM(V23:V27)</f>
        <v>#VALUE!</v>
      </c>
      <c r="AA28" s="62"/>
      <c r="AB28" s="62"/>
      <c r="AG28" s="288" t="e">
        <f>SUMPRODUCT(F28:M28,Q11:X11)</f>
        <v>#VALUE!</v>
      </c>
      <c r="AM28" s="263"/>
      <c r="AN28" s="1410" t="s">
        <v>44</v>
      </c>
      <c r="AO28" s="1411"/>
      <c r="AP28" s="53"/>
      <c r="AQ28" s="85" t="e">
        <f>SUM(AQ6:AQ27)</f>
        <v>#VALUE!</v>
      </c>
    </row>
    <row r="29" spans="2:43" ht="15" customHeight="1">
      <c r="E29" s="1020" t="s">
        <v>703</v>
      </c>
      <c r="F29" s="264" t="e">
        <f>-ROUNDUP(SUM(F6:F9,F11:F19)*$V$2/100,-1)</f>
        <v>#VALUE!</v>
      </c>
      <c r="G29" s="264" t="e">
        <f t="shared" ref="G29:M29" si="24">-ROUNDUP(SUM(G6:G9,G11:G19)*$V$2/100,-1)</f>
        <v>#VALUE!</v>
      </c>
      <c r="H29" s="264" t="e">
        <f t="shared" si="24"/>
        <v>#VALUE!</v>
      </c>
      <c r="I29" s="264" t="e">
        <f t="shared" si="24"/>
        <v>#VALUE!</v>
      </c>
      <c r="J29" s="264" t="e">
        <f t="shared" si="24"/>
        <v>#VALUE!</v>
      </c>
      <c r="K29" s="264" t="e">
        <f t="shared" si="24"/>
        <v>#VALUE!</v>
      </c>
      <c r="L29" s="264" t="e">
        <f t="shared" si="24"/>
        <v>#VALUE!</v>
      </c>
      <c r="M29" s="264" t="e">
        <f t="shared" si="24"/>
        <v>#VALUE!</v>
      </c>
      <c r="O29" s="637"/>
      <c r="P29" s="637"/>
      <c r="Q29" s="637"/>
      <c r="R29" s="637"/>
      <c r="S29" s="637"/>
      <c r="T29" s="637"/>
      <c r="U29" s="637"/>
      <c r="V29" s="63"/>
      <c r="AA29" s="62"/>
      <c r="AB29" s="62"/>
      <c r="AO29" s="1"/>
      <c r="AP29" s="57"/>
    </row>
    <row r="30" spans="2:43" ht="15" customHeight="1">
      <c r="B30" s="1412" t="s">
        <v>3</v>
      </c>
      <c r="C30" s="1415"/>
      <c r="D30" s="1415"/>
      <c r="E30" s="1416" t="s">
        <v>172</v>
      </c>
      <c r="F30" s="1418" t="s">
        <v>15</v>
      </c>
      <c r="G30" s="1418"/>
      <c r="H30" s="1418"/>
      <c r="I30" s="1418"/>
      <c r="J30" s="1418" t="s">
        <v>16</v>
      </c>
      <c r="K30" s="1418"/>
      <c r="L30" s="1418"/>
      <c r="M30" s="1418"/>
      <c r="O30" s="1449" t="s">
        <v>40</v>
      </c>
      <c r="P30" s="1446" t="s">
        <v>171</v>
      </c>
      <c r="Q30" s="1440" t="s">
        <v>15</v>
      </c>
      <c r="R30" s="1440"/>
      <c r="S30" s="1440"/>
      <c r="T30" s="1440"/>
      <c r="U30" s="1440" t="s">
        <v>16</v>
      </c>
      <c r="V30" s="1440"/>
      <c r="W30" s="1440"/>
      <c r="X30" s="1440"/>
      <c r="Y30" s="1441" t="s">
        <v>177</v>
      </c>
      <c r="Z30" s="11"/>
      <c r="AA30" s="57"/>
      <c r="AB30" s="62"/>
      <c r="AM30" s="1412" t="s">
        <v>3</v>
      </c>
      <c r="AN30" s="1415"/>
      <c r="AO30" s="1415"/>
      <c r="AP30" s="1416" t="s">
        <v>172</v>
      </c>
      <c r="AQ30" s="85"/>
    </row>
    <row r="31" spans="2:43" s="1" customFormat="1">
      <c r="B31" s="1413"/>
      <c r="C31" s="1415"/>
      <c r="D31" s="1415"/>
      <c r="E31" s="1417"/>
      <c r="F31" s="370" t="s">
        <v>6</v>
      </c>
      <c r="G31" s="370" t="s">
        <v>7</v>
      </c>
      <c r="H31" s="370" t="s">
        <v>8</v>
      </c>
      <c r="I31" s="370" t="s">
        <v>9</v>
      </c>
      <c r="J31" s="370" t="s">
        <v>6</v>
      </c>
      <c r="K31" s="370" t="s">
        <v>7</v>
      </c>
      <c r="L31" s="370" t="s">
        <v>8</v>
      </c>
      <c r="M31" s="370" t="s">
        <v>9</v>
      </c>
      <c r="N31" s="2"/>
      <c r="O31" s="1444"/>
      <c r="P31" s="1446"/>
      <c r="Q31" s="368" t="s">
        <v>6</v>
      </c>
      <c r="R31" s="368" t="s">
        <v>7</v>
      </c>
      <c r="S31" s="368" t="s">
        <v>8</v>
      </c>
      <c r="T31" s="368" t="s">
        <v>9</v>
      </c>
      <c r="U31" s="368" t="s">
        <v>6</v>
      </c>
      <c r="V31" s="368" t="s">
        <v>7</v>
      </c>
      <c r="W31" s="368" t="s">
        <v>8</v>
      </c>
      <c r="X31" s="368" t="s">
        <v>9</v>
      </c>
      <c r="Y31" s="1442"/>
      <c r="Z31" s="11"/>
      <c r="AA31" s="57"/>
      <c r="AB31" s="57"/>
      <c r="AE31" s="2"/>
      <c r="AM31" s="1413"/>
      <c r="AN31" s="1415"/>
      <c r="AO31" s="1415"/>
      <c r="AP31" s="1417"/>
      <c r="AQ31" s="85"/>
    </row>
    <row r="32" spans="2:43" s="1" customFormat="1">
      <c r="B32" s="1413"/>
      <c r="C32" s="1418" t="s">
        <v>17</v>
      </c>
      <c r="D32" s="1418"/>
      <c r="E32" s="53" t="s">
        <v>169</v>
      </c>
      <c r="F32" s="3">
        <f>単価表!AV23</f>
        <v>0</v>
      </c>
      <c r="G32" s="3">
        <f>単価表!AV25</f>
        <v>0</v>
      </c>
      <c r="H32" s="3">
        <f>単価表!AV27</f>
        <v>0</v>
      </c>
      <c r="I32" s="3">
        <f>単価表!AV29</f>
        <v>0</v>
      </c>
      <c r="J32" s="3">
        <f>単価表!AW23</f>
        <v>0</v>
      </c>
      <c r="K32" s="3">
        <f>単価表!AW25</f>
        <v>0</v>
      </c>
      <c r="L32" s="3">
        <f>単価表!AW27</f>
        <v>0</v>
      </c>
      <c r="M32" s="3">
        <f>単価表!AW29</f>
        <v>0</v>
      </c>
      <c r="O32" s="1444"/>
      <c r="P32" s="630">
        <f>P6</f>
        <v>0</v>
      </c>
      <c r="Q32" s="3">
        <f>児童数!R32</f>
        <v>0</v>
      </c>
      <c r="R32" s="3">
        <f>児童数!S32</f>
        <v>0</v>
      </c>
      <c r="S32" s="3">
        <f>児童数!T32</f>
        <v>0</v>
      </c>
      <c r="T32" s="3">
        <f>児童数!U32</f>
        <v>0</v>
      </c>
      <c r="U32" s="3">
        <f>児童数!W32</f>
        <v>0</v>
      </c>
      <c r="V32" s="3">
        <f>児童数!X32</f>
        <v>0</v>
      </c>
      <c r="W32" s="3">
        <f>児童数!Y32</f>
        <v>0</v>
      </c>
      <c r="X32" s="3">
        <f>児童数!Z32</f>
        <v>0</v>
      </c>
      <c r="Y32" s="64">
        <f>SUM(Q32:X32)</f>
        <v>0</v>
      </c>
      <c r="Z32" s="2"/>
      <c r="AA32" s="57"/>
      <c r="AB32" s="57"/>
      <c r="AM32" s="1413"/>
      <c r="AN32" s="1418" t="s">
        <v>17</v>
      </c>
      <c r="AO32" s="1418"/>
      <c r="AP32" s="53" t="s">
        <v>169</v>
      </c>
      <c r="AQ32" s="85">
        <f>SUMPRODUCT(F32:M32,$Q$37:$X$37)</f>
        <v>0</v>
      </c>
    </row>
    <row r="33" spans="2:43" s="1" customFormat="1" ht="15" customHeight="1">
      <c r="B33" s="1413"/>
      <c r="C33" s="1418"/>
      <c r="D33" s="1418"/>
      <c r="E33" s="53" t="s">
        <v>167</v>
      </c>
      <c r="F33" s="3">
        <f>単価表!AX23*基本情報!G7</f>
        <v>0</v>
      </c>
      <c r="G33" s="3">
        <f>単価表!AX25*基本情報!G7</f>
        <v>0</v>
      </c>
      <c r="H33" s="3">
        <f>単価表!AX27*基本情報!G7</f>
        <v>0</v>
      </c>
      <c r="I33" s="3">
        <f>単価表!AX29*基本情報!G7</f>
        <v>0</v>
      </c>
      <c r="J33" s="3">
        <f>単価表!AY23*基本情報!G7</f>
        <v>0</v>
      </c>
      <c r="K33" s="3">
        <f>単価表!AY25*基本情報!G7</f>
        <v>0</v>
      </c>
      <c r="L33" s="3">
        <f>単価表!AY27*基本情報!G7</f>
        <v>0</v>
      </c>
      <c r="M33" s="3">
        <f>単価表!AY29*基本情報!G7</f>
        <v>0</v>
      </c>
      <c r="O33" s="1444"/>
      <c r="P33" s="631">
        <f>P7</f>
        <v>0</v>
      </c>
      <c r="Q33" s="3">
        <f>児童数!R46</f>
        <v>0</v>
      </c>
      <c r="R33" s="3">
        <f>児童数!S46</f>
        <v>0</v>
      </c>
      <c r="S33" s="3">
        <f>児童数!T46</f>
        <v>0</v>
      </c>
      <c r="T33" s="3">
        <f>児童数!U46</f>
        <v>0</v>
      </c>
      <c r="U33" s="3">
        <f>児童数!W46</f>
        <v>0</v>
      </c>
      <c r="V33" s="3">
        <f>児童数!X46</f>
        <v>0</v>
      </c>
      <c r="W33" s="3">
        <f>児童数!Y46</f>
        <v>0</v>
      </c>
      <c r="X33" s="3">
        <f>児童数!Z46</f>
        <v>0</v>
      </c>
      <c r="Y33" s="64">
        <f t="shared" ref="Y33:Y36" si="25">SUM(Q33:X33)</f>
        <v>0</v>
      </c>
      <c r="Z33" s="2"/>
      <c r="AA33" s="62"/>
      <c r="AB33" s="57"/>
      <c r="AM33" s="1413"/>
      <c r="AN33" s="1418"/>
      <c r="AO33" s="1418"/>
      <c r="AP33" s="53" t="s">
        <v>167</v>
      </c>
      <c r="AQ33" s="85">
        <f t="shared" ref="AQ33:AQ53" si="26">SUMPRODUCT(F33:M33,$Q$37:$X$37)</f>
        <v>0</v>
      </c>
    </row>
    <row r="34" spans="2:43" ht="16.5">
      <c r="B34" s="1413"/>
      <c r="C34" s="1419" t="s">
        <v>203</v>
      </c>
      <c r="D34" s="1422" t="s">
        <v>37</v>
      </c>
      <c r="E34" s="53" t="s">
        <v>169</v>
      </c>
      <c r="F34" s="6"/>
      <c r="G34" s="3">
        <f>IF(基本情報!E5="",0,G8)</f>
        <v>0</v>
      </c>
      <c r="H34" s="6"/>
      <c r="I34" s="6"/>
      <c r="J34" s="6"/>
      <c r="K34" s="3">
        <f>IF(基本情報!E5="",0,K8)</f>
        <v>0</v>
      </c>
      <c r="L34" s="6"/>
      <c r="M34" s="6"/>
      <c r="N34" s="1"/>
      <c r="O34" s="1444"/>
      <c r="P34" s="632">
        <f>P8</f>
        <v>0</v>
      </c>
      <c r="Q34" s="3">
        <f>児童数!R60</f>
        <v>0</v>
      </c>
      <c r="R34" s="3">
        <f>児童数!S60</f>
        <v>0</v>
      </c>
      <c r="S34" s="3">
        <f>児童数!T60</f>
        <v>0</v>
      </c>
      <c r="T34" s="3">
        <f>児童数!U60</f>
        <v>0</v>
      </c>
      <c r="U34" s="3">
        <f>児童数!W60</f>
        <v>0</v>
      </c>
      <c r="V34" s="3">
        <f>児童数!X60</f>
        <v>0</v>
      </c>
      <c r="W34" s="3">
        <f>児童数!Y60</f>
        <v>0</v>
      </c>
      <c r="X34" s="3">
        <f>児童数!Z60</f>
        <v>0</v>
      </c>
      <c r="Y34" s="64">
        <f t="shared" si="25"/>
        <v>0</v>
      </c>
      <c r="AA34" s="62"/>
      <c r="AB34" s="62"/>
      <c r="AE34" s="1"/>
      <c r="AM34" s="1413"/>
      <c r="AN34" s="1419" t="s">
        <v>203</v>
      </c>
      <c r="AO34" s="1422" t="s">
        <v>37</v>
      </c>
      <c r="AP34" s="732" t="s">
        <v>559</v>
      </c>
      <c r="AQ34" s="85">
        <f t="shared" si="26"/>
        <v>0</v>
      </c>
    </row>
    <row r="35" spans="2:43">
      <c r="B35" s="1413"/>
      <c r="C35" s="1420"/>
      <c r="D35" s="1422"/>
      <c r="E35" s="53" t="s">
        <v>167</v>
      </c>
      <c r="F35" s="6"/>
      <c r="G35" s="3">
        <f>IF(基本情報!E5="",0,G9)</f>
        <v>0</v>
      </c>
      <c r="H35" s="6"/>
      <c r="I35" s="6"/>
      <c r="J35" s="6"/>
      <c r="K35" s="3">
        <f>IF(基本情報!E5="",0,K9)</f>
        <v>0</v>
      </c>
      <c r="L35" s="6"/>
      <c r="M35" s="6"/>
      <c r="O35" s="1444"/>
      <c r="P35" s="633">
        <f>P9</f>
        <v>0</v>
      </c>
      <c r="Q35" s="3">
        <f>児童数!R74</f>
        <v>0</v>
      </c>
      <c r="R35" s="3">
        <f>児童数!S74</f>
        <v>0</v>
      </c>
      <c r="S35" s="3">
        <f>児童数!T74</f>
        <v>0</v>
      </c>
      <c r="T35" s="3">
        <f>児童数!U74</f>
        <v>0</v>
      </c>
      <c r="U35" s="3">
        <f>児童数!W74</f>
        <v>0</v>
      </c>
      <c r="V35" s="3">
        <f>児童数!X74</f>
        <v>0</v>
      </c>
      <c r="W35" s="3">
        <f>児童数!Y74</f>
        <v>0</v>
      </c>
      <c r="X35" s="3">
        <f>児童数!Z74</f>
        <v>0</v>
      </c>
      <c r="Y35" s="64">
        <f t="shared" si="25"/>
        <v>0</v>
      </c>
      <c r="AA35" s="62"/>
      <c r="AB35" s="62"/>
      <c r="AM35" s="1413"/>
      <c r="AN35" s="1420"/>
      <c r="AO35" s="1422"/>
      <c r="AP35" s="53" t="s">
        <v>167</v>
      </c>
      <c r="AQ35" s="85">
        <f t="shared" si="26"/>
        <v>0</v>
      </c>
    </row>
    <row r="36" spans="2:43">
      <c r="B36" s="1413"/>
      <c r="C36" s="1420"/>
      <c r="D36" s="383" t="s">
        <v>69</v>
      </c>
      <c r="E36" s="60"/>
      <c r="F36" s="3">
        <f>IF(基本情報!E5="",0,F10)</f>
        <v>0</v>
      </c>
      <c r="G36" s="3">
        <f>$F36</f>
        <v>0</v>
      </c>
      <c r="H36" s="3">
        <f t="shared" ref="H36:M36" si="27">$F36</f>
        <v>0</v>
      </c>
      <c r="I36" s="3">
        <f t="shared" si="27"/>
        <v>0</v>
      </c>
      <c r="J36" s="3">
        <f t="shared" si="27"/>
        <v>0</v>
      </c>
      <c r="K36" s="3">
        <f t="shared" si="27"/>
        <v>0</v>
      </c>
      <c r="L36" s="3">
        <f t="shared" si="27"/>
        <v>0</v>
      </c>
      <c r="M36" s="3">
        <f t="shared" si="27"/>
        <v>0</v>
      </c>
      <c r="O36" s="1444"/>
      <c r="P36" s="634">
        <f>P10</f>
        <v>0</v>
      </c>
      <c r="Q36" s="3">
        <f>児童数!R88</f>
        <v>0</v>
      </c>
      <c r="R36" s="3">
        <f>児童数!S88</f>
        <v>0</v>
      </c>
      <c r="S36" s="3">
        <f>児童数!T88</f>
        <v>0</v>
      </c>
      <c r="T36" s="3">
        <f>児童数!U88</f>
        <v>0</v>
      </c>
      <c r="U36" s="3">
        <f>児童数!W88</f>
        <v>0</v>
      </c>
      <c r="V36" s="3">
        <f>児童数!X88</f>
        <v>0</v>
      </c>
      <c r="W36" s="3">
        <f>児童数!Y88</f>
        <v>0</v>
      </c>
      <c r="X36" s="3">
        <f>児童数!Z88</f>
        <v>0</v>
      </c>
      <c r="Y36" s="64">
        <f t="shared" si="25"/>
        <v>0</v>
      </c>
      <c r="AA36" s="62"/>
      <c r="AB36" s="62"/>
      <c r="AM36" s="1413"/>
      <c r="AN36" s="1420"/>
      <c r="AO36" s="383" t="s">
        <v>69</v>
      </c>
      <c r="AP36" s="629"/>
      <c r="AQ36" s="85">
        <f t="shared" si="26"/>
        <v>0</v>
      </c>
    </row>
    <row r="37" spans="2:43">
      <c r="B37" s="1413"/>
      <c r="C37" s="1420"/>
      <c r="D37" s="1422" t="s">
        <v>161</v>
      </c>
      <c r="E37" s="53" t="s">
        <v>169</v>
      </c>
      <c r="F37" s="3">
        <f>IF(基本情報!E5="",0,F11)</f>
        <v>0</v>
      </c>
      <c r="G37" s="3">
        <f>F37</f>
        <v>0</v>
      </c>
      <c r="H37" s="3">
        <f>IF(基本情報!E5="",0,H11)</f>
        <v>0</v>
      </c>
      <c r="I37" s="3">
        <f>H37</f>
        <v>0</v>
      </c>
      <c r="J37" s="3">
        <f>F37</f>
        <v>0</v>
      </c>
      <c r="K37" s="3">
        <f>F37</f>
        <v>0</v>
      </c>
      <c r="L37" s="3">
        <f>H37</f>
        <v>0</v>
      </c>
      <c r="M37" s="3">
        <f>H37</f>
        <v>0</v>
      </c>
      <c r="O37" s="1445"/>
      <c r="P37" s="635" t="s">
        <v>36</v>
      </c>
      <c r="Q37" s="3">
        <f>SUM(Q32:Q36)</f>
        <v>0</v>
      </c>
      <c r="R37" s="3">
        <f t="shared" ref="R37:Y37" si="28">SUM(R32:R36)</f>
        <v>0</v>
      </c>
      <c r="S37" s="3">
        <f t="shared" si="28"/>
        <v>0</v>
      </c>
      <c r="T37" s="3">
        <f t="shared" si="28"/>
        <v>0</v>
      </c>
      <c r="U37" s="3">
        <f t="shared" si="28"/>
        <v>0</v>
      </c>
      <c r="V37" s="3">
        <f t="shared" si="28"/>
        <v>0</v>
      </c>
      <c r="W37" s="3">
        <f t="shared" si="28"/>
        <v>0</v>
      </c>
      <c r="X37" s="3">
        <f t="shared" si="28"/>
        <v>0</v>
      </c>
      <c r="Y37" s="3">
        <f t="shared" si="28"/>
        <v>0</v>
      </c>
      <c r="Z37" s="55" t="s">
        <v>176</v>
      </c>
      <c r="AA37" s="71" t="str">
        <f>IF(SUM(Q37:X37)=I2,"OK",SUM(Q37:X37)-G27)</f>
        <v>OK</v>
      </c>
      <c r="AM37" s="1413"/>
      <c r="AN37" s="1420"/>
      <c r="AO37" s="1422" t="s">
        <v>161</v>
      </c>
      <c r="AP37" s="53" t="s">
        <v>169</v>
      </c>
      <c r="AQ37" s="85">
        <f t="shared" si="26"/>
        <v>0</v>
      </c>
    </row>
    <row r="38" spans="2:43">
      <c r="B38" s="1413"/>
      <c r="C38" s="1420"/>
      <c r="D38" s="1422"/>
      <c r="E38" s="53" t="s">
        <v>167</v>
      </c>
      <c r="F38" s="3">
        <f>IF(基本情報!E5="",0,F12)</f>
        <v>0</v>
      </c>
      <c r="G38" s="3">
        <f t="shared" ref="G38:M42" si="29">$F38</f>
        <v>0</v>
      </c>
      <c r="H38" s="3">
        <f t="shared" si="29"/>
        <v>0</v>
      </c>
      <c r="I38" s="3">
        <f t="shared" si="29"/>
        <v>0</v>
      </c>
      <c r="J38" s="3">
        <f t="shared" si="29"/>
        <v>0</v>
      </c>
      <c r="K38" s="3">
        <f t="shared" si="29"/>
        <v>0</v>
      </c>
      <c r="L38" s="3">
        <f t="shared" si="29"/>
        <v>0</v>
      </c>
      <c r="M38" s="3">
        <f t="shared" si="29"/>
        <v>0</v>
      </c>
      <c r="O38" s="58"/>
      <c r="P38" s="58"/>
      <c r="Q38" s="10"/>
      <c r="R38" s="10"/>
      <c r="S38" s="10"/>
      <c r="T38" s="10"/>
      <c r="U38" s="10"/>
      <c r="V38" s="10"/>
      <c r="W38" s="10"/>
      <c r="X38" s="10"/>
      <c r="Y38" s="11"/>
      <c r="Z38" s="11"/>
      <c r="AM38" s="1413"/>
      <c r="AN38" s="1420"/>
      <c r="AO38" s="1422"/>
      <c r="AP38" s="53" t="s">
        <v>167</v>
      </c>
      <c r="AQ38" s="85">
        <f t="shared" si="26"/>
        <v>0</v>
      </c>
    </row>
    <row r="39" spans="2:43" ht="16.5">
      <c r="B39" s="1413"/>
      <c r="C39" s="1420"/>
      <c r="D39" s="366" t="s">
        <v>162</v>
      </c>
      <c r="E39" s="59"/>
      <c r="F39" s="3">
        <f>IF(基本情報!E5="",0,F13)</f>
        <v>0</v>
      </c>
      <c r="G39" s="3">
        <f t="shared" si="29"/>
        <v>0</v>
      </c>
      <c r="H39" s="3">
        <f t="shared" si="29"/>
        <v>0</v>
      </c>
      <c r="I39" s="3">
        <f t="shared" si="29"/>
        <v>0</v>
      </c>
      <c r="J39" s="3">
        <f t="shared" si="29"/>
        <v>0</v>
      </c>
      <c r="K39" s="3">
        <f t="shared" si="29"/>
        <v>0</v>
      </c>
      <c r="L39" s="3">
        <f t="shared" si="29"/>
        <v>0</v>
      </c>
      <c r="M39" s="3">
        <f t="shared" si="29"/>
        <v>0</v>
      </c>
      <c r="O39" s="1443" t="s">
        <v>189</v>
      </c>
      <c r="P39" s="1446" t="s">
        <v>171</v>
      </c>
      <c r="Q39" s="1440" t="s">
        <v>15</v>
      </c>
      <c r="R39" s="1440"/>
      <c r="S39" s="1440"/>
      <c r="T39" s="1440"/>
      <c r="U39" s="1440" t="s">
        <v>16</v>
      </c>
      <c r="V39" s="1440"/>
      <c r="W39" s="1440"/>
      <c r="X39" s="1440"/>
      <c r="Y39" s="1441" t="s">
        <v>177</v>
      </c>
      <c r="AM39" s="1413"/>
      <c r="AN39" s="1420"/>
      <c r="AO39" s="720" t="s">
        <v>162</v>
      </c>
      <c r="AP39" s="731" t="s">
        <v>353</v>
      </c>
      <c r="AQ39" s="85">
        <f t="shared" si="26"/>
        <v>0</v>
      </c>
    </row>
    <row r="40" spans="2:43" ht="16.5">
      <c r="B40" s="1413"/>
      <c r="C40" s="1420"/>
      <c r="D40" s="366" t="s">
        <v>54</v>
      </c>
      <c r="E40" s="59"/>
      <c r="F40" s="3">
        <f>IF(基本情報!E5="",0,F14)</f>
        <v>0</v>
      </c>
      <c r="G40" s="3">
        <f t="shared" si="29"/>
        <v>0</v>
      </c>
      <c r="H40" s="3">
        <f t="shared" si="29"/>
        <v>0</v>
      </c>
      <c r="I40" s="3">
        <f t="shared" si="29"/>
        <v>0</v>
      </c>
      <c r="J40" s="3">
        <f t="shared" si="29"/>
        <v>0</v>
      </c>
      <c r="K40" s="3">
        <f t="shared" si="29"/>
        <v>0</v>
      </c>
      <c r="L40" s="3">
        <f t="shared" si="29"/>
        <v>0</v>
      </c>
      <c r="M40" s="3">
        <f t="shared" si="29"/>
        <v>0</v>
      </c>
      <c r="O40" s="1444"/>
      <c r="P40" s="1446"/>
      <c r="Q40" s="368" t="s">
        <v>6</v>
      </c>
      <c r="R40" s="368" t="s">
        <v>7</v>
      </c>
      <c r="S40" s="368" t="s">
        <v>8</v>
      </c>
      <c r="T40" s="368" t="s">
        <v>9</v>
      </c>
      <c r="U40" s="368" t="s">
        <v>6</v>
      </c>
      <c r="V40" s="368" t="s">
        <v>7</v>
      </c>
      <c r="W40" s="368" t="s">
        <v>8</v>
      </c>
      <c r="X40" s="368" t="s">
        <v>9</v>
      </c>
      <c r="Y40" s="1442"/>
      <c r="AM40" s="1413"/>
      <c r="AN40" s="1420"/>
      <c r="AO40" s="720" t="s">
        <v>54</v>
      </c>
      <c r="AP40" s="731" t="s">
        <v>353</v>
      </c>
      <c r="AQ40" s="85">
        <f t="shared" si="26"/>
        <v>0</v>
      </c>
    </row>
    <row r="41" spans="2:43" ht="16.5">
      <c r="B41" s="1413"/>
      <c r="C41" s="1420"/>
      <c r="D41" s="1422" t="s">
        <v>38</v>
      </c>
      <c r="E41" s="53" t="s">
        <v>169</v>
      </c>
      <c r="F41" s="3">
        <f>IF(基本情報!E5="",0,F15)</f>
        <v>0</v>
      </c>
      <c r="G41" s="3">
        <f t="shared" si="29"/>
        <v>0</v>
      </c>
      <c r="H41" s="3">
        <f t="shared" si="29"/>
        <v>0</v>
      </c>
      <c r="I41" s="3">
        <f t="shared" si="29"/>
        <v>0</v>
      </c>
      <c r="J41" s="3">
        <f t="shared" si="29"/>
        <v>0</v>
      </c>
      <c r="K41" s="3">
        <f t="shared" si="29"/>
        <v>0</v>
      </c>
      <c r="L41" s="3">
        <f t="shared" si="29"/>
        <v>0</v>
      </c>
      <c r="M41" s="3">
        <f t="shared" si="29"/>
        <v>0</v>
      </c>
      <c r="O41" s="1444"/>
      <c r="P41" s="630">
        <f>P32</f>
        <v>0</v>
      </c>
      <c r="Q41" s="3">
        <f t="shared" ref="Q41:X41" si="30">F54*Q32</f>
        <v>0</v>
      </c>
      <c r="R41" s="3">
        <f t="shared" si="30"/>
        <v>0</v>
      </c>
      <c r="S41" s="3">
        <f t="shared" si="30"/>
        <v>0</v>
      </c>
      <c r="T41" s="3">
        <f t="shared" si="30"/>
        <v>0</v>
      </c>
      <c r="U41" s="3">
        <f t="shared" si="30"/>
        <v>0</v>
      </c>
      <c r="V41" s="3">
        <f t="shared" si="30"/>
        <v>0</v>
      </c>
      <c r="W41" s="3">
        <f t="shared" si="30"/>
        <v>0</v>
      </c>
      <c r="X41" s="3">
        <f t="shared" si="30"/>
        <v>0</v>
      </c>
      <c r="Y41" s="3">
        <f>SUM(Q41:X41)</f>
        <v>0</v>
      </c>
      <c r="AM41" s="1413"/>
      <c r="AN41" s="1420"/>
      <c r="AO41" s="1422" t="s">
        <v>38</v>
      </c>
      <c r="AP41" s="732" t="s">
        <v>559</v>
      </c>
      <c r="AQ41" s="85">
        <f t="shared" si="26"/>
        <v>0</v>
      </c>
    </row>
    <row r="42" spans="2:43">
      <c r="B42" s="1413"/>
      <c r="C42" s="1421"/>
      <c r="D42" s="1422"/>
      <c r="E42" s="53" t="s">
        <v>167</v>
      </c>
      <c r="F42" s="3">
        <f>IF(基本情報!E5="",0,F16)</f>
        <v>0</v>
      </c>
      <c r="G42" s="3">
        <f t="shared" si="29"/>
        <v>0</v>
      </c>
      <c r="H42" s="3">
        <f t="shared" si="29"/>
        <v>0</v>
      </c>
      <c r="I42" s="3">
        <f t="shared" si="29"/>
        <v>0</v>
      </c>
      <c r="J42" s="3">
        <f t="shared" si="29"/>
        <v>0</v>
      </c>
      <c r="K42" s="3">
        <f t="shared" si="29"/>
        <v>0</v>
      </c>
      <c r="L42" s="3">
        <f t="shared" si="29"/>
        <v>0</v>
      </c>
      <c r="M42" s="3">
        <f t="shared" si="29"/>
        <v>0</v>
      </c>
      <c r="O42" s="1444"/>
      <c r="P42" s="631">
        <f>P33</f>
        <v>0</v>
      </c>
      <c r="Q42" s="3">
        <f t="shared" ref="Q42:X42" si="31">F54*Q33</f>
        <v>0</v>
      </c>
      <c r="R42" s="3">
        <f t="shared" si="31"/>
        <v>0</v>
      </c>
      <c r="S42" s="3">
        <f t="shared" si="31"/>
        <v>0</v>
      </c>
      <c r="T42" s="3">
        <f t="shared" si="31"/>
        <v>0</v>
      </c>
      <c r="U42" s="3">
        <f t="shared" si="31"/>
        <v>0</v>
      </c>
      <c r="V42" s="3">
        <f t="shared" si="31"/>
        <v>0</v>
      </c>
      <c r="W42" s="3">
        <f t="shared" si="31"/>
        <v>0</v>
      </c>
      <c r="X42" s="3">
        <f t="shared" si="31"/>
        <v>0</v>
      </c>
      <c r="Y42" s="3">
        <f t="shared" ref="Y42:Y45" si="32">SUM(Q42:X42)</f>
        <v>0</v>
      </c>
      <c r="AM42" s="1413"/>
      <c r="AN42" s="1421"/>
      <c r="AO42" s="1422"/>
      <c r="AP42" s="53" t="s">
        <v>167</v>
      </c>
      <c r="AQ42" s="85">
        <f t="shared" si="26"/>
        <v>0</v>
      </c>
    </row>
    <row r="43" spans="2:43">
      <c r="B43" s="1413"/>
      <c r="C43" s="1423" t="s">
        <v>205</v>
      </c>
      <c r="D43" s="371" t="s">
        <v>164</v>
      </c>
      <c r="E43" s="60"/>
      <c r="F43" s="3">
        <f t="shared" ref="F43:M43" si="33">-ROUNDDOWN((F32+F33)*$P$2%,-1)</f>
        <v>0</v>
      </c>
      <c r="G43" s="3">
        <f t="shared" si="33"/>
        <v>0</v>
      </c>
      <c r="H43" s="3">
        <f t="shared" si="33"/>
        <v>0</v>
      </c>
      <c r="I43" s="3">
        <f t="shared" si="33"/>
        <v>0</v>
      </c>
      <c r="J43" s="3">
        <f t="shared" si="33"/>
        <v>0</v>
      </c>
      <c r="K43" s="3">
        <f t="shared" si="33"/>
        <v>0</v>
      </c>
      <c r="L43" s="3">
        <f t="shared" si="33"/>
        <v>0</v>
      </c>
      <c r="M43" s="3">
        <f t="shared" si="33"/>
        <v>0</v>
      </c>
      <c r="O43" s="1444"/>
      <c r="P43" s="632">
        <f>P34</f>
        <v>0</v>
      </c>
      <c r="Q43" s="3">
        <f t="shared" ref="Q43:X43" si="34">F54*Q34</f>
        <v>0</v>
      </c>
      <c r="R43" s="3">
        <f t="shared" si="34"/>
        <v>0</v>
      </c>
      <c r="S43" s="3">
        <f t="shared" si="34"/>
        <v>0</v>
      </c>
      <c r="T43" s="3">
        <f t="shared" si="34"/>
        <v>0</v>
      </c>
      <c r="U43" s="3">
        <f t="shared" si="34"/>
        <v>0</v>
      </c>
      <c r="V43" s="3">
        <f t="shared" si="34"/>
        <v>0</v>
      </c>
      <c r="W43" s="3">
        <f t="shared" si="34"/>
        <v>0</v>
      </c>
      <c r="X43" s="3">
        <f t="shared" si="34"/>
        <v>0</v>
      </c>
      <c r="Y43" s="3">
        <f t="shared" si="32"/>
        <v>0</v>
      </c>
      <c r="AM43" s="1413"/>
      <c r="AN43" s="1423" t="s">
        <v>205</v>
      </c>
      <c r="AO43" s="717" t="s">
        <v>164</v>
      </c>
      <c r="AP43" s="60"/>
      <c r="AQ43" s="85">
        <f t="shared" si="26"/>
        <v>0</v>
      </c>
    </row>
    <row r="44" spans="2:43">
      <c r="B44" s="1413"/>
      <c r="C44" s="1423"/>
      <c r="D44" s="1424" t="s">
        <v>43</v>
      </c>
      <c r="E44" s="53" t="s">
        <v>169</v>
      </c>
      <c r="F44" s="74">
        <f>IF(基本情報!E5="",0,-IF(加算と減算!O32="○",単価表!AZ23,0))</f>
        <v>0</v>
      </c>
      <c r="G44" s="74">
        <f>F44</f>
        <v>0</v>
      </c>
      <c r="H44" s="74">
        <f>F44</f>
        <v>0</v>
      </c>
      <c r="I44" s="74">
        <f>F44</f>
        <v>0</v>
      </c>
      <c r="J44" s="74">
        <f>F44</f>
        <v>0</v>
      </c>
      <c r="K44" s="74">
        <f>F44</f>
        <v>0</v>
      </c>
      <c r="L44" s="74">
        <f>F44</f>
        <v>0</v>
      </c>
      <c r="M44" s="74">
        <f>F44</f>
        <v>0</v>
      </c>
      <c r="O44" s="1444"/>
      <c r="P44" s="633">
        <f>P35</f>
        <v>0</v>
      </c>
      <c r="Q44" s="3">
        <f t="shared" ref="Q44:X44" si="35">F54*Q35</f>
        <v>0</v>
      </c>
      <c r="R44" s="3">
        <f t="shared" si="35"/>
        <v>0</v>
      </c>
      <c r="S44" s="3">
        <f t="shared" si="35"/>
        <v>0</v>
      </c>
      <c r="T44" s="3">
        <f t="shared" si="35"/>
        <v>0</v>
      </c>
      <c r="U44" s="3">
        <f t="shared" si="35"/>
        <v>0</v>
      </c>
      <c r="V44" s="3">
        <f t="shared" si="35"/>
        <v>0</v>
      </c>
      <c r="W44" s="3">
        <f t="shared" si="35"/>
        <v>0</v>
      </c>
      <c r="X44" s="3">
        <f t="shared" si="35"/>
        <v>0</v>
      </c>
      <c r="Y44" s="3">
        <f t="shared" si="32"/>
        <v>0</v>
      </c>
      <c r="AM44" s="1413"/>
      <c r="AN44" s="1423"/>
      <c r="AO44" s="1424" t="s">
        <v>43</v>
      </c>
      <c r="AP44" s="53" t="s">
        <v>169</v>
      </c>
      <c r="AQ44" s="85">
        <f t="shared" si="26"/>
        <v>0</v>
      </c>
    </row>
    <row r="45" spans="2:43">
      <c r="B45" s="1413"/>
      <c r="C45" s="1423"/>
      <c r="D45" s="1424"/>
      <c r="E45" s="53" t="s">
        <v>167</v>
      </c>
      <c r="F45" s="74">
        <f>IF(基本情報!E5="",0,-IF(加算と減算!O32="○",単価表!BA23*基本情報!G7,0))</f>
        <v>0</v>
      </c>
      <c r="G45" s="74">
        <f>F45</f>
        <v>0</v>
      </c>
      <c r="H45" s="74">
        <f>F45</f>
        <v>0</v>
      </c>
      <c r="I45" s="74">
        <f>F45</f>
        <v>0</v>
      </c>
      <c r="J45" s="74">
        <f>F45</f>
        <v>0</v>
      </c>
      <c r="K45" s="74">
        <f>F45</f>
        <v>0</v>
      </c>
      <c r="L45" s="74">
        <f>F45</f>
        <v>0</v>
      </c>
      <c r="M45" s="74">
        <f>F45</f>
        <v>0</v>
      </c>
      <c r="O45" s="1444"/>
      <c r="P45" s="634">
        <f>P36</f>
        <v>0</v>
      </c>
      <c r="Q45" s="3">
        <f t="shared" ref="Q45:X45" si="36">F54*Q36</f>
        <v>0</v>
      </c>
      <c r="R45" s="3">
        <f t="shared" si="36"/>
        <v>0</v>
      </c>
      <c r="S45" s="3">
        <f t="shared" si="36"/>
        <v>0</v>
      </c>
      <c r="T45" s="3">
        <f t="shared" si="36"/>
        <v>0</v>
      </c>
      <c r="U45" s="3">
        <f t="shared" si="36"/>
        <v>0</v>
      </c>
      <c r="V45" s="3">
        <f t="shared" si="36"/>
        <v>0</v>
      </c>
      <c r="W45" s="3">
        <f t="shared" si="36"/>
        <v>0</v>
      </c>
      <c r="X45" s="3">
        <f t="shared" si="36"/>
        <v>0</v>
      </c>
      <c r="Y45" s="3">
        <f t="shared" si="32"/>
        <v>0</v>
      </c>
      <c r="AM45" s="1413"/>
      <c r="AN45" s="1423"/>
      <c r="AO45" s="1424"/>
      <c r="AP45" s="53" t="s">
        <v>167</v>
      </c>
      <c r="AQ45" s="85">
        <f t="shared" si="26"/>
        <v>0</v>
      </c>
    </row>
    <row r="46" spans="2:43">
      <c r="B46" s="1413"/>
      <c r="C46" s="1423"/>
      <c r="D46" s="371" t="s">
        <v>165</v>
      </c>
      <c r="E46" s="60"/>
      <c r="F46" s="74">
        <f t="shared" ref="F46:M46" si="37">-ROUNDDOWN((F32+F33+F37+F38+F34+F35)*$T$2/100,-1)</f>
        <v>0</v>
      </c>
      <c r="G46" s="74">
        <f t="shared" si="37"/>
        <v>0</v>
      </c>
      <c r="H46" s="74">
        <f t="shared" si="37"/>
        <v>0</v>
      </c>
      <c r="I46" s="74">
        <f t="shared" si="37"/>
        <v>0</v>
      </c>
      <c r="J46" s="74">
        <f t="shared" si="37"/>
        <v>0</v>
      </c>
      <c r="K46" s="74">
        <f t="shared" si="37"/>
        <v>0</v>
      </c>
      <c r="L46" s="74">
        <f t="shared" si="37"/>
        <v>0</v>
      </c>
      <c r="M46" s="74">
        <f t="shared" si="37"/>
        <v>0</v>
      </c>
      <c r="O46" s="1445"/>
      <c r="P46" s="635" t="s">
        <v>36</v>
      </c>
      <c r="Q46" s="3">
        <f>SUM(Q41:Q45)</f>
        <v>0</v>
      </c>
      <c r="R46" s="3">
        <f t="shared" ref="R46:Y46" si="38">SUM(R41:R45)</f>
        <v>0</v>
      </c>
      <c r="S46" s="3">
        <f t="shared" si="38"/>
        <v>0</v>
      </c>
      <c r="T46" s="3">
        <f t="shared" si="38"/>
        <v>0</v>
      </c>
      <c r="U46" s="3">
        <f t="shared" si="38"/>
        <v>0</v>
      </c>
      <c r="V46" s="3">
        <f t="shared" si="38"/>
        <v>0</v>
      </c>
      <c r="W46" s="3">
        <f t="shared" si="38"/>
        <v>0</v>
      </c>
      <c r="X46" s="3">
        <f t="shared" si="38"/>
        <v>0</v>
      </c>
      <c r="Y46" s="3">
        <f t="shared" si="38"/>
        <v>0</v>
      </c>
      <c r="AM46" s="1413"/>
      <c r="AN46" s="1423"/>
      <c r="AO46" s="717" t="s">
        <v>165</v>
      </c>
      <c r="AP46" s="60"/>
      <c r="AQ46" s="85">
        <f t="shared" si="26"/>
        <v>0</v>
      </c>
    </row>
    <row r="47" spans="2:43" ht="15" customHeight="1">
      <c r="B47" s="1413"/>
      <c r="C47" s="1423"/>
      <c r="D47" s="371" t="s">
        <v>166</v>
      </c>
      <c r="E47" s="60"/>
      <c r="F47" s="74">
        <f>IF(基本情報!E5="",0,-ROUNDUP(SUM(F32:F46)*$W$2/100,-1))</f>
        <v>0</v>
      </c>
      <c r="G47" s="74">
        <f t="shared" ref="G47:M47" si="39">-ROUNDUP(SUM(G32:G46)*$W$2/100,-1)</f>
        <v>0</v>
      </c>
      <c r="H47" s="74">
        <f t="shared" si="39"/>
        <v>0</v>
      </c>
      <c r="I47" s="74">
        <f t="shared" si="39"/>
        <v>0</v>
      </c>
      <c r="J47" s="74">
        <f t="shared" si="39"/>
        <v>0</v>
      </c>
      <c r="K47" s="74">
        <f t="shared" si="39"/>
        <v>0</v>
      </c>
      <c r="L47" s="74">
        <f t="shared" si="39"/>
        <v>0</v>
      </c>
      <c r="M47" s="74">
        <f t="shared" si="39"/>
        <v>0</v>
      </c>
      <c r="O47" s="8"/>
      <c r="P47" s="58"/>
      <c r="Q47" s="7"/>
      <c r="R47" s="7"/>
      <c r="S47" s="7"/>
      <c r="T47" s="7"/>
      <c r="U47" s="7"/>
      <c r="V47" s="7"/>
      <c r="W47" s="7"/>
      <c r="X47" s="7"/>
      <c r="Y47" s="4"/>
      <c r="Z47" s="4"/>
      <c r="AM47" s="1413"/>
      <c r="AN47" s="1423"/>
      <c r="AO47" s="717" t="s">
        <v>166</v>
      </c>
      <c r="AP47" s="60"/>
      <c r="AQ47" s="85">
        <f t="shared" si="26"/>
        <v>0</v>
      </c>
    </row>
    <row r="48" spans="2:43" ht="15" customHeight="1">
      <c r="B48" s="1413"/>
      <c r="C48" s="1419" t="s">
        <v>204</v>
      </c>
      <c r="D48" s="366" t="s">
        <v>18</v>
      </c>
      <c r="E48" s="59"/>
      <c r="F48" s="3">
        <f>IF(基本情報!E5="",0,F21)</f>
        <v>0</v>
      </c>
      <c r="G48" s="3">
        <f t="shared" ref="G48:M53" si="40">$F48</f>
        <v>0</v>
      </c>
      <c r="H48" s="3">
        <f t="shared" si="40"/>
        <v>0</v>
      </c>
      <c r="I48" s="3">
        <f t="shared" si="40"/>
        <v>0</v>
      </c>
      <c r="J48" s="3">
        <f t="shared" si="40"/>
        <v>0</v>
      </c>
      <c r="K48" s="3">
        <f t="shared" si="40"/>
        <v>0</v>
      </c>
      <c r="L48" s="3">
        <f t="shared" si="40"/>
        <v>0</v>
      </c>
      <c r="M48" s="3">
        <f t="shared" si="40"/>
        <v>0</v>
      </c>
      <c r="O48" s="1443" t="s">
        <v>180</v>
      </c>
      <c r="P48" s="367" t="s">
        <v>171</v>
      </c>
      <c r="Q48" s="61" t="s">
        <v>178</v>
      </c>
      <c r="R48" s="40" t="s">
        <v>179</v>
      </c>
      <c r="S48" s="4"/>
      <c r="T48" s="1443" t="s">
        <v>190</v>
      </c>
      <c r="U48" s="367" t="s">
        <v>171</v>
      </c>
      <c r="V48" s="40" t="s">
        <v>179</v>
      </c>
      <c r="X48" s="1431" t="s">
        <v>186</v>
      </c>
      <c r="Y48" s="1431"/>
      <c r="AM48" s="1413"/>
      <c r="AN48" s="1419" t="s">
        <v>204</v>
      </c>
      <c r="AO48" s="720" t="s">
        <v>18</v>
      </c>
      <c r="AP48" s="732" t="s">
        <v>559</v>
      </c>
      <c r="AQ48" s="85">
        <f t="shared" si="26"/>
        <v>0</v>
      </c>
    </row>
    <row r="49" spans="2:43" ht="16.5">
      <c r="B49" s="1413"/>
      <c r="C49" s="1420"/>
      <c r="D49" s="366" t="s">
        <v>62</v>
      </c>
      <c r="E49" s="59"/>
      <c r="F49" s="3">
        <f>IF(基本情報!E5="",0,F22)</f>
        <v>0</v>
      </c>
      <c r="G49" s="3">
        <f t="shared" si="40"/>
        <v>0</v>
      </c>
      <c r="H49" s="3">
        <f t="shared" si="40"/>
        <v>0</v>
      </c>
      <c r="I49" s="3">
        <f t="shared" si="40"/>
        <v>0</v>
      </c>
      <c r="J49" s="3">
        <f t="shared" si="40"/>
        <v>0</v>
      </c>
      <c r="K49" s="3">
        <f t="shared" si="40"/>
        <v>0</v>
      </c>
      <c r="L49" s="3">
        <f t="shared" si="40"/>
        <v>0</v>
      </c>
      <c r="M49" s="3">
        <f t="shared" si="40"/>
        <v>0</v>
      </c>
      <c r="O49" s="1444"/>
      <c r="P49" s="630">
        <f>P32</f>
        <v>0</v>
      </c>
      <c r="Q49" s="3">
        <f>児童数!AF32</f>
        <v>0</v>
      </c>
      <c r="R49" s="64">
        <f>4500*Q49</f>
        <v>0</v>
      </c>
      <c r="S49" s="4"/>
      <c r="T49" s="1444"/>
      <c r="U49" s="630">
        <f>P32</f>
        <v>0</v>
      </c>
      <c r="V49" s="65">
        <f>Y41+R49</f>
        <v>0</v>
      </c>
      <c r="X49" s="630">
        <f>P32</f>
        <v>0</v>
      </c>
      <c r="Y49" s="65" t="e">
        <f>V23+V49</f>
        <v>#VALUE!</v>
      </c>
      <c r="AM49" s="1413"/>
      <c r="AN49" s="1420"/>
      <c r="AO49" s="720" t="s">
        <v>62</v>
      </c>
      <c r="AP49" s="732" t="s">
        <v>559</v>
      </c>
      <c r="AQ49" s="85">
        <f t="shared" si="26"/>
        <v>0</v>
      </c>
    </row>
    <row r="50" spans="2:43" ht="16.5">
      <c r="B50" s="1413"/>
      <c r="C50" s="1420"/>
      <c r="D50" s="366" t="s">
        <v>19</v>
      </c>
      <c r="E50" s="59"/>
      <c r="F50" s="3">
        <f>IF(基本情報!E5="",0,F23)</f>
        <v>0</v>
      </c>
      <c r="G50" s="3">
        <f t="shared" si="40"/>
        <v>0</v>
      </c>
      <c r="H50" s="3">
        <f t="shared" si="40"/>
        <v>0</v>
      </c>
      <c r="I50" s="3">
        <f t="shared" si="40"/>
        <v>0</v>
      </c>
      <c r="J50" s="3">
        <f t="shared" si="40"/>
        <v>0</v>
      </c>
      <c r="K50" s="3">
        <f t="shared" si="40"/>
        <v>0</v>
      </c>
      <c r="L50" s="3">
        <f t="shared" si="40"/>
        <v>0</v>
      </c>
      <c r="M50" s="3">
        <f t="shared" si="40"/>
        <v>0</v>
      </c>
      <c r="O50" s="1444"/>
      <c r="P50" s="631">
        <f>P33</f>
        <v>0</v>
      </c>
      <c r="Q50" s="3">
        <f>児童数!AF46</f>
        <v>0</v>
      </c>
      <c r="R50" s="64">
        <f t="shared" ref="R50:R53" si="41">4500*Q50</f>
        <v>0</v>
      </c>
      <c r="S50" s="4"/>
      <c r="T50" s="1444"/>
      <c r="U50" s="631">
        <f>P33</f>
        <v>0</v>
      </c>
      <c r="V50" s="66">
        <f>Y42+R50</f>
        <v>0</v>
      </c>
      <c r="X50" s="631">
        <f>P33</f>
        <v>0</v>
      </c>
      <c r="Y50" s="66" t="e">
        <f>V24+V50</f>
        <v>#VALUE!</v>
      </c>
      <c r="AM50" s="1413"/>
      <c r="AN50" s="1420"/>
      <c r="AO50" s="720" t="s">
        <v>19</v>
      </c>
      <c r="AP50" s="732" t="s">
        <v>559</v>
      </c>
      <c r="AQ50" s="85">
        <f t="shared" si="26"/>
        <v>0</v>
      </c>
    </row>
    <row r="51" spans="2:43" ht="16.5">
      <c r="B51" s="1413"/>
      <c r="C51" s="1420"/>
      <c r="D51" s="366" t="s">
        <v>41</v>
      </c>
      <c r="E51" s="59"/>
      <c r="F51" s="3">
        <f>IF(基本情報!E5="",0,F24)</f>
        <v>0</v>
      </c>
      <c r="G51" s="3">
        <f t="shared" si="40"/>
        <v>0</v>
      </c>
      <c r="H51" s="3">
        <f t="shared" si="40"/>
        <v>0</v>
      </c>
      <c r="I51" s="3">
        <f t="shared" si="40"/>
        <v>0</v>
      </c>
      <c r="J51" s="3">
        <f t="shared" si="40"/>
        <v>0</v>
      </c>
      <c r="K51" s="3">
        <f t="shared" si="40"/>
        <v>0</v>
      </c>
      <c r="L51" s="3">
        <f t="shared" si="40"/>
        <v>0</v>
      </c>
      <c r="M51" s="3">
        <f t="shared" si="40"/>
        <v>0</v>
      </c>
      <c r="O51" s="1444"/>
      <c r="P51" s="632">
        <f>P34</f>
        <v>0</v>
      </c>
      <c r="Q51" s="3">
        <f>児童数!AF60</f>
        <v>0</v>
      </c>
      <c r="R51" s="64">
        <f t="shared" si="41"/>
        <v>0</v>
      </c>
      <c r="S51" s="4"/>
      <c r="T51" s="1444"/>
      <c r="U51" s="632">
        <f>P34</f>
        <v>0</v>
      </c>
      <c r="V51" s="67">
        <f>Y43+R51</f>
        <v>0</v>
      </c>
      <c r="X51" s="632">
        <f>P34</f>
        <v>0</v>
      </c>
      <c r="Y51" s="67" t="e">
        <f>V25+V51</f>
        <v>#VALUE!</v>
      </c>
      <c r="AM51" s="1413"/>
      <c r="AN51" s="1420"/>
      <c r="AO51" s="720" t="s">
        <v>41</v>
      </c>
      <c r="AP51" s="732" t="s">
        <v>559</v>
      </c>
      <c r="AQ51" s="85">
        <f t="shared" si="26"/>
        <v>0</v>
      </c>
    </row>
    <row r="52" spans="2:43" ht="16.5">
      <c r="B52" s="1413"/>
      <c r="C52" s="1420"/>
      <c r="D52" s="366" t="s">
        <v>42</v>
      </c>
      <c r="E52" s="59"/>
      <c r="F52" s="3">
        <f>IF(基本情報!E5="",0,F25)</f>
        <v>0</v>
      </c>
      <c r="G52" s="3">
        <f t="shared" si="40"/>
        <v>0</v>
      </c>
      <c r="H52" s="3">
        <f t="shared" si="40"/>
        <v>0</v>
      </c>
      <c r="I52" s="3">
        <f t="shared" si="40"/>
        <v>0</v>
      </c>
      <c r="J52" s="3">
        <f t="shared" si="40"/>
        <v>0</v>
      </c>
      <c r="K52" s="3">
        <f t="shared" si="40"/>
        <v>0</v>
      </c>
      <c r="L52" s="3">
        <f t="shared" si="40"/>
        <v>0</v>
      </c>
      <c r="M52" s="3">
        <f t="shared" si="40"/>
        <v>0</v>
      </c>
      <c r="O52" s="1444"/>
      <c r="P52" s="633">
        <f>P35</f>
        <v>0</v>
      </c>
      <c r="Q52" s="3">
        <f>児童数!AF74</f>
        <v>0</v>
      </c>
      <c r="R52" s="64">
        <f t="shared" si="41"/>
        <v>0</v>
      </c>
      <c r="S52" s="4"/>
      <c r="T52" s="1444"/>
      <c r="U52" s="633">
        <f>P35</f>
        <v>0</v>
      </c>
      <c r="V52" s="68">
        <f>Y44+R52</f>
        <v>0</v>
      </c>
      <c r="X52" s="633">
        <f>P35</f>
        <v>0</v>
      </c>
      <c r="Y52" s="68" t="e">
        <f>V26+V52</f>
        <v>#VALUE!</v>
      </c>
      <c r="AM52" s="1413"/>
      <c r="AN52" s="1420"/>
      <c r="AO52" s="720" t="s">
        <v>42</v>
      </c>
      <c r="AP52" s="731" t="s">
        <v>353</v>
      </c>
      <c r="AQ52" s="85">
        <f t="shared" si="26"/>
        <v>0</v>
      </c>
    </row>
    <row r="53" spans="2:43" ht="16.5">
      <c r="B53" s="1413"/>
      <c r="C53" s="1421"/>
      <c r="D53" s="366" t="s">
        <v>80</v>
      </c>
      <c r="E53" s="59"/>
      <c r="F53" s="3">
        <f>IF(基本情報!E5="",0,F26)</f>
        <v>0</v>
      </c>
      <c r="G53" s="3">
        <f t="shared" si="40"/>
        <v>0</v>
      </c>
      <c r="H53" s="3">
        <f t="shared" si="40"/>
        <v>0</v>
      </c>
      <c r="I53" s="3">
        <f t="shared" si="40"/>
        <v>0</v>
      </c>
      <c r="J53" s="3">
        <f t="shared" si="40"/>
        <v>0</v>
      </c>
      <c r="K53" s="3">
        <f t="shared" si="40"/>
        <v>0</v>
      </c>
      <c r="L53" s="3">
        <f t="shared" si="40"/>
        <v>0</v>
      </c>
      <c r="M53" s="3">
        <f t="shared" si="40"/>
        <v>0</v>
      </c>
      <c r="O53" s="1444"/>
      <c r="P53" s="634">
        <f>P36</f>
        <v>0</v>
      </c>
      <c r="Q53" s="3">
        <f>児童数!AF88</f>
        <v>0</v>
      </c>
      <c r="R53" s="64">
        <f t="shared" si="41"/>
        <v>0</v>
      </c>
      <c r="S53" s="4"/>
      <c r="T53" s="1444"/>
      <c r="U53" s="634">
        <f>P36</f>
        <v>0</v>
      </c>
      <c r="V53" s="69">
        <f>Y45+R53</f>
        <v>0</v>
      </c>
      <c r="X53" s="634">
        <f>P36</f>
        <v>0</v>
      </c>
      <c r="Y53" s="69" t="e">
        <f>V27+V53</f>
        <v>#VALUE!</v>
      </c>
      <c r="AM53" s="1413"/>
      <c r="AN53" s="1421"/>
      <c r="AO53" s="720" t="s">
        <v>80</v>
      </c>
      <c r="AP53" s="731" t="s">
        <v>353</v>
      </c>
      <c r="AQ53" s="85">
        <f t="shared" si="26"/>
        <v>0</v>
      </c>
    </row>
    <row r="54" spans="2:43" ht="17.25" thickBot="1">
      <c r="B54" s="1414"/>
      <c r="C54" s="1410" t="s">
        <v>44</v>
      </c>
      <c r="D54" s="1411"/>
      <c r="E54" s="53"/>
      <c r="F54" s="5">
        <f t="shared" ref="F54:M54" si="42">SUM(F32:F53)</f>
        <v>0</v>
      </c>
      <c r="G54" s="5">
        <f t="shared" si="42"/>
        <v>0</v>
      </c>
      <c r="H54" s="5">
        <f t="shared" si="42"/>
        <v>0</v>
      </c>
      <c r="I54" s="5">
        <f t="shared" si="42"/>
        <v>0</v>
      </c>
      <c r="J54" s="5">
        <f t="shared" si="42"/>
        <v>0</v>
      </c>
      <c r="K54" s="5">
        <f t="shared" si="42"/>
        <v>0</v>
      </c>
      <c r="L54" s="5">
        <f t="shared" si="42"/>
        <v>0</v>
      </c>
      <c r="M54" s="5">
        <f t="shared" si="42"/>
        <v>0</v>
      </c>
      <c r="O54" s="1445"/>
      <c r="P54" s="635" t="s">
        <v>36</v>
      </c>
      <c r="Q54" s="3">
        <f>SUM(Q49:Q53)</f>
        <v>0</v>
      </c>
      <c r="R54" s="3">
        <f>SUM(R49:R53)</f>
        <v>0</v>
      </c>
      <c r="S54" s="4"/>
      <c r="T54" s="1445"/>
      <c r="U54" s="635" t="s">
        <v>36</v>
      </c>
      <c r="V54" s="70">
        <f>SUM(V49:V53)</f>
        <v>0</v>
      </c>
      <c r="X54" s="635" t="s">
        <v>36</v>
      </c>
      <c r="Y54" s="70" t="e">
        <f>SUM(Y49:Y53)</f>
        <v>#VALUE!</v>
      </c>
      <c r="AM54" s="1414"/>
      <c r="AN54" s="1425" t="s">
        <v>562</v>
      </c>
      <c r="AO54" s="1425"/>
      <c r="AP54" s="733" t="s">
        <v>376</v>
      </c>
      <c r="AQ54" s="85">
        <f>R54</f>
        <v>0</v>
      </c>
    </row>
    <row r="55" spans="2:43" ht="15.75" thickBot="1">
      <c r="C55" s="57"/>
      <c r="D55" s="57"/>
      <c r="E55" s="58" t="s">
        <v>167</v>
      </c>
      <c r="F55" s="264">
        <f>F33+F35+F38+F42+F45</f>
        <v>0</v>
      </c>
      <c r="G55" s="264">
        <f t="shared" ref="G55:M55" si="43">G33+G35+G38+G42+G45</f>
        <v>0</v>
      </c>
      <c r="H55" s="264">
        <f t="shared" si="43"/>
        <v>0</v>
      </c>
      <c r="I55" s="264">
        <f t="shared" si="43"/>
        <v>0</v>
      </c>
      <c r="J55" s="264">
        <f t="shared" si="43"/>
        <v>0</v>
      </c>
      <c r="K55" s="264">
        <f t="shared" si="43"/>
        <v>0</v>
      </c>
      <c r="L55" s="264">
        <f t="shared" si="43"/>
        <v>0</v>
      </c>
      <c r="M55" s="264">
        <f t="shared" si="43"/>
        <v>0</v>
      </c>
      <c r="AG55" s="288">
        <f>ROUNDUP(SUMPRODUCT(F55:M55,Q37:X37)*90%,-1)</f>
        <v>0</v>
      </c>
      <c r="AN55" s="1410" t="s">
        <v>44</v>
      </c>
      <c r="AO55" s="1411"/>
      <c r="AP55" s="53"/>
      <c r="AQ55" s="85">
        <f>SUM(AQ32:AQ54)</f>
        <v>0</v>
      </c>
    </row>
    <row r="56" spans="2:43">
      <c r="E56" s="1020" t="s">
        <v>703</v>
      </c>
      <c r="F56" s="264">
        <f>-ROUNDUP(SUM(F32:F35,F37:F46)*$W$2/100,-1)</f>
        <v>0</v>
      </c>
      <c r="G56" s="264">
        <f>-ROUNDUP(SUM(G32:G35,G37:G46)*$W$2/100,-1)</f>
        <v>0</v>
      </c>
      <c r="H56" s="264">
        <f t="shared" ref="H56:K56" si="44">-ROUNDUP(SUM(H32:H35,H37:H46)*$W$2/100,-1)</f>
        <v>0</v>
      </c>
      <c r="I56" s="264">
        <f t="shared" si="44"/>
        <v>0</v>
      </c>
      <c r="J56" s="264">
        <f t="shared" si="44"/>
        <v>0</v>
      </c>
      <c r="K56" s="264">
        <f t="shared" si="44"/>
        <v>0</v>
      </c>
      <c r="L56" s="264">
        <f>-ROUNDUP(SUM(L32:L35,L37:L46)*$W$2/100,-1)</f>
        <v>0</v>
      </c>
      <c r="M56" s="264">
        <f>-ROUNDUP(SUM(M32:M35,M37:M46)*$W$2/100,-1)</f>
        <v>0</v>
      </c>
      <c r="O56" s="1430" t="s">
        <v>428</v>
      </c>
      <c r="P56" s="1430"/>
      <c r="X56" s="1430" t="s">
        <v>427</v>
      </c>
      <c r="Y56" s="1430"/>
      <c r="AO56" s="1"/>
      <c r="AP56" s="57"/>
    </row>
    <row r="57" spans="2:43" ht="15.75" thickBot="1">
      <c r="O57" s="83" t="s">
        <v>429</v>
      </c>
      <c r="P57" s="83" t="s">
        <v>206</v>
      </c>
      <c r="Q57" s="83" t="s">
        <v>207</v>
      </c>
      <c r="R57" s="83" t="s">
        <v>448</v>
      </c>
      <c r="S57" s="83" t="s">
        <v>214</v>
      </c>
      <c r="T57" s="83" t="s">
        <v>215</v>
      </c>
      <c r="U57" s="83" t="s">
        <v>216</v>
      </c>
      <c r="V57" s="282" t="s">
        <v>455</v>
      </c>
      <c r="W57" s="261"/>
      <c r="X57" s="83" t="s">
        <v>429</v>
      </c>
      <c r="Y57" s="83" t="s">
        <v>206</v>
      </c>
      <c r="Z57" s="83" t="s">
        <v>207</v>
      </c>
      <c r="AA57" s="83" t="s">
        <v>448</v>
      </c>
      <c r="AB57" s="83" t="s">
        <v>218</v>
      </c>
      <c r="AC57" s="83" t="s">
        <v>215</v>
      </c>
      <c r="AD57" s="280" t="s">
        <v>453</v>
      </c>
      <c r="AE57" s="282" t="s">
        <v>455</v>
      </c>
    </row>
    <row r="58" spans="2:43" ht="16.5" thickTop="1" thickBot="1">
      <c r="C58" s="351" t="s">
        <v>501</v>
      </c>
      <c r="D58" s="352"/>
      <c r="E58" s="353"/>
      <c r="F58" s="354"/>
      <c r="G58" s="354"/>
      <c r="H58" s="354"/>
      <c r="I58" s="354"/>
      <c r="J58" s="354"/>
      <c r="K58" s="354"/>
      <c r="L58" s="354"/>
      <c r="M58" s="355"/>
      <c r="O58" s="61" t="str">
        <f>IF(月途中入退所情報!$D8=$B$2,月途中入退所情報!F8,"-")</f>
        <v>-</v>
      </c>
      <c r="P58" s="61" t="str">
        <f>IF(月途中入退所情報!$D8=$B$2,月途中入退所情報!G8,"-")</f>
        <v>-</v>
      </c>
      <c r="Q58" s="61" t="str">
        <f>IF(月途中入退所情報!$D8=$B$2,月途中入退所情報!H8,"-")</f>
        <v>-</v>
      </c>
      <c r="R58" s="61" t="str">
        <f>IF(月途中入退所情報!$D8=$B$2,月途中入退所情報!I8,"-")</f>
        <v>-</v>
      </c>
      <c r="S58" s="61" t="str">
        <f>IF(月途中入退所情報!$D8=$B$2,月途中入退所情報!J8,"-")</f>
        <v>-</v>
      </c>
      <c r="T58" s="84">
        <f>IF($Q58="標準時間",HLOOKUP($P58,$F$5:$I$27,23,FALSE)-SUM($F$10,$F$21:$F$24,$F$26)-HLOOKUP($P58,$F$5:$I$27,16,FALSE)+HLOOKUP($P58,$F$5:$I$29,25,FALSE),IF($Q58="短時間",HLOOKUP($P58,$J$5:$M$27,23,FALSE)-SUM($F$10,$F$21:$F$24,$F$26)-HLOOKUP($P58,$J$5:$M$27,16,FALSE)+HLOOKUP($P58,$J$5:$M$29,25,FALSE),0))+IF(R58="○",加算と減算!$AH$3,0)</f>
        <v>0</v>
      </c>
      <c r="U58" s="85">
        <f t="shared" ref="U58:U77" si="45">IFERROR(ROUNDDOWN(T58*S58/25,-1),0)</f>
        <v>0</v>
      </c>
      <c r="V58" s="262">
        <f>IFERROR(ROUNDDOWN(IF($Q58="標準時間",HLOOKUP($P58,$F$5:$I$28,24,FALSE),IF($Q58="短時間",HLOOKUP($P58,$J$5:$M$28,24,FALSE),0))*S58/25,-1),0)</f>
        <v>0</v>
      </c>
      <c r="W58" s="262"/>
      <c r="X58" s="61" t="str">
        <f>IF(月途中入退所情報!$N8=$B$2,月途中入退所情報!$P8,"-")</f>
        <v>-</v>
      </c>
      <c r="Y58" s="61" t="str">
        <f>IF(月途中入退所情報!$N8=$B$2,月途中入退所情報!$Q8,"-")</f>
        <v>-</v>
      </c>
      <c r="Z58" s="61" t="str">
        <f>IF(月途中入退所情報!$N8=$B$2,月途中入退所情報!$R8,"-")</f>
        <v>-</v>
      </c>
      <c r="AA58" s="61" t="str">
        <f>IF(月途中入退所情報!$N8=$B$2,月途中入退所情報!$S8,"-")</f>
        <v>-</v>
      </c>
      <c r="AB58" s="61" t="str">
        <f>IF(月途中入退所情報!$N8=$B$2,月途中入退所情報!$T8,"-")</f>
        <v>-</v>
      </c>
      <c r="AC58" s="84">
        <f>IF($Z58="標準時間",HLOOKUP($Y58,$F$5:$I$27,23,FALSE)-SUM($F$10,$F$21:$F$24,$F$26)-HLOOKUP($Y58,$F$5:$I$27,16,FALSE)+HLOOKUP($Y58,$F$5:$I$29,25,FALSE),IF($Z58="短時間",HLOOKUP($Y58,$J$5:$M$27,23,FALSE)-SUM($F$10,$F$21:$F$24,$F$26)-HLOOKUP($Y58,$J$5:$M$27,16,FALSE)+HLOOKUP($Y58,$J$5:$M$29,25,FALSE),0))+IF(AA58="○",加算と減算!$AH$3,0)</f>
        <v>0</v>
      </c>
      <c r="AD58" s="85">
        <f t="shared" ref="AD58:AD77" si="46">IFERROR(-ROUNDUP(AC58*AB58/25,-1),0)</f>
        <v>0</v>
      </c>
      <c r="AE58" s="262">
        <f t="shared" ref="AE58:AE77" si="47">IFERROR(-ROUNDUP(IF($Z58="標準時間",HLOOKUP($Y58,$F$5:$I$28,24,FALSE),IF($Z58="短時間",HLOOKUP($Y58,$J$5:$M$28,24,FALSE),0))*AB58/25,-1),0)</f>
        <v>0</v>
      </c>
    </row>
    <row r="59" spans="2:43">
      <c r="C59" s="356"/>
      <c r="D59" s="357"/>
      <c r="E59" s="358"/>
      <c r="F59" s="1417" t="s">
        <v>15</v>
      </c>
      <c r="G59" s="1417"/>
      <c r="H59" s="1417"/>
      <c r="I59" s="1417"/>
      <c r="J59" s="1417" t="s">
        <v>16</v>
      </c>
      <c r="K59" s="1417"/>
      <c r="L59" s="1417"/>
      <c r="M59" s="1454"/>
      <c r="O59" s="61" t="str">
        <f>IF(月途中入退所情報!$D9=$B$2,月途中入退所情報!F9,"-")</f>
        <v>-</v>
      </c>
      <c r="P59" s="61" t="str">
        <f>IF(月途中入退所情報!$D9=$B$2,月途中入退所情報!G9,"-")</f>
        <v>-</v>
      </c>
      <c r="Q59" s="61" t="str">
        <f>IF(月途中入退所情報!$D9=$B$2,月途中入退所情報!H9,"-")</f>
        <v>-</v>
      </c>
      <c r="R59" s="61" t="str">
        <f>IF(月途中入退所情報!$D9=$B$2,月途中入退所情報!I9,"-")</f>
        <v>-</v>
      </c>
      <c r="S59" s="61" t="str">
        <f>IF(月途中入退所情報!$D9=$B$2,月途中入退所情報!J9,"-")</f>
        <v>-</v>
      </c>
      <c r="T59" s="84">
        <f>IF($Q59="標準時間",HLOOKUP($P59,$F$5:$I$27,23,FALSE)-SUM($F$10,$F$21:$F$24,$F$26)-HLOOKUP($P59,$F$5:$I$27,16,FALSE)+HLOOKUP($P59,$F$5:$I$29,25,FALSE),IF($Q59="短時間",HLOOKUP($P59,$J$5:$M$27,23,FALSE)-SUM($F$10,$F$21:$F$24,$F$26)-HLOOKUP($P59,$J$5:$M$27,16,FALSE)+HLOOKUP($P59,$J$5:$M$29,25,FALSE),0))+IF(R59="○",加算と減算!$AH$3,0)</f>
        <v>0</v>
      </c>
      <c r="U59" s="85">
        <f t="shared" si="45"/>
        <v>0</v>
      </c>
      <c r="V59" s="262">
        <f t="shared" ref="V59:V77" si="48">IFERROR(ROUNDDOWN(IF($Q59="標準時間",HLOOKUP($P59,$F$5:$I$28,24,FALSE),IF($Q59="短時間",HLOOKUP($P59,$J$5:$M$28,24,FALSE),0))*S59/25,-1),0)</f>
        <v>0</v>
      </c>
      <c r="W59" s="262"/>
      <c r="X59" s="61" t="str">
        <f>IF(月途中入退所情報!$N9=$B$2,月途中入退所情報!$P9,"-")</f>
        <v>-</v>
      </c>
      <c r="Y59" s="61" t="str">
        <f>IF(月途中入退所情報!$N9=$B$2,月途中入退所情報!$Q9,"-")</f>
        <v>-</v>
      </c>
      <c r="Z59" s="61" t="str">
        <f>IF(月途中入退所情報!$N9=$B$2,月途中入退所情報!$R9,"-")</f>
        <v>-</v>
      </c>
      <c r="AA59" s="61" t="str">
        <f>IF(月途中入退所情報!$N9=$B$2,月途中入退所情報!$S9,"-")</f>
        <v>-</v>
      </c>
      <c r="AB59" s="61" t="str">
        <f>IF(月途中入退所情報!$N9=$B$2,月途中入退所情報!$T9,"-")</f>
        <v>-</v>
      </c>
      <c r="AC59" s="84">
        <f>IF($Z59="標準時間",HLOOKUP($Y59,$F$5:$I$27,23,FALSE)-SUM($F$10,$F$21:$F$24,$F$26)-HLOOKUP($Y59,$F$5:$I$27,16,FALSE)+HLOOKUP($Y59,$F$5:$I$29,25,FALSE),IF($Z59="短時間",HLOOKUP($Y59,$J$5:$M$27,23,FALSE)-SUM($F$10,$F$21:$F$24,$F$26)-HLOOKUP($Y59,$J$5:$M$27,16,FALSE)+HLOOKUP($Y59,$J$5:$M$29,25,FALSE),0))+IF(AA59="○",加算と減算!$AH$3,0)</f>
        <v>0</v>
      </c>
      <c r="AD59" s="85">
        <f t="shared" si="46"/>
        <v>0</v>
      </c>
      <c r="AE59" s="262">
        <f t="shared" si="47"/>
        <v>0</v>
      </c>
    </row>
    <row r="60" spans="2:43">
      <c r="C60" s="356"/>
      <c r="D60" s="357"/>
      <c r="E60" s="358"/>
      <c r="F60" s="369" t="s">
        <v>6</v>
      </c>
      <c r="G60" s="369" t="s">
        <v>7</v>
      </c>
      <c r="H60" s="369" t="s">
        <v>8</v>
      </c>
      <c r="I60" s="369" t="s">
        <v>9</v>
      </c>
      <c r="J60" s="369" t="s">
        <v>6</v>
      </c>
      <c r="K60" s="369" t="s">
        <v>7</v>
      </c>
      <c r="L60" s="369" t="s">
        <v>8</v>
      </c>
      <c r="M60" s="359" t="s">
        <v>9</v>
      </c>
      <c r="O60" s="61" t="str">
        <f>IF(月途中入退所情報!$D10=$B$2,月途中入退所情報!F10,"-")</f>
        <v>-</v>
      </c>
      <c r="P60" s="61" t="str">
        <f>IF(月途中入退所情報!$D10=$B$2,月途中入退所情報!G10,"-")</f>
        <v>-</v>
      </c>
      <c r="Q60" s="61" t="str">
        <f>IF(月途中入退所情報!$D10=$B$2,月途中入退所情報!H10,"-")</f>
        <v>-</v>
      </c>
      <c r="R60" s="61" t="str">
        <f>IF(月途中入退所情報!$D10=$B$2,月途中入退所情報!I10,"-")</f>
        <v>-</v>
      </c>
      <c r="S60" s="61" t="str">
        <f>IF(月途中入退所情報!$D10=$B$2,月途中入退所情報!J10,"-")</f>
        <v>-</v>
      </c>
      <c r="T60" s="84">
        <f>IF($Q60="標準時間",HLOOKUP($P60,$F$5:$I$27,23,FALSE)-SUM($F$10,$F$21:$F$24,$F$26)-HLOOKUP($P60,$F$5:$I$27,16,FALSE)+HLOOKUP($P60,$F$5:$I$29,25,FALSE),IF($Q60="短時間",HLOOKUP($P60,$J$5:$M$27,23,FALSE)-SUM($F$10,$F$21:$F$24,$F$26)-HLOOKUP($P60,$J$5:$M$27,16,FALSE)+HLOOKUP($P60,$J$5:$M$29,25,FALSE),0))+IF(R60="○",加算と減算!$AH$3,0)</f>
        <v>0</v>
      </c>
      <c r="U60" s="85">
        <f t="shared" si="45"/>
        <v>0</v>
      </c>
      <c r="V60" s="262">
        <f t="shared" si="48"/>
        <v>0</v>
      </c>
      <c r="W60" s="262"/>
      <c r="X60" s="61" t="str">
        <f>IF(月途中入退所情報!$N10=$B$2,月途中入退所情報!$P10,"-")</f>
        <v>-</v>
      </c>
      <c r="Y60" s="61" t="str">
        <f>IF(月途中入退所情報!$N10=$B$2,月途中入退所情報!$Q10,"-")</f>
        <v>-</v>
      </c>
      <c r="Z60" s="61" t="str">
        <f>IF(月途中入退所情報!$N10=$B$2,月途中入退所情報!$R10,"-")</f>
        <v>-</v>
      </c>
      <c r="AA60" s="61" t="str">
        <f>IF(月途中入退所情報!$N10=$B$2,月途中入退所情報!$S10,"-")</f>
        <v>-</v>
      </c>
      <c r="AB60" s="61" t="str">
        <f>IF(月途中入退所情報!$N10=$B$2,月途中入退所情報!$T10,"-")</f>
        <v>-</v>
      </c>
      <c r="AC60" s="84">
        <f>IF($Z60="標準時間",HLOOKUP($Y60,$F$5:$I$27,23,FALSE)-SUM($F$10,$F$21:$F$24,$F$26)-HLOOKUP($Y60,$F$5:$I$27,16,FALSE)+HLOOKUP($Y60,$F$5:$I$29,25,FALSE),IF($Z60="短時間",HLOOKUP($Y60,$J$5:$M$27,23,FALSE)-SUM($F$10,$F$21:$F$24,$F$26)-HLOOKUP($Y60,$J$5:$M$27,16,FALSE)+HLOOKUP($Y60,$J$5:$M$29,25,FALSE),0))+IF(AA60="○",加算と減算!$AH$3,0)</f>
        <v>0</v>
      </c>
      <c r="AD60" s="85">
        <f t="shared" si="46"/>
        <v>0</v>
      </c>
      <c r="AE60" s="262">
        <f t="shared" si="47"/>
        <v>0</v>
      </c>
    </row>
    <row r="61" spans="2:43">
      <c r="C61" s="356"/>
      <c r="D61" s="1432" t="s">
        <v>482</v>
      </c>
      <c r="E61" s="320" t="s">
        <v>480</v>
      </c>
      <c r="F61" s="85" t="e">
        <f t="shared" ref="F61:M61" si="49">-ROUNDDOWN((F7+F9+F1)*$S$2%,-1)</f>
        <v>#VALUE!</v>
      </c>
      <c r="G61" s="85" t="e">
        <f t="shared" si="49"/>
        <v>#VALUE!</v>
      </c>
      <c r="H61" s="85" t="e">
        <f t="shared" si="49"/>
        <v>#VALUE!</v>
      </c>
      <c r="I61" s="85" t="e">
        <f t="shared" si="49"/>
        <v>#VALUE!</v>
      </c>
      <c r="J61" s="85" t="e">
        <f t="shared" si="49"/>
        <v>#VALUE!</v>
      </c>
      <c r="K61" s="85" t="e">
        <f t="shared" si="49"/>
        <v>#VALUE!</v>
      </c>
      <c r="L61" s="85" t="e">
        <f t="shared" si="49"/>
        <v>#VALUE!</v>
      </c>
      <c r="M61" s="360" t="e">
        <f t="shared" si="49"/>
        <v>#VALUE!</v>
      </c>
      <c r="O61" s="61" t="str">
        <f>IF(月途中入退所情報!$D11=$B$2,月途中入退所情報!F11,"-")</f>
        <v>-</v>
      </c>
      <c r="P61" s="61" t="str">
        <f>IF(月途中入退所情報!$D11=$B$2,月途中入退所情報!G11,"-")</f>
        <v>-</v>
      </c>
      <c r="Q61" s="61" t="str">
        <f>IF(月途中入退所情報!$D11=$B$2,月途中入退所情報!H11,"-")</f>
        <v>-</v>
      </c>
      <c r="R61" s="61" t="str">
        <f>IF(月途中入退所情報!$D11=$B$2,月途中入退所情報!I11,"-")</f>
        <v>-</v>
      </c>
      <c r="S61" s="61" t="str">
        <f>IF(月途中入退所情報!$D11=$B$2,月途中入退所情報!J11,"-")</f>
        <v>-</v>
      </c>
      <c r="T61" s="84">
        <f>IF($Q61="標準時間",HLOOKUP($P61,$F$5:$I$27,23,FALSE)-SUM($F$10,$F$21:$F$24,$F$26)-HLOOKUP($P61,$F$5:$I$27,16,FALSE)+HLOOKUP($P61,$F$5:$I$29,25,FALSE),IF($Q61="短時間",HLOOKUP($P61,$J$5:$M$27,23,FALSE)-SUM($F$10,$F$21:$F$24,$F$26)-HLOOKUP($P61,$J$5:$M$27,16,FALSE)+HLOOKUP($P61,$J$5:$M$29,25,FALSE),0))+IF(R61="○",加算と減算!$AH$3,0)</f>
        <v>0</v>
      </c>
      <c r="U61" s="85">
        <f t="shared" si="45"/>
        <v>0</v>
      </c>
      <c r="V61" s="262">
        <f t="shared" si="48"/>
        <v>0</v>
      </c>
      <c r="W61" s="262"/>
      <c r="X61" s="61" t="str">
        <f>IF(月途中入退所情報!$N11=$B$2,月途中入退所情報!$P11,"-")</f>
        <v>-</v>
      </c>
      <c r="Y61" s="61" t="str">
        <f>IF(月途中入退所情報!$N11=$B$2,月途中入退所情報!$Q11,"-")</f>
        <v>-</v>
      </c>
      <c r="Z61" s="61" t="str">
        <f>IF(月途中入退所情報!$N11=$B$2,月途中入退所情報!$R11,"-")</f>
        <v>-</v>
      </c>
      <c r="AA61" s="61" t="str">
        <f>IF(月途中入退所情報!$N11=$B$2,月途中入退所情報!$S11,"-")</f>
        <v>-</v>
      </c>
      <c r="AB61" s="61" t="str">
        <f>IF(月途中入退所情報!$N11=$B$2,月途中入退所情報!$T11,"-")</f>
        <v>-</v>
      </c>
      <c r="AC61" s="84">
        <f>IF($Z61="標準時間",HLOOKUP($Y61,$F$5:$I$27,23,FALSE)-SUM($F$10,$F$21:$F$24,$F$26)-HLOOKUP($Y61,$F$5:$I$27,16,FALSE)+HLOOKUP($Y61,$F$5:$I$29,25,FALSE),IF($Z61="短時間",HLOOKUP($Y61,$J$5:$M$27,23,FALSE)-SUM($F$10,$F$21:$F$24,$F$26)-HLOOKUP($Y61,$J$5:$M$27,16,FALSE)+HLOOKUP($Y61,$J$5:$M$29,25,FALSE),0))+IF(AA61="○",加算と減算!$AH$3,0)</f>
        <v>0</v>
      </c>
      <c r="AD61" s="85">
        <f t="shared" si="46"/>
        <v>0</v>
      </c>
      <c r="AE61" s="262">
        <f t="shared" si="47"/>
        <v>0</v>
      </c>
    </row>
    <row r="62" spans="2:43">
      <c r="C62" s="356"/>
      <c r="D62" s="1432"/>
      <c r="E62" s="320" t="s">
        <v>481</v>
      </c>
      <c r="F62" s="85" t="e">
        <f>F61*Q11</f>
        <v>#VALUE!</v>
      </c>
      <c r="G62" s="85" t="e">
        <f t="shared" ref="G62:M62" si="50">G61*R11</f>
        <v>#VALUE!</v>
      </c>
      <c r="H62" s="85" t="e">
        <f t="shared" si="50"/>
        <v>#VALUE!</v>
      </c>
      <c r="I62" s="85" t="e">
        <f t="shared" si="50"/>
        <v>#VALUE!</v>
      </c>
      <c r="J62" s="85" t="e">
        <f t="shared" si="50"/>
        <v>#VALUE!</v>
      </c>
      <c r="K62" s="85" t="e">
        <f t="shared" si="50"/>
        <v>#VALUE!</v>
      </c>
      <c r="L62" s="85" t="e">
        <f t="shared" si="50"/>
        <v>#VALUE!</v>
      </c>
      <c r="M62" s="360" t="e">
        <f t="shared" si="50"/>
        <v>#VALUE!</v>
      </c>
      <c r="O62" s="61" t="str">
        <f>IF(月途中入退所情報!$D12=$B$2,月途中入退所情報!F12,"-")</f>
        <v>-</v>
      </c>
      <c r="P62" s="61" t="str">
        <f>IF(月途中入退所情報!$D12=$B$2,月途中入退所情報!G12,"-")</f>
        <v>-</v>
      </c>
      <c r="Q62" s="61" t="str">
        <f>IF(月途中入退所情報!$D12=$B$2,月途中入退所情報!H12,"-")</f>
        <v>-</v>
      </c>
      <c r="R62" s="61" t="str">
        <f>IF(月途中入退所情報!$D12=$B$2,月途中入退所情報!I12,"-")</f>
        <v>-</v>
      </c>
      <c r="S62" s="61" t="str">
        <f>IF(月途中入退所情報!$D12=$B$2,月途中入退所情報!J12,"-")</f>
        <v>-</v>
      </c>
      <c r="T62" s="84">
        <f>IF($Q62="標準時間",HLOOKUP($P62,$F$5:$I$27,23,FALSE)-SUM($F$10,$F$21:$F$24,$F$26)-HLOOKUP($P62,$F$5:$I$27,16,FALSE)+HLOOKUP($P62,$F$5:$I$29,25,FALSE),IF($Q62="短時間",HLOOKUP($P62,$J$5:$M$27,23,FALSE)-SUM($F$10,$F$21:$F$24,$F$26)-HLOOKUP($P62,$J$5:$M$27,16,FALSE)+HLOOKUP($P62,$J$5:$M$29,25,FALSE),0))+IF(R62="○",加算と減算!$AH$3,0)</f>
        <v>0</v>
      </c>
      <c r="U62" s="85">
        <f t="shared" si="45"/>
        <v>0</v>
      </c>
      <c r="V62" s="262">
        <f t="shared" si="48"/>
        <v>0</v>
      </c>
      <c r="W62" s="262"/>
      <c r="X62" s="61" t="str">
        <f>IF(月途中入退所情報!$N12=$B$2,月途中入退所情報!$P12,"-")</f>
        <v>-</v>
      </c>
      <c r="Y62" s="61" t="str">
        <f>IF(月途中入退所情報!$N12=$B$2,月途中入退所情報!$Q12,"-")</f>
        <v>-</v>
      </c>
      <c r="Z62" s="61" t="str">
        <f>IF(月途中入退所情報!$N12=$B$2,月途中入退所情報!$R12,"-")</f>
        <v>-</v>
      </c>
      <c r="AA62" s="61" t="str">
        <f>IF(月途中入退所情報!$N12=$B$2,月途中入退所情報!$S12,"-")</f>
        <v>-</v>
      </c>
      <c r="AB62" s="61" t="str">
        <f>IF(月途中入退所情報!$N12=$B$2,月途中入退所情報!$T12,"-")</f>
        <v>-</v>
      </c>
      <c r="AC62" s="84">
        <f>IF($Z62="標準時間",HLOOKUP($Y62,$F$5:$I$27,23,FALSE)-SUM($F$10,$F$21:$F$24,$F$26)-HLOOKUP($Y62,$F$5:$I$27,16,FALSE)+HLOOKUP($Y62,$F$5:$I$29,25,FALSE),IF($Z62="短時間",HLOOKUP($Y62,$J$5:$M$27,23,FALSE)-SUM($F$10,$F$21:$F$24,$F$26)-HLOOKUP($Y62,$J$5:$M$27,16,FALSE)+HLOOKUP($Y62,$J$5:$M$29,25,FALSE),0))+IF(AA62="○",加算と減算!$AH$3,0)</f>
        <v>0</v>
      </c>
      <c r="AD62" s="85">
        <f t="shared" si="46"/>
        <v>0</v>
      </c>
      <c r="AE62" s="262">
        <f t="shared" si="47"/>
        <v>0</v>
      </c>
    </row>
    <row r="63" spans="2:43">
      <c r="C63" s="356"/>
      <c r="D63" s="361"/>
      <c r="E63" s="362"/>
      <c r="F63" s="363"/>
      <c r="G63" s="363"/>
      <c r="H63" s="363"/>
      <c r="I63" s="363"/>
      <c r="J63" s="363"/>
      <c r="K63" s="363"/>
      <c r="L63" s="363"/>
      <c r="M63" s="364"/>
      <c r="O63" s="61" t="str">
        <f>IF(月途中入退所情報!$D13=$B$2,月途中入退所情報!F13,"-")</f>
        <v>-</v>
      </c>
      <c r="P63" s="61" t="str">
        <f>IF(月途中入退所情報!$D13=$B$2,月途中入退所情報!G13,"-")</f>
        <v>-</v>
      </c>
      <c r="Q63" s="61" t="str">
        <f>IF(月途中入退所情報!$D13=$B$2,月途中入退所情報!H13,"-")</f>
        <v>-</v>
      </c>
      <c r="R63" s="61" t="str">
        <f>IF(月途中入退所情報!$D13=$B$2,月途中入退所情報!I13,"-")</f>
        <v>-</v>
      </c>
      <c r="S63" s="61" t="str">
        <f>IF(月途中入退所情報!$D13=$B$2,月途中入退所情報!J13,"-")</f>
        <v>-</v>
      </c>
      <c r="T63" s="84">
        <f>IF($Q63="標準時間",HLOOKUP($P63,$F$5:$I$27,23,FALSE)-SUM($F$10,$F$21:$F$24,$F$26)-HLOOKUP($P63,$F$5:$I$27,16,FALSE)+HLOOKUP($P63,$F$5:$I$29,25,FALSE),IF($Q63="短時間",HLOOKUP($P63,$J$5:$M$27,23,FALSE)-SUM($F$10,$F$21:$F$24,$F$26)-HLOOKUP($P63,$J$5:$M$27,16,FALSE)+HLOOKUP($P63,$J$5:$M$29,25,FALSE),0))+IF(R63="○",加算と減算!$AH$3,0)</f>
        <v>0</v>
      </c>
      <c r="U63" s="85">
        <f t="shared" si="45"/>
        <v>0</v>
      </c>
      <c r="V63" s="262">
        <f t="shared" si="48"/>
        <v>0</v>
      </c>
      <c r="W63" s="262"/>
      <c r="X63" s="61" t="str">
        <f>IF(月途中入退所情報!$N13=$B$2,月途中入退所情報!$P13,"-")</f>
        <v>-</v>
      </c>
      <c r="Y63" s="61" t="str">
        <f>IF(月途中入退所情報!$N13=$B$2,月途中入退所情報!$Q13,"-")</f>
        <v>-</v>
      </c>
      <c r="Z63" s="61" t="str">
        <f>IF(月途中入退所情報!$N13=$B$2,月途中入退所情報!$R13,"-")</f>
        <v>-</v>
      </c>
      <c r="AA63" s="61" t="str">
        <f>IF(月途中入退所情報!$N13=$B$2,月途中入退所情報!$S13,"-")</f>
        <v>-</v>
      </c>
      <c r="AB63" s="61" t="str">
        <f>IF(月途中入退所情報!$N13=$B$2,月途中入退所情報!$T13,"-")</f>
        <v>-</v>
      </c>
      <c r="AC63" s="84">
        <f>IF($Z63="標準時間",HLOOKUP($Y63,$F$5:$I$27,23,FALSE)-SUM($F$10,$F$21:$F$24,$F$26)-HLOOKUP($Y63,$F$5:$I$27,16,FALSE)+HLOOKUP($Y63,$F$5:$I$29,25,FALSE),IF($Z63="短時間",HLOOKUP($Y63,$J$5:$M$27,23,FALSE)-SUM($F$10,$F$21:$F$24,$F$26)-HLOOKUP($Y63,$J$5:$M$27,16,FALSE)+HLOOKUP($Y63,$J$5:$M$29,25,FALSE),0))+IF(AA63="○",加算と減算!$AH$3,0)</f>
        <v>0</v>
      </c>
      <c r="AD63" s="85">
        <f t="shared" si="46"/>
        <v>0</v>
      </c>
      <c r="AE63" s="262">
        <f t="shared" si="47"/>
        <v>0</v>
      </c>
    </row>
    <row r="64" spans="2:43">
      <c r="C64" s="356"/>
      <c r="D64" s="357"/>
      <c r="E64" s="358"/>
      <c r="F64" s="369" t="s">
        <v>6</v>
      </c>
      <c r="G64" s="369" t="s">
        <v>7</v>
      </c>
      <c r="H64" s="369" t="s">
        <v>8</v>
      </c>
      <c r="I64" s="369" t="s">
        <v>9</v>
      </c>
      <c r="J64" s="369" t="s">
        <v>6</v>
      </c>
      <c r="K64" s="369" t="s">
        <v>7</v>
      </c>
      <c r="L64" s="369" t="s">
        <v>8</v>
      </c>
      <c r="M64" s="359" t="s">
        <v>9</v>
      </c>
      <c r="O64" s="61" t="str">
        <f>IF(月途中入退所情報!$D14=$B$2,月途中入退所情報!F14,"-")</f>
        <v>-</v>
      </c>
      <c r="P64" s="61" t="str">
        <f>IF(月途中入退所情報!$D14=$B$2,月途中入退所情報!G14,"-")</f>
        <v>-</v>
      </c>
      <c r="Q64" s="61" t="str">
        <f>IF(月途中入退所情報!$D14=$B$2,月途中入退所情報!H14,"-")</f>
        <v>-</v>
      </c>
      <c r="R64" s="61" t="str">
        <f>IF(月途中入退所情報!$D14=$B$2,月途中入退所情報!I14,"-")</f>
        <v>-</v>
      </c>
      <c r="S64" s="61" t="str">
        <f>IF(月途中入退所情報!$D14=$B$2,月途中入退所情報!J14,"-")</f>
        <v>-</v>
      </c>
      <c r="T64" s="84">
        <f>IF($Q64="標準時間",HLOOKUP($P64,$F$5:$I$27,23,FALSE)-SUM($F$10,$F$21:$F$24,$F$26)-HLOOKUP($P64,$F$5:$I$27,16,FALSE)+HLOOKUP($P64,$F$5:$I$29,25,FALSE),IF($Q64="短時間",HLOOKUP($P64,$J$5:$M$27,23,FALSE)-SUM($F$10,$F$21:$F$24,$F$26)-HLOOKUP($P64,$J$5:$M$27,16,FALSE)+HLOOKUP($P64,$J$5:$M$29,25,FALSE),0))+IF(R64="○",加算と減算!$AH$3,0)</f>
        <v>0</v>
      </c>
      <c r="U64" s="85">
        <f t="shared" si="45"/>
        <v>0</v>
      </c>
      <c r="V64" s="262">
        <f t="shared" si="48"/>
        <v>0</v>
      </c>
      <c r="W64" s="262"/>
      <c r="X64" s="61" t="str">
        <f>IF(月途中入退所情報!$N14=$B$2,月途中入退所情報!$P14,"-")</f>
        <v>-</v>
      </c>
      <c r="Y64" s="61" t="str">
        <f>IF(月途中入退所情報!$N14=$B$2,月途中入退所情報!$Q14,"-")</f>
        <v>-</v>
      </c>
      <c r="Z64" s="61" t="str">
        <f>IF(月途中入退所情報!$N14=$B$2,月途中入退所情報!$R14,"-")</f>
        <v>-</v>
      </c>
      <c r="AA64" s="61" t="str">
        <f>IF(月途中入退所情報!$N14=$B$2,月途中入退所情報!$S14,"-")</f>
        <v>-</v>
      </c>
      <c r="AB64" s="61" t="str">
        <f>IF(月途中入退所情報!$N14=$B$2,月途中入退所情報!$T14,"-")</f>
        <v>-</v>
      </c>
      <c r="AC64" s="84">
        <f>IF($Z64="標準時間",HLOOKUP($Y64,$F$5:$I$27,23,FALSE)-SUM($F$10,$F$21:$F$24,$F$26)-HLOOKUP($Y64,$F$5:$I$27,16,FALSE)+HLOOKUP($Y64,$F$5:$I$29,25,FALSE),IF($Z64="短時間",HLOOKUP($Y64,$J$5:$M$27,23,FALSE)-SUM($F$10,$F$21:$F$24,$F$26)-HLOOKUP($Y64,$J$5:$M$27,16,FALSE)+HLOOKUP($Y64,$J$5:$M$29,25,FALSE),0))+IF(AA64="○",加算と減算!$AH$3,0)</f>
        <v>0</v>
      </c>
      <c r="AD64" s="85">
        <f t="shared" si="46"/>
        <v>0</v>
      </c>
      <c r="AE64" s="262">
        <f t="shared" si="47"/>
        <v>0</v>
      </c>
    </row>
    <row r="65" spans="3:31">
      <c r="C65" s="356"/>
      <c r="D65" s="1432" t="s">
        <v>483</v>
      </c>
      <c r="E65" s="320" t="s">
        <v>480</v>
      </c>
      <c r="F65" s="85">
        <f t="shared" ref="F65:M65" si="51">-ROUNDDOWN((F33+F35+F38)*$T$2%,-1)</f>
        <v>0</v>
      </c>
      <c r="G65" s="85">
        <f t="shared" si="51"/>
        <v>0</v>
      </c>
      <c r="H65" s="85">
        <f t="shared" si="51"/>
        <v>0</v>
      </c>
      <c r="I65" s="85">
        <f t="shared" si="51"/>
        <v>0</v>
      </c>
      <c r="J65" s="85">
        <f t="shared" si="51"/>
        <v>0</v>
      </c>
      <c r="K65" s="85">
        <f t="shared" si="51"/>
        <v>0</v>
      </c>
      <c r="L65" s="85">
        <f t="shared" si="51"/>
        <v>0</v>
      </c>
      <c r="M65" s="360">
        <f t="shared" si="51"/>
        <v>0</v>
      </c>
      <c r="O65" s="61" t="str">
        <f>IF(月途中入退所情報!$D15=$B$2,月途中入退所情報!F15,"-")</f>
        <v>-</v>
      </c>
      <c r="P65" s="61" t="str">
        <f>IF(月途中入退所情報!$D15=$B$2,月途中入退所情報!G15,"-")</f>
        <v>-</v>
      </c>
      <c r="Q65" s="61" t="str">
        <f>IF(月途中入退所情報!$D15=$B$2,月途中入退所情報!H15,"-")</f>
        <v>-</v>
      </c>
      <c r="R65" s="61" t="str">
        <f>IF(月途中入退所情報!$D15=$B$2,月途中入退所情報!I15,"-")</f>
        <v>-</v>
      </c>
      <c r="S65" s="61" t="str">
        <f>IF(月途中入退所情報!$D15=$B$2,月途中入退所情報!J15,"-")</f>
        <v>-</v>
      </c>
      <c r="T65" s="84">
        <f>IF($Q65="標準時間",HLOOKUP($P65,$F$5:$I$27,23,FALSE)-SUM($F$10,$F$21:$F$24,$F$26)-HLOOKUP($P65,$F$5:$I$27,16,FALSE)+HLOOKUP($P65,$F$5:$I$29,25,FALSE),IF($Q65="短時間",HLOOKUP($P65,$J$5:$M$27,23,FALSE)-SUM($F$10,$F$21:$F$24,$F$26)-HLOOKUP($P65,$J$5:$M$27,16,FALSE)+HLOOKUP($P65,$J$5:$M$29,25,FALSE),0))+IF(R65="○",加算と減算!$AH$3,0)</f>
        <v>0</v>
      </c>
      <c r="U65" s="85">
        <f t="shared" si="45"/>
        <v>0</v>
      </c>
      <c r="V65" s="262">
        <f t="shared" si="48"/>
        <v>0</v>
      </c>
      <c r="W65" s="262"/>
      <c r="X65" s="61" t="str">
        <f>IF(月途中入退所情報!$N15=$B$2,月途中入退所情報!$P15,"-")</f>
        <v>-</v>
      </c>
      <c r="Y65" s="61" t="str">
        <f>IF(月途中入退所情報!$N15=$B$2,月途中入退所情報!$Q15,"-")</f>
        <v>-</v>
      </c>
      <c r="Z65" s="61" t="str">
        <f>IF(月途中入退所情報!$N15=$B$2,月途中入退所情報!$R15,"-")</f>
        <v>-</v>
      </c>
      <c r="AA65" s="61" t="str">
        <f>IF(月途中入退所情報!$N15=$B$2,月途中入退所情報!$S15,"-")</f>
        <v>-</v>
      </c>
      <c r="AB65" s="61" t="str">
        <f>IF(月途中入退所情報!$N15=$B$2,月途中入退所情報!$T15,"-")</f>
        <v>-</v>
      </c>
      <c r="AC65" s="84">
        <f>IF($Z65="標準時間",HLOOKUP($Y65,$F$5:$I$27,23,FALSE)-SUM($F$10,$F$21:$F$24,$F$26)-HLOOKUP($Y65,$F$5:$I$27,16,FALSE)+HLOOKUP($Y65,$F$5:$I$29,25,FALSE),IF($Z65="短時間",HLOOKUP($Y65,$J$5:$M$27,23,FALSE)-SUM($F$10,$F$21:$F$24,$F$26)-HLOOKUP($Y65,$J$5:$M$27,16,FALSE)+HLOOKUP($Y65,$J$5:$M$29,25,FALSE),0))+IF(AA65="○",加算と減算!$AH$3,0)</f>
        <v>0</v>
      </c>
      <c r="AD65" s="85">
        <f t="shared" si="46"/>
        <v>0</v>
      </c>
      <c r="AE65" s="262">
        <f t="shared" si="47"/>
        <v>0</v>
      </c>
    </row>
    <row r="66" spans="3:31">
      <c r="C66" s="356"/>
      <c r="D66" s="1432"/>
      <c r="E66" s="320" t="s">
        <v>481</v>
      </c>
      <c r="F66" s="85">
        <f>F65*Q37</f>
        <v>0</v>
      </c>
      <c r="G66" s="85">
        <f t="shared" ref="G66:M66" si="52">G65*R37</f>
        <v>0</v>
      </c>
      <c r="H66" s="85">
        <f t="shared" si="52"/>
        <v>0</v>
      </c>
      <c r="I66" s="85">
        <f t="shared" si="52"/>
        <v>0</v>
      </c>
      <c r="J66" s="85">
        <f t="shared" si="52"/>
        <v>0</v>
      </c>
      <c r="K66" s="85">
        <f t="shared" si="52"/>
        <v>0</v>
      </c>
      <c r="L66" s="85">
        <f t="shared" si="52"/>
        <v>0</v>
      </c>
      <c r="M66" s="360">
        <f t="shared" si="52"/>
        <v>0</v>
      </c>
      <c r="O66" s="61" t="str">
        <f>IF(月途中入退所情報!$D16=$B$2,月途中入退所情報!F16,"-")</f>
        <v>-</v>
      </c>
      <c r="P66" s="61" t="str">
        <f>IF(月途中入退所情報!$D16=$B$2,月途中入退所情報!G16,"-")</f>
        <v>-</v>
      </c>
      <c r="Q66" s="61" t="str">
        <f>IF(月途中入退所情報!$D16=$B$2,月途中入退所情報!H16,"-")</f>
        <v>-</v>
      </c>
      <c r="R66" s="61" t="str">
        <f>IF(月途中入退所情報!$D16=$B$2,月途中入退所情報!I16,"-")</f>
        <v>-</v>
      </c>
      <c r="S66" s="61" t="str">
        <f>IF(月途中入退所情報!$D16=$B$2,月途中入退所情報!J16,"-")</f>
        <v>-</v>
      </c>
      <c r="T66" s="84">
        <f>IF($Q66="標準時間",HLOOKUP($P66,$F$5:$I$27,23,FALSE)-SUM($F$10,$F$21:$F$24,$F$26)-HLOOKUP($P66,$F$5:$I$27,16,FALSE)+HLOOKUP($P66,$F$5:$I$29,25,FALSE),IF($Q66="短時間",HLOOKUP($P66,$J$5:$M$27,23,FALSE)-SUM($F$10,$F$21:$F$24,$F$26)-HLOOKUP($P66,$J$5:$M$27,16,FALSE)+HLOOKUP($P66,$J$5:$M$29,25,FALSE),0))+IF(R66="○",加算と減算!$AH$3,0)</f>
        <v>0</v>
      </c>
      <c r="U66" s="85">
        <f t="shared" si="45"/>
        <v>0</v>
      </c>
      <c r="V66" s="262">
        <f t="shared" si="48"/>
        <v>0</v>
      </c>
      <c r="W66" s="262"/>
      <c r="X66" s="61" t="str">
        <f>IF(月途中入退所情報!$N16=$B$2,月途中入退所情報!$P16,"-")</f>
        <v>-</v>
      </c>
      <c r="Y66" s="61" t="str">
        <f>IF(月途中入退所情報!$N16=$B$2,月途中入退所情報!$Q16,"-")</f>
        <v>-</v>
      </c>
      <c r="Z66" s="61" t="str">
        <f>IF(月途中入退所情報!$N16=$B$2,月途中入退所情報!$R16,"-")</f>
        <v>-</v>
      </c>
      <c r="AA66" s="61" t="str">
        <f>IF(月途中入退所情報!$N16=$B$2,月途中入退所情報!$S16,"-")</f>
        <v>-</v>
      </c>
      <c r="AB66" s="61" t="str">
        <f>IF(月途中入退所情報!$N16=$B$2,月途中入退所情報!$T16,"-")</f>
        <v>-</v>
      </c>
      <c r="AC66" s="84">
        <f>IF($Z66="標準時間",HLOOKUP($Y66,$F$5:$I$27,23,FALSE)-SUM($F$10,$F$21:$F$24,$F$26)-HLOOKUP($Y66,$F$5:$I$27,16,FALSE)+HLOOKUP($Y66,$F$5:$I$29,25,FALSE),IF($Z66="短時間",HLOOKUP($Y66,$J$5:$M$27,23,FALSE)-SUM($F$10,$F$21:$F$24,$F$26)-HLOOKUP($Y66,$J$5:$M$27,16,FALSE)+HLOOKUP($Y66,$J$5:$M$29,25,FALSE),0))+IF(AA66="○",加算と減算!$AH$3,0)</f>
        <v>0</v>
      </c>
      <c r="AD66" s="85">
        <f t="shared" si="46"/>
        <v>0</v>
      </c>
      <c r="AE66" s="262">
        <f t="shared" si="47"/>
        <v>0</v>
      </c>
    </row>
    <row r="67" spans="3:31" ht="15.75" thickBot="1">
      <c r="C67" s="356"/>
      <c r="D67" s="361"/>
      <c r="E67" s="362"/>
      <c r="F67" s="363"/>
      <c r="G67" s="363"/>
      <c r="H67" s="363"/>
      <c r="I67" s="363"/>
      <c r="J67" s="363"/>
      <c r="K67" s="363"/>
      <c r="L67" s="363"/>
      <c r="M67" s="364"/>
      <c r="O67" s="61" t="str">
        <f>IF(月途中入退所情報!$D17=$B$2,月途中入退所情報!F17,"-")</f>
        <v>-</v>
      </c>
      <c r="P67" s="61" t="str">
        <f>IF(月途中入退所情報!$D17=$B$2,月途中入退所情報!G17,"-")</f>
        <v>-</v>
      </c>
      <c r="Q67" s="61" t="str">
        <f>IF(月途中入退所情報!$D17=$B$2,月途中入退所情報!H17,"-")</f>
        <v>-</v>
      </c>
      <c r="R67" s="61" t="str">
        <f>IF(月途中入退所情報!$D17=$B$2,月途中入退所情報!I17,"-")</f>
        <v>-</v>
      </c>
      <c r="S67" s="61" t="str">
        <f>IF(月途中入退所情報!$D17=$B$2,月途中入退所情報!J17,"-")</f>
        <v>-</v>
      </c>
      <c r="T67" s="84">
        <f>IF($Q67="標準時間",HLOOKUP($P67,$F$5:$I$27,23,FALSE)-SUM($F$10,$F$21:$F$24,$F$26)-HLOOKUP($P67,$F$5:$I$27,16,FALSE)+HLOOKUP($P67,$F$5:$I$29,25,FALSE),IF($Q67="短時間",HLOOKUP($P67,$J$5:$M$27,23,FALSE)-SUM($F$10,$F$21:$F$24,$F$26)-HLOOKUP($P67,$J$5:$M$27,16,FALSE)+HLOOKUP($P67,$J$5:$M$29,25,FALSE),0))+IF(R67="○",加算と減算!$AH$3,0)</f>
        <v>0</v>
      </c>
      <c r="U67" s="85">
        <f t="shared" si="45"/>
        <v>0</v>
      </c>
      <c r="V67" s="262">
        <f t="shared" si="48"/>
        <v>0</v>
      </c>
      <c r="W67" s="262"/>
      <c r="X67" s="61" t="str">
        <f>IF(月途中入退所情報!$N17=$B$2,月途中入退所情報!$P17,"-")</f>
        <v>-</v>
      </c>
      <c r="Y67" s="61" t="str">
        <f>IF(月途中入退所情報!$N17=$B$2,月途中入退所情報!$Q17,"-")</f>
        <v>-</v>
      </c>
      <c r="Z67" s="61" t="str">
        <f>IF(月途中入退所情報!$N17=$B$2,月途中入退所情報!$R17,"-")</f>
        <v>-</v>
      </c>
      <c r="AA67" s="61" t="str">
        <f>IF(月途中入退所情報!$N17=$B$2,月途中入退所情報!$S17,"-")</f>
        <v>-</v>
      </c>
      <c r="AB67" s="61" t="str">
        <f>IF(月途中入退所情報!$N17=$B$2,月途中入退所情報!$T17,"-")</f>
        <v>-</v>
      </c>
      <c r="AC67" s="84">
        <f>IF($Z67="標準時間",HLOOKUP($Y67,$F$5:$I$27,23,FALSE)-SUM($F$10,$F$21:$F$24,$F$26)-HLOOKUP($Y67,$F$5:$I$27,16,FALSE)+HLOOKUP($Y67,$F$5:$I$29,25,FALSE),IF($Z67="短時間",HLOOKUP($Y67,$J$5:$M$27,23,FALSE)-SUM($F$10,$F$21:$F$24,$F$26)-HLOOKUP($Y67,$J$5:$M$27,16,FALSE)+HLOOKUP($Y67,$J$5:$M$29,25,FALSE),0))+IF(AA67="○",加算と減算!$AH$3,0)</f>
        <v>0</v>
      </c>
      <c r="AD67" s="85">
        <f t="shared" si="46"/>
        <v>0</v>
      </c>
      <c r="AE67" s="262">
        <f t="shared" si="47"/>
        <v>0</v>
      </c>
    </row>
    <row r="68" spans="3:31" ht="15.75" thickBot="1">
      <c r="C68" s="638"/>
      <c r="D68" s="1433" t="s">
        <v>484</v>
      </c>
      <c r="E68" s="1434"/>
      <c r="F68" s="321" t="e">
        <f>F62+F66</f>
        <v>#VALUE!</v>
      </c>
      <c r="G68" s="321" t="e">
        <f t="shared" ref="G68:M68" si="53">G62+G66</f>
        <v>#VALUE!</v>
      </c>
      <c r="H68" s="321" t="e">
        <f t="shared" si="53"/>
        <v>#VALUE!</v>
      </c>
      <c r="I68" s="321" t="e">
        <f t="shared" si="53"/>
        <v>#VALUE!</v>
      </c>
      <c r="J68" s="321" t="e">
        <f t="shared" si="53"/>
        <v>#VALUE!</v>
      </c>
      <c r="K68" s="321" t="e">
        <f t="shared" si="53"/>
        <v>#VALUE!</v>
      </c>
      <c r="L68" s="321" t="e">
        <f t="shared" si="53"/>
        <v>#VALUE!</v>
      </c>
      <c r="M68" s="365" t="e">
        <f t="shared" si="53"/>
        <v>#VALUE!</v>
      </c>
      <c r="O68" s="61" t="str">
        <f>IF(月途中入退所情報!$D18=$B$2,月途中入退所情報!F18,"-")</f>
        <v>-</v>
      </c>
      <c r="P68" s="61" t="str">
        <f>IF(月途中入退所情報!$D18=$B$2,月途中入退所情報!G18,"-")</f>
        <v>-</v>
      </c>
      <c r="Q68" s="61" t="str">
        <f>IF(月途中入退所情報!$D18=$B$2,月途中入退所情報!H18,"-")</f>
        <v>-</v>
      </c>
      <c r="R68" s="61" t="str">
        <f>IF(月途中入退所情報!$D18=$B$2,月途中入退所情報!I18,"-")</f>
        <v>-</v>
      </c>
      <c r="S68" s="61" t="str">
        <f>IF(月途中入退所情報!$D18=$B$2,月途中入退所情報!J18,"-")</f>
        <v>-</v>
      </c>
      <c r="T68" s="84">
        <f>IF($Q68="標準時間",HLOOKUP($P68,$F$5:$I$27,23,FALSE)-SUM($F$10,$F$21:$F$24,$F$26)-HLOOKUP($P68,$F$5:$I$27,16,FALSE)+HLOOKUP($P68,$F$5:$I$29,25,FALSE),IF($Q68="短時間",HLOOKUP($P68,$J$5:$M$27,23,FALSE)-SUM($F$10,$F$21:$F$24,$F$26)-HLOOKUP($P68,$J$5:$M$27,16,FALSE)+HLOOKUP($P68,$J$5:$M$29,25,FALSE),0))+IF(R68="○",加算と減算!$AH$3,0)</f>
        <v>0</v>
      </c>
      <c r="U68" s="85">
        <f t="shared" si="45"/>
        <v>0</v>
      </c>
      <c r="V68" s="262">
        <f t="shared" si="48"/>
        <v>0</v>
      </c>
      <c r="W68" s="262"/>
      <c r="X68" s="61" t="str">
        <f>IF(月途中入退所情報!$N18=$B$2,月途中入退所情報!$P18,"-")</f>
        <v>-</v>
      </c>
      <c r="Y68" s="61" t="str">
        <f>IF(月途中入退所情報!$N18=$B$2,月途中入退所情報!$Q18,"-")</f>
        <v>-</v>
      </c>
      <c r="Z68" s="61" t="str">
        <f>IF(月途中入退所情報!$N18=$B$2,月途中入退所情報!$R18,"-")</f>
        <v>-</v>
      </c>
      <c r="AA68" s="61" t="str">
        <f>IF(月途中入退所情報!$N18=$B$2,月途中入退所情報!$S18,"-")</f>
        <v>-</v>
      </c>
      <c r="AB68" s="61" t="str">
        <f>IF(月途中入退所情報!$N18=$B$2,月途中入退所情報!$T18,"-")</f>
        <v>-</v>
      </c>
      <c r="AC68" s="84">
        <f>IF($Z68="標準時間",HLOOKUP($Y68,$F$5:$I$27,23,FALSE)-SUM($F$10,$F$21:$F$24,$F$26)-HLOOKUP($Y68,$F$5:$I$27,16,FALSE)+HLOOKUP($Y68,$F$5:$I$29,25,FALSE),IF($Z68="短時間",HLOOKUP($Y68,$J$5:$M$27,23,FALSE)-SUM($F$10,$F$21:$F$24,$F$26)-HLOOKUP($Y68,$J$5:$M$27,16,FALSE)+HLOOKUP($Y68,$J$5:$M$29,25,FALSE),0))+IF(AA68="○",加算と減算!$AH$3,0)</f>
        <v>0</v>
      </c>
      <c r="AD68" s="85">
        <f t="shared" si="46"/>
        <v>0</v>
      </c>
      <c r="AE68" s="262">
        <f t="shared" si="47"/>
        <v>0</v>
      </c>
    </row>
    <row r="69" spans="3:31" ht="16.5" thickTop="1" thickBot="1">
      <c r="C69" s="639"/>
      <c r="D69" s="1455"/>
      <c r="E69" s="1456"/>
      <c r="F69" s="1457" t="e">
        <f>SUM(F68:M68)</f>
        <v>#VALUE!</v>
      </c>
      <c r="G69" s="1458"/>
      <c r="H69" s="1458"/>
      <c r="I69" s="1458"/>
      <c r="J69" s="1458"/>
      <c r="K69" s="1458"/>
      <c r="L69" s="1458"/>
      <c r="M69" s="1459"/>
      <c r="O69" s="61" t="str">
        <f>IF(月途中入退所情報!$D19=$B$2,月途中入退所情報!F19,"-")</f>
        <v>-</v>
      </c>
      <c r="P69" s="61" t="str">
        <f>IF(月途中入退所情報!$D19=$B$2,月途中入退所情報!G19,"-")</f>
        <v>-</v>
      </c>
      <c r="Q69" s="61" t="str">
        <f>IF(月途中入退所情報!$D19=$B$2,月途中入退所情報!H19,"-")</f>
        <v>-</v>
      </c>
      <c r="R69" s="61" t="str">
        <f>IF(月途中入退所情報!$D19=$B$2,月途中入退所情報!I19,"-")</f>
        <v>-</v>
      </c>
      <c r="S69" s="61" t="str">
        <f>IF(月途中入退所情報!$D19=$B$2,月途中入退所情報!J19,"-")</f>
        <v>-</v>
      </c>
      <c r="T69" s="84">
        <f>IF($Q69="標準時間",HLOOKUP($P69,$F$5:$I$27,23,FALSE)-SUM($F$10,$F$21:$F$24,$F$26)-HLOOKUP($P69,$F$5:$I$27,16,FALSE)+HLOOKUP($P69,$F$5:$I$29,25,FALSE),IF($Q69="短時間",HLOOKUP($P69,$J$5:$M$27,23,FALSE)-SUM($F$10,$F$21:$F$24,$F$26)-HLOOKUP($P69,$J$5:$M$27,16,FALSE)+HLOOKUP($P69,$J$5:$M$29,25,FALSE),0))+IF(R69="○",加算と減算!$AH$3,0)</f>
        <v>0</v>
      </c>
      <c r="U69" s="85">
        <f t="shared" si="45"/>
        <v>0</v>
      </c>
      <c r="V69" s="262">
        <f t="shared" si="48"/>
        <v>0</v>
      </c>
      <c r="W69" s="262"/>
      <c r="X69" s="61" t="str">
        <f>IF(月途中入退所情報!$N19=$B$2,月途中入退所情報!$P19,"-")</f>
        <v>-</v>
      </c>
      <c r="Y69" s="61" t="str">
        <f>IF(月途中入退所情報!$N19=$B$2,月途中入退所情報!$Q19,"-")</f>
        <v>-</v>
      </c>
      <c r="Z69" s="61" t="str">
        <f>IF(月途中入退所情報!$N19=$B$2,月途中入退所情報!$R19,"-")</f>
        <v>-</v>
      </c>
      <c r="AA69" s="61" t="str">
        <f>IF(月途中入退所情報!$N19=$B$2,月途中入退所情報!$S19,"-")</f>
        <v>-</v>
      </c>
      <c r="AB69" s="61" t="str">
        <f>IF(月途中入退所情報!$N19=$B$2,月途中入退所情報!$T19,"-")</f>
        <v>-</v>
      </c>
      <c r="AC69" s="84">
        <f>IF($Z69="標準時間",HLOOKUP($Y69,$F$5:$I$27,23,FALSE)-SUM($F$10,$F$21:$F$24,$F$26)-HLOOKUP($Y69,$F$5:$I$27,16,FALSE)+HLOOKUP($Y69,$F$5:$I$29,25,FALSE),IF($Z69="短時間",HLOOKUP($Y69,$J$5:$M$27,23,FALSE)-SUM($F$10,$F$21:$F$24,$F$26)-HLOOKUP($Y69,$J$5:$M$27,16,FALSE)+HLOOKUP($Y69,$J$5:$M$29,25,FALSE),0))+IF(AA69="○",加算と減算!$AH$3,0)</f>
        <v>0</v>
      </c>
      <c r="AD69" s="85">
        <f t="shared" si="46"/>
        <v>0</v>
      </c>
      <c r="AE69" s="262">
        <f t="shared" si="47"/>
        <v>0</v>
      </c>
    </row>
    <row r="70" spans="3:31" ht="15.75" thickTop="1">
      <c r="O70" s="61" t="str">
        <f>IF(月途中入退所情報!$D20=$B$2,月途中入退所情報!F20,"-")</f>
        <v>-</v>
      </c>
      <c r="P70" s="61" t="str">
        <f>IF(月途中入退所情報!$D20=$B$2,月途中入退所情報!G20,"-")</f>
        <v>-</v>
      </c>
      <c r="Q70" s="61" t="str">
        <f>IF(月途中入退所情報!$D20=$B$2,月途中入退所情報!H20,"-")</f>
        <v>-</v>
      </c>
      <c r="R70" s="61" t="str">
        <f>IF(月途中入退所情報!$D20=$B$2,月途中入退所情報!I20,"-")</f>
        <v>-</v>
      </c>
      <c r="S70" s="61" t="str">
        <f>IF(月途中入退所情報!$D20=$B$2,月途中入退所情報!J20,"-")</f>
        <v>-</v>
      </c>
      <c r="T70" s="84">
        <f>IF($Q70="標準時間",HLOOKUP($P70,$F$5:$I$27,23,FALSE)-SUM($F$10,$F$21:$F$24,$F$26)-HLOOKUP($P70,$F$5:$I$27,16,FALSE)+HLOOKUP($P70,$F$5:$I$29,25,FALSE),IF($Q70="短時間",HLOOKUP($P70,$J$5:$M$27,23,FALSE)-SUM($F$10,$F$21:$F$24,$F$26)-HLOOKUP($P70,$J$5:$M$27,16,FALSE)+HLOOKUP($P70,$J$5:$M$29,25,FALSE),0))+IF(R70="○",加算と減算!$AH$3,0)</f>
        <v>0</v>
      </c>
      <c r="U70" s="85">
        <f t="shared" si="45"/>
        <v>0</v>
      </c>
      <c r="V70" s="262">
        <f t="shared" si="48"/>
        <v>0</v>
      </c>
      <c r="W70" s="262"/>
      <c r="X70" s="61" t="str">
        <f>IF(月途中入退所情報!$N20=$B$2,月途中入退所情報!$P20,"-")</f>
        <v>-</v>
      </c>
      <c r="Y70" s="61" t="str">
        <f>IF(月途中入退所情報!$N20=$B$2,月途中入退所情報!$Q20,"-")</f>
        <v>-</v>
      </c>
      <c r="Z70" s="61" t="str">
        <f>IF(月途中入退所情報!$N20=$B$2,月途中入退所情報!$R20,"-")</f>
        <v>-</v>
      </c>
      <c r="AA70" s="61" t="str">
        <f>IF(月途中入退所情報!$N20=$B$2,月途中入退所情報!$S20,"-")</f>
        <v>-</v>
      </c>
      <c r="AB70" s="61" t="str">
        <f>IF(月途中入退所情報!$N20=$B$2,月途中入退所情報!$T20,"-")</f>
        <v>-</v>
      </c>
      <c r="AC70" s="84">
        <f>IF($Z70="標準時間",HLOOKUP($Y70,$F$5:$I$27,23,FALSE)-SUM($F$10,$F$21:$F$24,$F$26)-HLOOKUP($Y70,$F$5:$I$27,16,FALSE)+HLOOKUP($Y70,$F$5:$I$29,25,FALSE),IF($Z70="短時間",HLOOKUP($Y70,$J$5:$M$27,23,FALSE)-SUM($F$10,$F$21:$F$24,$F$26)-HLOOKUP($Y70,$J$5:$M$27,16,FALSE)+HLOOKUP($Y70,$J$5:$M$29,25,FALSE),0))+IF(AA70="○",加算と減算!$AH$3,0)</f>
        <v>0</v>
      </c>
      <c r="AD70" s="85">
        <f t="shared" si="46"/>
        <v>0</v>
      </c>
      <c r="AE70" s="262">
        <f t="shared" si="47"/>
        <v>0</v>
      </c>
    </row>
    <row r="71" spans="3:31">
      <c r="O71" s="61" t="str">
        <f>IF(月途中入退所情報!$D21=$B$2,月途中入退所情報!F21,"-")</f>
        <v>-</v>
      </c>
      <c r="P71" s="61" t="str">
        <f>IF(月途中入退所情報!$D21=$B$2,月途中入退所情報!G21,"-")</f>
        <v>-</v>
      </c>
      <c r="Q71" s="61" t="str">
        <f>IF(月途中入退所情報!$D21=$B$2,月途中入退所情報!H21,"-")</f>
        <v>-</v>
      </c>
      <c r="R71" s="61" t="str">
        <f>IF(月途中入退所情報!$D21=$B$2,月途中入退所情報!I21,"-")</f>
        <v>-</v>
      </c>
      <c r="S71" s="61" t="str">
        <f>IF(月途中入退所情報!$D21=$B$2,月途中入退所情報!J21,"-")</f>
        <v>-</v>
      </c>
      <c r="T71" s="84">
        <f>IF($Q71="標準時間",HLOOKUP($P71,$F$5:$I$27,23,FALSE)-SUM($F$10,$F$21:$F$24,$F$26)-HLOOKUP($P71,$F$5:$I$27,16,FALSE)+HLOOKUP($P71,$F$5:$I$29,25,FALSE),IF($Q71="短時間",HLOOKUP($P71,$J$5:$M$27,23,FALSE)-SUM($F$10,$F$21:$F$24,$F$26)-HLOOKUP($P71,$J$5:$M$27,16,FALSE)+HLOOKUP($P71,$J$5:$M$29,25,FALSE),0))+IF(R71="○",加算と減算!$AH$3,0)</f>
        <v>0</v>
      </c>
      <c r="U71" s="85">
        <f t="shared" si="45"/>
        <v>0</v>
      </c>
      <c r="V71" s="262">
        <f t="shared" si="48"/>
        <v>0</v>
      </c>
      <c r="W71" s="262"/>
      <c r="X71" s="61" t="str">
        <f>IF(月途中入退所情報!$N21=$B$2,月途中入退所情報!$P21,"-")</f>
        <v>-</v>
      </c>
      <c r="Y71" s="61" t="str">
        <f>IF(月途中入退所情報!$N21=$B$2,月途中入退所情報!$Q21,"-")</f>
        <v>-</v>
      </c>
      <c r="Z71" s="61" t="str">
        <f>IF(月途中入退所情報!$N21=$B$2,月途中入退所情報!$R21,"-")</f>
        <v>-</v>
      </c>
      <c r="AA71" s="61" t="str">
        <f>IF(月途中入退所情報!$N21=$B$2,月途中入退所情報!$S21,"-")</f>
        <v>-</v>
      </c>
      <c r="AB71" s="61" t="str">
        <f>IF(月途中入退所情報!$N21=$B$2,月途中入退所情報!$T21,"-")</f>
        <v>-</v>
      </c>
      <c r="AC71" s="84">
        <f>IF($Z71="標準時間",HLOOKUP($Y71,$F$5:$I$27,23,FALSE)-SUM($F$10,$F$21:$F$24,$F$26)-HLOOKUP($Y71,$F$5:$I$27,16,FALSE)+HLOOKUP($Y71,$F$5:$I$29,25,FALSE),IF($Z71="短時間",HLOOKUP($Y71,$J$5:$M$27,23,FALSE)-SUM($F$10,$F$21:$F$24,$F$26)-HLOOKUP($Y71,$J$5:$M$27,16,FALSE)+HLOOKUP($Y71,$J$5:$M$29,25,FALSE),0))+IF(AA71="○",加算と減算!$AH$3,0)</f>
        <v>0</v>
      </c>
      <c r="AD71" s="85">
        <f t="shared" si="46"/>
        <v>0</v>
      </c>
      <c r="AE71" s="262">
        <f t="shared" si="47"/>
        <v>0</v>
      </c>
    </row>
    <row r="72" spans="3:31">
      <c r="O72" s="61" t="str">
        <f>IF(月途中入退所情報!$D22=$B$2,月途中入退所情報!F22,"-")</f>
        <v>-</v>
      </c>
      <c r="P72" s="61" t="str">
        <f>IF(月途中入退所情報!$D22=$B$2,月途中入退所情報!G22,"-")</f>
        <v>-</v>
      </c>
      <c r="Q72" s="61" t="str">
        <f>IF(月途中入退所情報!$D22=$B$2,月途中入退所情報!H22,"-")</f>
        <v>-</v>
      </c>
      <c r="R72" s="61" t="str">
        <f>IF(月途中入退所情報!$D22=$B$2,月途中入退所情報!I22,"-")</f>
        <v>-</v>
      </c>
      <c r="S72" s="61" t="str">
        <f>IF(月途中入退所情報!$D22=$B$2,月途中入退所情報!J22,"-")</f>
        <v>-</v>
      </c>
      <c r="T72" s="84">
        <f>IF($Q72="標準時間",HLOOKUP($P72,$F$5:$I$27,23,FALSE)-SUM($F$10,$F$21:$F$24,$F$26)-HLOOKUP($P72,$F$5:$I$27,16,FALSE)+HLOOKUP($P72,$F$5:$I$29,25,FALSE),IF($Q72="短時間",HLOOKUP($P72,$J$5:$M$27,23,FALSE)-SUM($F$10,$F$21:$F$24,$F$26)-HLOOKUP($P72,$J$5:$M$27,16,FALSE)+HLOOKUP($P72,$J$5:$M$29,25,FALSE),0))+IF(R72="○",加算と減算!$AH$3,0)</f>
        <v>0</v>
      </c>
      <c r="U72" s="85">
        <f t="shared" si="45"/>
        <v>0</v>
      </c>
      <c r="V72" s="262">
        <f t="shared" si="48"/>
        <v>0</v>
      </c>
      <c r="W72" s="262"/>
      <c r="X72" s="61" t="str">
        <f>IF(月途中入退所情報!$N22=$B$2,月途中入退所情報!$P22,"-")</f>
        <v>-</v>
      </c>
      <c r="Y72" s="61" t="str">
        <f>IF(月途中入退所情報!$N22=$B$2,月途中入退所情報!$Q22,"-")</f>
        <v>-</v>
      </c>
      <c r="Z72" s="61" t="str">
        <f>IF(月途中入退所情報!$N22=$B$2,月途中入退所情報!$R22,"-")</f>
        <v>-</v>
      </c>
      <c r="AA72" s="61" t="str">
        <f>IF(月途中入退所情報!$N22=$B$2,月途中入退所情報!$S22,"-")</f>
        <v>-</v>
      </c>
      <c r="AB72" s="61" t="str">
        <f>IF(月途中入退所情報!$N22=$B$2,月途中入退所情報!$T22,"-")</f>
        <v>-</v>
      </c>
      <c r="AC72" s="84">
        <f>IF($Z72="標準時間",HLOOKUP($Y72,$F$5:$I$27,23,FALSE)-SUM($F$10,$F$21:$F$24,$F$26)-HLOOKUP($Y72,$F$5:$I$27,16,FALSE)+HLOOKUP($Y72,$F$5:$I$29,25,FALSE),IF($Z72="短時間",HLOOKUP($Y72,$J$5:$M$27,23,FALSE)-SUM($F$10,$F$21:$F$24,$F$26)-HLOOKUP($Y72,$J$5:$M$27,16,FALSE)+HLOOKUP($Y72,$J$5:$M$29,25,FALSE),0))+IF(AA72="○",加算と減算!$AH$3,0)</f>
        <v>0</v>
      </c>
      <c r="AD72" s="85">
        <f t="shared" si="46"/>
        <v>0</v>
      </c>
      <c r="AE72" s="262">
        <f t="shared" si="47"/>
        <v>0</v>
      </c>
    </row>
    <row r="73" spans="3:31">
      <c r="O73" s="61" t="str">
        <f>IF(月途中入退所情報!$D23=$B$2,月途中入退所情報!F23,"-")</f>
        <v>-</v>
      </c>
      <c r="P73" s="61" t="str">
        <f>IF(月途中入退所情報!$D23=$B$2,月途中入退所情報!G23,"-")</f>
        <v>-</v>
      </c>
      <c r="Q73" s="61" t="str">
        <f>IF(月途中入退所情報!$D23=$B$2,月途中入退所情報!H23,"-")</f>
        <v>-</v>
      </c>
      <c r="R73" s="61" t="str">
        <f>IF(月途中入退所情報!$D23=$B$2,月途中入退所情報!I23,"-")</f>
        <v>-</v>
      </c>
      <c r="S73" s="61" t="str">
        <f>IF(月途中入退所情報!$D23=$B$2,月途中入退所情報!J23,"-")</f>
        <v>-</v>
      </c>
      <c r="T73" s="84">
        <f>IF($Q73="標準時間",HLOOKUP($P73,$F$5:$I$27,23,FALSE)-SUM($F$10,$F$21:$F$24,$F$26)-HLOOKUP($P73,$F$5:$I$27,16,FALSE)+HLOOKUP($P73,$F$5:$I$29,25,FALSE),IF($Q73="短時間",HLOOKUP($P73,$J$5:$M$27,23,FALSE)-SUM($F$10,$F$21:$F$24,$F$26)-HLOOKUP($P73,$J$5:$M$27,16,FALSE)+HLOOKUP($P73,$J$5:$M$29,25,FALSE),0))+IF(R73="○",加算と減算!$AH$3,0)</f>
        <v>0</v>
      </c>
      <c r="U73" s="85">
        <f t="shared" si="45"/>
        <v>0</v>
      </c>
      <c r="V73" s="262">
        <f t="shared" si="48"/>
        <v>0</v>
      </c>
      <c r="W73" s="262"/>
      <c r="X73" s="61" t="str">
        <f>IF(月途中入退所情報!$N23=$B$2,月途中入退所情報!$P23,"-")</f>
        <v>-</v>
      </c>
      <c r="Y73" s="61" t="str">
        <f>IF(月途中入退所情報!$N23=$B$2,月途中入退所情報!$Q23,"-")</f>
        <v>-</v>
      </c>
      <c r="Z73" s="61" t="str">
        <f>IF(月途中入退所情報!$N23=$B$2,月途中入退所情報!$R23,"-")</f>
        <v>-</v>
      </c>
      <c r="AA73" s="61" t="str">
        <f>IF(月途中入退所情報!$N23=$B$2,月途中入退所情報!$S23,"-")</f>
        <v>-</v>
      </c>
      <c r="AB73" s="61" t="str">
        <f>IF(月途中入退所情報!$N23=$B$2,月途中入退所情報!$T23,"-")</f>
        <v>-</v>
      </c>
      <c r="AC73" s="84">
        <f>IF($Z73="標準時間",HLOOKUP($Y73,$F$5:$I$27,23,FALSE)-SUM($F$10,$F$21:$F$24,$F$26)-HLOOKUP($Y73,$F$5:$I$27,16,FALSE)+HLOOKUP($Y73,$F$5:$I$29,25,FALSE),IF($Z73="短時間",HLOOKUP($Y73,$J$5:$M$27,23,FALSE)-SUM($F$10,$F$21:$F$24,$F$26)-HLOOKUP($Y73,$J$5:$M$27,16,FALSE)+HLOOKUP($Y73,$J$5:$M$29,25,FALSE),0))+IF(AA73="○",加算と減算!$AH$3,0)</f>
        <v>0</v>
      </c>
      <c r="AD73" s="85">
        <f t="shared" si="46"/>
        <v>0</v>
      </c>
      <c r="AE73" s="262">
        <f t="shared" si="47"/>
        <v>0</v>
      </c>
    </row>
    <row r="74" spans="3:31">
      <c r="O74" s="61" t="str">
        <f>IF(月途中入退所情報!$D24=$B$2,月途中入退所情報!F24,"-")</f>
        <v>-</v>
      </c>
      <c r="P74" s="61" t="str">
        <f>IF(月途中入退所情報!$D24=$B$2,月途中入退所情報!G24,"-")</f>
        <v>-</v>
      </c>
      <c r="Q74" s="61" t="str">
        <f>IF(月途中入退所情報!$D24=$B$2,月途中入退所情報!H24,"-")</f>
        <v>-</v>
      </c>
      <c r="R74" s="61" t="str">
        <f>IF(月途中入退所情報!$D24=$B$2,月途中入退所情報!I24,"-")</f>
        <v>-</v>
      </c>
      <c r="S74" s="61" t="str">
        <f>IF(月途中入退所情報!$D24=$B$2,月途中入退所情報!J24,"-")</f>
        <v>-</v>
      </c>
      <c r="T74" s="84">
        <f>IF($Q74="標準時間",HLOOKUP($P74,$F$5:$I$27,23,FALSE)-SUM($F$10,$F$21:$F$24,$F$26)-HLOOKUP($P74,$F$5:$I$27,16,FALSE)+HLOOKUP($P74,$F$5:$I$29,25,FALSE),IF($Q74="短時間",HLOOKUP($P74,$J$5:$M$27,23,FALSE)-SUM($F$10,$F$21:$F$24,$F$26)-HLOOKUP($P74,$J$5:$M$27,16,FALSE)+HLOOKUP($P74,$J$5:$M$29,25,FALSE),0))+IF(R74="○",加算と減算!$AH$3,0)</f>
        <v>0</v>
      </c>
      <c r="U74" s="85">
        <f t="shared" si="45"/>
        <v>0</v>
      </c>
      <c r="V74" s="262">
        <f t="shared" si="48"/>
        <v>0</v>
      </c>
      <c r="W74" s="262"/>
      <c r="X74" s="61" t="str">
        <f>IF(月途中入退所情報!$N24=$B$2,月途中入退所情報!$P24,"-")</f>
        <v>-</v>
      </c>
      <c r="Y74" s="61" t="str">
        <f>IF(月途中入退所情報!$N24=$B$2,月途中入退所情報!$Q24,"-")</f>
        <v>-</v>
      </c>
      <c r="Z74" s="61" t="str">
        <f>IF(月途中入退所情報!$N24=$B$2,月途中入退所情報!$R24,"-")</f>
        <v>-</v>
      </c>
      <c r="AA74" s="61" t="str">
        <f>IF(月途中入退所情報!$N24=$B$2,月途中入退所情報!$S24,"-")</f>
        <v>-</v>
      </c>
      <c r="AB74" s="61" t="str">
        <f>IF(月途中入退所情報!$N24=$B$2,月途中入退所情報!$T24,"-")</f>
        <v>-</v>
      </c>
      <c r="AC74" s="84">
        <f>IF($Z74="標準時間",HLOOKUP($Y74,$F$5:$I$27,23,FALSE)-SUM($F$10,$F$21:$F$24,$F$26)-HLOOKUP($Y74,$F$5:$I$27,16,FALSE)+HLOOKUP($Y74,$F$5:$I$29,25,FALSE),IF($Z74="短時間",HLOOKUP($Y74,$J$5:$M$27,23,FALSE)-SUM($F$10,$F$21:$F$24,$F$26)-HLOOKUP($Y74,$J$5:$M$27,16,FALSE)+HLOOKUP($Y74,$J$5:$M$29,25,FALSE),0))+IF(AA74="○",加算と減算!$AH$3,0)</f>
        <v>0</v>
      </c>
      <c r="AD74" s="85">
        <f t="shared" si="46"/>
        <v>0</v>
      </c>
      <c r="AE74" s="262">
        <f t="shared" si="47"/>
        <v>0</v>
      </c>
    </row>
    <row r="75" spans="3:31">
      <c r="O75" s="61" t="str">
        <f>IF(月途中入退所情報!$D25=$B$2,月途中入退所情報!F25,"-")</f>
        <v>-</v>
      </c>
      <c r="P75" s="61" t="str">
        <f>IF(月途中入退所情報!$D25=$B$2,月途中入退所情報!G25,"-")</f>
        <v>-</v>
      </c>
      <c r="Q75" s="61" t="str">
        <f>IF(月途中入退所情報!$D25=$B$2,月途中入退所情報!H25,"-")</f>
        <v>-</v>
      </c>
      <c r="R75" s="61" t="str">
        <f>IF(月途中入退所情報!$D25=$B$2,月途中入退所情報!I25,"-")</f>
        <v>-</v>
      </c>
      <c r="S75" s="61" t="str">
        <f>IF(月途中入退所情報!$D25=$B$2,月途中入退所情報!J25,"-")</f>
        <v>-</v>
      </c>
      <c r="T75" s="84">
        <f>IF($Q75="標準時間",HLOOKUP($P75,$F$5:$I$27,23,FALSE)-SUM($F$10,$F$21:$F$24,$F$26)-HLOOKUP($P75,$F$5:$I$27,16,FALSE)+HLOOKUP($P75,$F$5:$I$29,25,FALSE),IF($Q75="短時間",HLOOKUP($P75,$J$5:$M$27,23,FALSE)-SUM($F$10,$F$21:$F$24,$F$26)-HLOOKUP($P75,$J$5:$M$27,16,FALSE)+HLOOKUP($P75,$J$5:$M$29,25,FALSE),0))+IF(R75="○",加算と減算!$AH$3,0)</f>
        <v>0</v>
      </c>
      <c r="U75" s="85">
        <f t="shared" si="45"/>
        <v>0</v>
      </c>
      <c r="V75" s="262">
        <f t="shared" si="48"/>
        <v>0</v>
      </c>
      <c r="W75" s="262"/>
      <c r="X75" s="61" t="str">
        <f>IF(月途中入退所情報!$N25=$B$2,月途中入退所情報!$P25,"-")</f>
        <v>-</v>
      </c>
      <c r="Y75" s="61" t="str">
        <f>IF(月途中入退所情報!$N25=$B$2,月途中入退所情報!$Q25,"-")</f>
        <v>-</v>
      </c>
      <c r="Z75" s="61" t="str">
        <f>IF(月途中入退所情報!$N25=$B$2,月途中入退所情報!$R25,"-")</f>
        <v>-</v>
      </c>
      <c r="AA75" s="61" t="str">
        <f>IF(月途中入退所情報!$N25=$B$2,月途中入退所情報!$S25,"-")</f>
        <v>-</v>
      </c>
      <c r="AB75" s="61" t="str">
        <f>IF(月途中入退所情報!$N25=$B$2,月途中入退所情報!$T25,"-")</f>
        <v>-</v>
      </c>
      <c r="AC75" s="84">
        <f>IF($Z75="標準時間",HLOOKUP($Y75,$F$5:$I$27,23,FALSE)-SUM($F$10,$F$21:$F$24,$F$26)-HLOOKUP($Y75,$F$5:$I$27,16,FALSE)+HLOOKUP($Y75,$F$5:$I$29,25,FALSE),IF($Z75="短時間",HLOOKUP($Y75,$J$5:$M$27,23,FALSE)-SUM($F$10,$F$21:$F$24,$F$26)-HLOOKUP($Y75,$J$5:$M$27,16,FALSE)+HLOOKUP($Y75,$J$5:$M$29,25,FALSE),0))+IF(AA75="○",加算と減算!$AH$3,0)</f>
        <v>0</v>
      </c>
      <c r="AD75" s="85">
        <f t="shared" si="46"/>
        <v>0</v>
      </c>
      <c r="AE75" s="262">
        <f t="shared" si="47"/>
        <v>0</v>
      </c>
    </row>
    <row r="76" spans="3:31">
      <c r="O76" s="61" t="str">
        <f>IF(月途中入退所情報!$D26=$B$2,月途中入退所情報!F26,"-")</f>
        <v>-</v>
      </c>
      <c r="P76" s="61" t="str">
        <f>IF(月途中入退所情報!$D26=$B$2,月途中入退所情報!G26,"-")</f>
        <v>-</v>
      </c>
      <c r="Q76" s="61" t="str">
        <f>IF(月途中入退所情報!$D26=$B$2,月途中入退所情報!H26,"-")</f>
        <v>-</v>
      </c>
      <c r="R76" s="61" t="str">
        <f>IF(月途中入退所情報!$D26=$B$2,月途中入退所情報!I26,"-")</f>
        <v>-</v>
      </c>
      <c r="S76" s="61" t="str">
        <f>IF(月途中入退所情報!$D26=$B$2,月途中入退所情報!J26,"-")</f>
        <v>-</v>
      </c>
      <c r="T76" s="84">
        <f>IF($Q76="標準時間",HLOOKUP($P76,$F$5:$I$27,23,FALSE)-SUM($F$10,$F$21:$F$24,$F$26)-HLOOKUP($P76,$F$5:$I$27,16,FALSE)+HLOOKUP($P76,$F$5:$I$29,25,FALSE),IF($Q76="短時間",HLOOKUP($P76,$J$5:$M$27,23,FALSE)-SUM($F$10,$F$21:$F$24,$F$26)-HLOOKUP($P76,$J$5:$M$27,16,FALSE)+HLOOKUP($P76,$J$5:$M$29,25,FALSE),0))+IF(R76="○",加算と減算!$AH$3,0)</f>
        <v>0</v>
      </c>
      <c r="U76" s="85">
        <f t="shared" si="45"/>
        <v>0</v>
      </c>
      <c r="V76" s="262">
        <f t="shared" si="48"/>
        <v>0</v>
      </c>
      <c r="W76" s="262"/>
      <c r="X76" s="61" t="str">
        <f>IF(月途中入退所情報!$N26=$B$2,月途中入退所情報!$P26,"-")</f>
        <v>-</v>
      </c>
      <c r="Y76" s="61" t="str">
        <f>IF(月途中入退所情報!$N26=$B$2,月途中入退所情報!$Q26,"-")</f>
        <v>-</v>
      </c>
      <c r="Z76" s="61" t="str">
        <f>IF(月途中入退所情報!$N26=$B$2,月途中入退所情報!$R26,"-")</f>
        <v>-</v>
      </c>
      <c r="AA76" s="61" t="str">
        <f>IF(月途中入退所情報!$N26=$B$2,月途中入退所情報!$S26,"-")</f>
        <v>-</v>
      </c>
      <c r="AB76" s="61" t="str">
        <f>IF(月途中入退所情報!$N26=$B$2,月途中入退所情報!$T26,"-")</f>
        <v>-</v>
      </c>
      <c r="AC76" s="84">
        <f>IF($Z76="標準時間",HLOOKUP($Y76,$F$5:$I$27,23,FALSE)-SUM($F$10,$F$21:$F$24,$F$26)-HLOOKUP($Y76,$F$5:$I$27,16,FALSE)+HLOOKUP($Y76,$F$5:$I$29,25,FALSE),IF($Z76="短時間",HLOOKUP($Y76,$J$5:$M$27,23,FALSE)-SUM($F$10,$F$21:$F$24,$F$26)-HLOOKUP($Y76,$J$5:$M$27,16,FALSE)+HLOOKUP($Y76,$J$5:$M$29,25,FALSE),0))+IF(AA76="○",加算と減算!$AH$3,0)</f>
        <v>0</v>
      </c>
      <c r="AD76" s="85">
        <f t="shared" si="46"/>
        <v>0</v>
      </c>
      <c r="AE76" s="262">
        <f t="shared" si="47"/>
        <v>0</v>
      </c>
    </row>
    <row r="77" spans="3:31">
      <c r="O77" s="61" t="str">
        <f>IF(月途中入退所情報!$D27=$B$2,月途中入退所情報!F27,"-")</f>
        <v>-</v>
      </c>
      <c r="P77" s="61" t="str">
        <f>IF(月途中入退所情報!$D27=$B$2,月途中入退所情報!G27,"-")</f>
        <v>-</v>
      </c>
      <c r="Q77" s="61" t="str">
        <f>IF(月途中入退所情報!$D27=$B$2,月途中入退所情報!H27,"-")</f>
        <v>-</v>
      </c>
      <c r="R77" s="61" t="str">
        <f>IF(月途中入退所情報!$D27=$B$2,月途中入退所情報!I27,"-")</f>
        <v>-</v>
      </c>
      <c r="S77" s="61" t="str">
        <f>IF(月途中入退所情報!$D27=$B$2,月途中入退所情報!J27,"-")</f>
        <v>-</v>
      </c>
      <c r="T77" s="84">
        <f>IF($Q77="標準時間",HLOOKUP($P77,$F$5:$I$27,23,FALSE)-SUM($F$10,$F$21:$F$24,$F$26)-HLOOKUP($P77,$F$5:$I$27,16,FALSE)+HLOOKUP($P77,$F$5:$I$29,25,FALSE),IF($Q77="短時間",HLOOKUP($P77,$J$5:$M$27,23,FALSE)-SUM($F$10,$F$21:$F$24,$F$26)-HLOOKUP($P77,$J$5:$M$27,16,FALSE)+HLOOKUP($P77,$J$5:$M$29,25,FALSE),0))+IF(R77="○",加算と減算!$AH$3,0)</f>
        <v>0</v>
      </c>
      <c r="U77" s="85">
        <f t="shared" si="45"/>
        <v>0</v>
      </c>
      <c r="V77" s="262">
        <f t="shared" si="48"/>
        <v>0</v>
      </c>
      <c r="W77" s="262"/>
      <c r="X77" s="61" t="str">
        <f>IF(月途中入退所情報!$N27=$B$2,月途中入退所情報!$P27,"-")</f>
        <v>-</v>
      </c>
      <c r="Y77" s="61" t="str">
        <f>IF(月途中入退所情報!$N27=$B$2,月途中入退所情報!$Q27,"-")</f>
        <v>-</v>
      </c>
      <c r="Z77" s="61" t="str">
        <f>IF(月途中入退所情報!$N27=$B$2,月途中入退所情報!$R27,"-")</f>
        <v>-</v>
      </c>
      <c r="AA77" s="61" t="str">
        <f>IF(月途中入退所情報!$N27=$B$2,月途中入退所情報!$S27,"-")</f>
        <v>-</v>
      </c>
      <c r="AB77" s="61" t="str">
        <f>IF(月途中入退所情報!$N27=$B$2,月途中入退所情報!$T27,"-")</f>
        <v>-</v>
      </c>
      <c r="AC77" s="84">
        <f>IF($Z77="標準時間",HLOOKUP($Y77,$F$5:$I$27,23,FALSE)-SUM($F$10,$F$21:$F$24,$F$26)-HLOOKUP($Y77,$F$5:$I$27,16,FALSE)+HLOOKUP($Y77,$F$5:$I$29,25,FALSE),IF($Z77="短時間",HLOOKUP($Y77,$J$5:$M$27,23,FALSE)-SUM($F$10,$F$21:$F$24,$F$26)-HLOOKUP($Y77,$J$5:$M$27,16,FALSE)+HLOOKUP($Y77,$J$5:$M$29,25,FALSE),0))+IF(AA77="○",加算と減算!$AH$3,0)</f>
        <v>0</v>
      </c>
      <c r="AD77" s="85">
        <f t="shared" si="46"/>
        <v>0</v>
      </c>
      <c r="AE77" s="262">
        <f t="shared" si="47"/>
        <v>0</v>
      </c>
    </row>
    <row r="78" spans="3:31">
      <c r="T78" s="86" t="s">
        <v>36</v>
      </c>
      <c r="U78" s="85">
        <f>SUM(U58:U77)</f>
        <v>0</v>
      </c>
      <c r="V78" s="262">
        <f>SUM(V58:V77)</f>
        <v>0</v>
      </c>
      <c r="W78" s="262"/>
      <c r="AC78" s="86" t="s">
        <v>36</v>
      </c>
      <c r="AD78" s="85">
        <f>SUM(AD58:AD77)</f>
        <v>0</v>
      </c>
      <c r="AE78" s="264">
        <f>SUM(AE58:AE77)</f>
        <v>0</v>
      </c>
    </row>
    <row r="79" spans="3:31">
      <c r="O79" s="1430" t="s">
        <v>430</v>
      </c>
      <c r="P79" s="1430"/>
      <c r="X79" s="385" t="s">
        <v>431</v>
      </c>
      <c r="Y79" s="385"/>
    </row>
    <row r="80" spans="3:31">
      <c r="O80" s="83" t="s">
        <v>429</v>
      </c>
      <c r="P80" s="83" t="s">
        <v>206</v>
      </c>
      <c r="Q80" s="83" t="s">
        <v>207</v>
      </c>
      <c r="R80" s="83" t="s">
        <v>448</v>
      </c>
      <c r="S80" s="83" t="s">
        <v>214</v>
      </c>
      <c r="T80" s="83" t="s">
        <v>215</v>
      </c>
      <c r="U80" s="83" t="s">
        <v>216</v>
      </c>
      <c r="V80" s="282" t="s">
        <v>455</v>
      </c>
      <c r="W80" s="261"/>
      <c r="X80" s="83" t="s">
        <v>429</v>
      </c>
      <c r="Y80" s="83" t="s">
        <v>206</v>
      </c>
      <c r="Z80" s="83" t="s">
        <v>207</v>
      </c>
      <c r="AA80" s="83" t="s">
        <v>448</v>
      </c>
      <c r="AB80" s="83" t="s">
        <v>218</v>
      </c>
      <c r="AC80" s="83" t="s">
        <v>215</v>
      </c>
      <c r="AD80" s="280" t="s">
        <v>453</v>
      </c>
      <c r="AE80" s="282" t="s">
        <v>455</v>
      </c>
    </row>
    <row r="81" spans="15:31">
      <c r="O81" s="61" t="str">
        <f>IF(月途中入退所情報!$D31=$B$2,月途中入退所情報!F31,"-")</f>
        <v>-</v>
      </c>
      <c r="P81" s="61" t="str">
        <f>IF(月途中入退所情報!$D31=$B$2,月途中入退所情報!G31,"-")</f>
        <v>-</v>
      </c>
      <c r="Q81" s="61" t="str">
        <f>IF(月途中入退所情報!$D31=$B$2,月途中入退所情報!H31,"-")</f>
        <v>-</v>
      </c>
      <c r="R81" s="61" t="str">
        <f>IF(月途中入退所情報!$D31=$B$2,月途中入退所情報!I31,"-")</f>
        <v>-</v>
      </c>
      <c r="S81" s="61" t="str">
        <f>IF(月途中入退所情報!$D31=$B$2,月途中入退所情報!J31,"-")</f>
        <v>-</v>
      </c>
      <c r="T81" s="84">
        <f>IF($Q81="標準時間",HLOOKUP($P81,$F$31:$I$54,24,FALSE)-SUM($F$10,$F$21:$F$24,$F$26)-HLOOKUP($P81,$F$31:$I$54,17,FALSE)+HLOOKUP($P81,$F$31:$I$56,26,FALSE),IF($Q81="短時間",HLOOKUP($P81,$J$31:$M$54,24,FALSE)-SUM($F$10,$F$21:$F$24,$F$26)-HLOOKUP($P81,$J$31:$M$54,17,FALSE)+HLOOKUP($P81,$J$31:$M$56,26,FALSE),0))+IF(R81="○",加算と減算!$AH$3,0)</f>
        <v>0</v>
      </c>
      <c r="U81" s="85">
        <f t="shared" ref="U81:U100" si="54">IFERROR(ROUNDDOWN(T81*S81/25,-1),0)</f>
        <v>0</v>
      </c>
      <c r="V81" s="262">
        <f>IFERROR(ROUNDDOWN(IF($Q81="標準時間",HLOOKUP($P81,$F$31:$I$55,25,FALSE),IF($Q81="短時間",HLOOKUP($P81,$J$31:$M$55,25,FALSE),0))*S81/25,-1),0)</f>
        <v>0</v>
      </c>
      <c r="W81" s="262"/>
      <c r="X81" s="61" t="str">
        <f>IF(月途中入退所情報!$N31=$B$2,月途中入退所情報!$P31,"-")</f>
        <v>-</v>
      </c>
      <c r="Y81" s="61" t="str">
        <f>IF(月途中入退所情報!$N31=$B$2,月途中入退所情報!$Q31,"-")</f>
        <v>-</v>
      </c>
      <c r="Z81" s="61" t="str">
        <f>IF(月途中入退所情報!$N31=$B$2,月途中入退所情報!$R31,"-")</f>
        <v>-</v>
      </c>
      <c r="AA81" s="61" t="str">
        <f>IF(月途中入退所情報!$N31=$B$2,月途中入退所情報!$S31,"-")</f>
        <v>-</v>
      </c>
      <c r="AB81" s="61" t="str">
        <f>IF(月途中入退所情報!$N31=$B$2,月途中入退所情報!$T31,"-")</f>
        <v>-</v>
      </c>
      <c r="AC81" s="84">
        <f>IF($Z81="標準時間",HLOOKUP($Y81,$F$31:$I$54,24,FALSE)-SUM($F$10,$F$21:$F$24,$F$26)-HLOOKUP($Y81,$F$31:$I$54,17,FALSE)+HLOOKUP($Y81,$F$31:$I$56,26,FALSE),IF($Z81="短時間",HLOOKUP($Y81,$J$31:$M$54,24,FALSE)-SUM($F$10,$F$21:$F$24,$F$26)-HLOOKUP($Y81,$J$31:$M$54,17,FALSE)+HLOOKUP($Y81,$J$31:$M$56,26,FALSE),0))+IF(AA81="○",加算と減算!$AH$3,0)</f>
        <v>0</v>
      </c>
      <c r="AD81" s="85">
        <f t="shared" ref="AD81:AD100" si="55">IFERROR(-ROUNDUP(AC81*AB81/25,-1),0)</f>
        <v>0</v>
      </c>
      <c r="AE81" s="262">
        <f t="shared" ref="AE81:AE100" si="56">IFERROR(-ROUNDUP(IF($Z81="標準時間",HLOOKUP($Y81,$F$31:$I$55,25,FALSE),IF($Z81="短時間",HLOOKUP($Y81,$J$31:$M$55,25,FALSE),0))*AB81/25,-1),0)</f>
        <v>0</v>
      </c>
    </row>
    <row r="82" spans="15:31">
      <c r="O82" s="61" t="str">
        <f>IF(月途中入退所情報!$D32=$B$2,月途中入退所情報!F32,"-")</f>
        <v>-</v>
      </c>
      <c r="P82" s="61" t="str">
        <f>IF(月途中入退所情報!$D32=$B$2,月途中入退所情報!G32,"-")</f>
        <v>-</v>
      </c>
      <c r="Q82" s="61" t="str">
        <f>IF(月途中入退所情報!$D32=$B$2,月途中入退所情報!H32,"-")</f>
        <v>-</v>
      </c>
      <c r="R82" s="61" t="str">
        <f>IF(月途中入退所情報!$D32=$B$2,月途中入退所情報!I32,"-")</f>
        <v>-</v>
      </c>
      <c r="S82" s="61" t="str">
        <f>IF(月途中入退所情報!$D32=$B$2,月途中入退所情報!J32,"-")</f>
        <v>-</v>
      </c>
      <c r="T82" s="84">
        <f>IF($Q82="標準時間",HLOOKUP($P82,$F$31:$I$54,24,FALSE)-SUM($F$10,$F$21:$F$24,$F$26)-HLOOKUP($P82,$F$31:$I$54,17,FALSE)+HLOOKUP($P82,$F$31:$I$56,26,FALSE),IF($Q82="短時間",HLOOKUP($P82,$J$31:$M$54,24,FALSE)-SUM($F$10,$F$21:$F$24,$F$26)-HLOOKUP($P82,$J$31:$M$54,17,FALSE)+HLOOKUP($P82,$J$31:$M$56,26,FALSE),0))+IF(R82="○",加算と減算!$AH$3,0)</f>
        <v>0</v>
      </c>
      <c r="U82" s="85">
        <f t="shared" si="54"/>
        <v>0</v>
      </c>
      <c r="V82" s="262">
        <f t="shared" ref="V82:V100" si="57">IFERROR(ROUNDDOWN(IF($Q82="標準時間",HLOOKUP($P82,$F$31:$I$55,25,FALSE),IF($Q82="短時間",HLOOKUP($P82,$J$31:$M$55,25,FALSE),0))*S82/25,-1),0)</f>
        <v>0</v>
      </c>
      <c r="W82" s="262"/>
      <c r="X82" s="61" t="str">
        <f>IF(月途中入退所情報!$N32=$B$2,月途中入退所情報!$P32,"-")</f>
        <v>-</v>
      </c>
      <c r="Y82" s="61" t="str">
        <f>IF(月途中入退所情報!$N32=$B$2,月途中入退所情報!$Q32,"-")</f>
        <v>-</v>
      </c>
      <c r="Z82" s="61" t="str">
        <f>IF(月途中入退所情報!$N32=$B$2,月途中入退所情報!$R32,"-")</f>
        <v>-</v>
      </c>
      <c r="AA82" s="61" t="str">
        <f>IF(月途中入退所情報!$N32=$B$2,月途中入退所情報!$S32,"-")</f>
        <v>-</v>
      </c>
      <c r="AB82" s="61" t="str">
        <f>IF(月途中入退所情報!$N32=$B$2,月途中入退所情報!$T32,"-")</f>
        <v>-</v>
      </c>
      <c r="AC82" s="84">
        <f>IF($Z82="標準時間",HLOOKUP($Y82,$F$31:$I$54,24,FALSE)-SUM($F$10,$F$21:$F$24,$F$26)-HLOOKUP($Y82,$F$31:$I$54,17,FALSE)+HLOOKUP($Y82,$F$31:$I$56,26,FALSE),IF($Z82="短時間",HLOOKUP($Y82,$J$31:$M$54,24,FALSE)-SUM($F$10,$F$21:$F$24,$F$26)-HLOOKUP($Y82,$J$31:$M$54,17,FALSE)+HLOOKUP($Y82,$J$31:$M$56,26,FALSE),0))+IF(AA82="○",加算と減算!$AH$3,0)</f>
        <v>0</v>
      </c>
      <c r="AD82" s="85">
        <f t="shared" si="55"/>
        <v>0</v>
      </c>
      <c r="AE82" s="262">
        <f t="shared" si="56"/>
        <v>0</v>
      </c>
    </row>
    <row r="83" spans="15:31">
      <c r="O83" s="61" t="str">
        <f>IF(月途中入退所情報!$D33=$B$2,月途中入退所情報!F33,"-")</f>
        <v>-</v>
      </c>
      <c r="P83" s="61" t="str">
        <f>IF(月途中入退所情報!$D33=$B$2,月途中入退所情報!G33,"-")</f>
        <v>-</v>
      </c>
      <c r="Q83" s="61" t="str">
        <f>IF(月途中入退所情報!$D33=$B$2,月途中入退所情報!H33,"-")</f>
        <v>-</v>
      </c>
      <c r="R83" s="61" t="str">
        <f>IF(月途中入退所情報!$D33=$B$2,月途中入退所情報!I33,"-")</f>
        <v>-</v>
      </c>
      <c r="S83" s="61" t="str">
        <f>IF(月途中入退所情報!$D33=$B$2,月途中入退所情報!J33,"-")</f>
        <v>-</v>
      </c>
      <c r="T83" s="84">
        <f>IF($Q83="標準時間",HLOOKUP($P83,$F$31:$I$54,24,FALSE)-SUM($F$10,$F$21:$F$24,$F$26)-HLOOKUP($P83,$F$31:$I$54,17,FALSE)+HLOOKUP($P83,$F$31:$I$56,26,FALSE),IF($Q83="短時間",HLOOKUP($P83,$J$31:$M$54,24,FALSE)-SUM($F$10,$F$21:$F$24,$F$26)-HLOOKUP($P83,$J$31:$M$54,17,FALSE)+HLOOKUP($P83,$J$31:$M$56,26,FALSE),0))+IF(R83="○",加算と減算!$AH$3,0)</f>
        <v>0</v>
      </c>
      <c r="U83" s="85">
        <f t="shared" si="54"/>
        <v>0</v>
      </c>
      <c r="V83" s="262">
        <f t="shared" si="57"/>
        <v>0</v>
      </c>
      <c r="W83" s="262"/>
      <c r="X83" s="61" t="str">
        <f>IF(月途中入退所情報!$N33=$B$2,月途中入退所情報!$P33,"-")</f>
        <v>-</v>
      </c>
      <c r="Y83" s="61" t="str">
        <f>IF(月途中入退所情報!$N33=$B$2,月途中入退所情報!$Q33,"-")</f>
        <v>-</v>
      </c>
      <c r="Z83" s="61" t="str">
        <f>IF(月途中入退所情報!$N33=$B$2,月途中入退所情報!$R33,"-")</f>
        <v>-</v>
      </c>
      <c r="AA83" s="61" t="str">
        <f>IF(月途中入退所情報!$N33=$B$2,月途中入退所情報!$S33,"-")</f>
        <v>-</v>
      </c>
      <c r="AB83" s="61" t="str">
        <f>IF(月途中入退所情報!$N33=$B$2,月途中入退所情報!$T33,"-")</f>
        <v>-</v>
      </c>
      <c r="AC83" s="84">
        <f>IF($Z83="標準時間",HLOOKUP($Y83,$F$31:$I$54,24,FALSE)-SUM($F$10,$F$21:$F$24,$F$26)-HLOOKUP($Y83,$F$31:$I$54,17,FALSE)+HLOOKUP($Y83,$F$31:$I$56,26,FALSE),IF($Z83="短時間",HLOOKUP($Y83,$J$31:$M$54,24,FALSE)-SUM($F$10,$F$21:$F$24,$F$26)-HLOOKUP($Y83,$J$31:$M$54,17,FALSE)+HLOOKUP($Y83,$J$31:$M$56,26,FALSE),0))+IF(AA83="○",加算と減算!$AH$3,0)</f>
        <v>0</v>
      </c>
      <c r="AD83" s="85">
        <f t="shared" si="55"/>
        <v>0</v>
      </c>
      <c r="AE83" s="262">
        <f t="shared" si="56"/>
        <v>0</v>
      </c>
    </row>
    <row r="84" spans="15:31">
      <c r="O84" s="61" t="str">
        <f>IF(月途中入退所情報!$D34=$B$2,月途中入退所情報!F34,"-")</f>
        <v>-</v>
      </c>
      <c r="P84" s="61" t="str">
        <f>IF(月途中入退所情報!$D34=$B$2,月途中入退所情報!G34,"-")</f>
        <v>-</v>
      </c>
      <c r="Q84" s="61" t="str">
        <f>IF(月途中入退所情報!$D34=$B$2,月途中入退所情報!H34,"-")</f>
        <v>-</v>
      </c>
      <c r="R84" s="61" t="str">
        <f>IF(月途中入退所情報!$D34=$B$2,月途中入退所情報!I34,"-")</f>
        <v>-</v>
      </c>
      <c r="S84" s="61" t="str">
        <f>IF(月途中入退所情報!$D34=$B$2,月途中入退所情報!J34,"-")</f>
        <v>-</v>
      </c>
      <c r="T84" s="84">
        <f>IF($Q84="標準時間",HLOOKUP($P84,$F$31:$I$54,24,FALSE)-SUM($F$10,$F$21:$F$24,$F$26)-HLOOKUP($P84,$F$31:$I$54,17,FALSE)+HLOOKUP($P84,$F$31:$I$56,26,FALSE),IF($Q84="短時間",HLOOKUP($P84,$J$31:$M$54,24,FALSE)-SUM($F$10,$F$21:$F$24,$F$26)-HLOOKUP($P84,$J$31:$M$54,17,FALSE)+HLOOKUP($P84,$J$31:$M$56,26,FALSE),0))+IF(R84="○",加算と減算!$AH$3,0)</f>
        <v>0</v>
      </c>
      <c r="U84" s="85">
        <f t="shared" si="54"/>
        <v>0</v>
      </c>
      <c r="V84" s="262">
        <f t="shared" si="57"/>
        <v>0</v>
      </c>
      <c r="W84" s="262"/>
      <c r="X84" s="61" t="str">
        <f>IF(月途中入退所情報!$N34=$B$2,月途中入退所情報!$P34,"-")</f>
        <v>-</v>
      </c>
      <c r="Y84" s="61" t="str">
        <f>IF(月途中入退所情報!$N34=$B$2,月途中入退所情報!$Q34,"-")</f>
        <v>-</v>
      </c>
      <c r="Z84" s="61" t="str">
        <f>IF(月途中入退所情報!$N34=$B$2,月途中入退所情報!$R34,"-")</f>
        <v>-</v>
      </c>
      <c r="AA84" s="61" t="str">
        <f>IF(月途中入退所情報!$N34=$B$2,月途中入退所情報!$S34,"-")</f>
        <v>-</v>
      </c>
      <c r="AB84" s="61" t="str">
        <f>IF(月途中入退所情報!$N34=$B$2,月途中入退所情報!$T34,"-")</f>
        <v>-</v>
      </c>
      <c r="AC84" s="84">
        <f>IF($Z84="標準時間",HLOOKUP($Y84,$F$31:$I$54,24,FALSE)-SUM($F$10,$F$21:$F$24,$F$26)-HLOOKUP($Y84,$F$31:$I$54,17,FALSE)+HLOOKUP($Y84,$F$31:$I$56,26,FALSE),IF($Z84="短時間",HLOOKUP($Y84,$J$31:$M$54,24,FALSE)-SUM($F$10,$F$21:$F$24,$F$26)-HLOOKUP($Y84,$J$31:$M$54,17,FALSE)+HLOOKUP($Y84,$J$31:$M$56,26,FALSE),0))+IF(AA84="○",加算と減算!$AH$3,0)</f>
        <v>0</v>
      </c>
      <c r="AD84" s="85">
        <f t="shared" si="55"/>
        <v>0</v>
      </c>
      <c r="AE84" s="262">
        <f t="shared" si="56"/>
        <v>0</v>
      </c>
    </row>
    <row r="85" spans="15:31">
      <c r="O85" s="61" t="str">
        <f>IF(月途中入退所情報!$D35=$B$2,月途中入退所情報!F35,"-")</f>
        <v>-</v>
      </c>
      <c r="P85" s="61" t="str">
        <f>IF(月途中入退所情報!$D35=$B$2,月途中入退所情報!G35,"-")</f>
        <v>-</v>
      </c>
      <c r="Q85" s="61" t="str">
        <f>IF(月途中入退所情報!$D35=$B$2,月途中入退所情報!H35,"-")</f>
        <v>-</v>
      </c>
      <c r="R85" s="61" t="str">
        <f>IF(月途中入退所情報!$D35=$B$2,月途中入退所情報!I35,"-")</f>
        <v>-</v>
      </c>
      <c r="S85" s="61" t="str">
        <f>IF(月途中入退所情報!$D35=$B$2,月途中入退所情報!J35,"-")</f>
        <v>-</v>
      </c>
      <c r="T85" s="84">
        <f>IF($Q85="標準時間",HLOOKUP($P85,$F$31:$I$54,24,FALSE)-SUM($F$10,$F$21:$F$24,$F$26)-HLOOKUP($P85,$F$31:$I$54,17,FALSE)+HLOOKUP($P85,$F$31:$I$56,26,FALSE),IF($Q85="短時間",HLOOKUP($P85,$J$31:$M$54,24,FALSE)-SUM($F$10,$F$21:$F$24,$F$26)-HLOOKUP($P85,$J$31:$M$54,17,FALSE)+HLOOKUP($P85,$J$31:$M$56,26,FALSE),0))+IF(R85="○",加算と減算!$AH$3,0)</f>
        <v>0</v>
      </c>
      <c r="U85" s="85">
        <f t="shared" si="54"/>
        <v>0</v>
      </c>
      <c r="V85" s="262">
        <f t="shared" si="57"/>
        <v>0</v>
      </c>
      <c r="W85" s="262"/>
      <c r="X85" s="61" t="str">
        <f>IF(月途中入退所情報!$N35=$B$2,月途中入退所情報!$P35,"-")</f>
        <v>-</v>
      </c>
      <c r="Y85" s="61" t="str">
        <f>IF(月途中入退所情報!$N35=$B$2,月途中入退所情報!$Q35,"-")</f>
        <v>-</v>
      </c>
      <c r="Z85" s="61" t="str">
        <f>IF(月途中入退所情報!$N35=$B$2,月途中入退所情報!$R35,"-")</f>
        <v>-</v>
      </c>
      <c r="AA85" s="61" t="str">
        <f>IF(月途中入退所情報!$N35=$B$2,月途中入退所情報!$S35,"-")</f>
        <v>-</v>
      </c>
      <c r="AB85" s="61" t="str">
        <f>IF(月途中入退所情報!$N35=$B$2,月途中入退所情報!$T35,"-")</f>
        <v>-</v>
      </c>
      <c r="AC85" s="84">
        <f>IF($Z85="標準時間",HLOOKUP($Y85,$F$31:$I$54,24,FALSE)-SUM($F$10,$F$21:$F$24,$F$26)-HLOOKUP($Y85,$F$31:$I$54,17,FALSE)+HLOOKUP($Y85,$F$31:$I$56,26,FALSE),IF($Z85="短時間",HLOOKUP($Y85,$J$31:$M$54,24,FALSE)-SUM($F$10,$F$21:$F$24,$F$26)-HLOOKUP($Y85,$J$31:$M$54,17,FALSE)+HLOOKUP($Y85,$J$31:$M$56,26,FALSE),0))+IF(AA85="○",加算と減算!$AH$3,0)</f>
        <v>0</v>
      </c>
      <c r="AD85" s="85">
        <f t="shared" si="55"/>
        <v>0</v>
      </c>
      <c r="AE85" s="262">
        <f t="shared" si="56"/>
        <v>0</v>
      </c>
    </row>
    <row r="86" spans="15:31">
      <c r="O86" s="61" t="str">
        <f>IF(月途中入退所情報!$D36=$B$2,月途中入退所情報!F36,"-")</f>
        <v>-</v>
      </c>
      <c r="P86" s="61" t="str">
        <f>IF(月途中入退所情報!$D36=$B$2,月途中入退所情報!G36,"-")</f>
        <v>-</v>
      </c>
      <c r="Q86" s="61" t="str">
        <f>IF(月途中入退所情報!$D36=$B$2,月途中入退所情報!H36,"-")</f>
        <v>-</v>
      </c>
      <c r="R86" s="61" t="str">
        <f>IF(月途中入退所情報!$D36=$B$2,月途中入退所情報!I36,"-")</f>
        <v>-</v>
      </c>
      <c r="S86" s="61" t="str">
        <f>IF(月途中入退所情報!$D36=$B$2,月途中入退所情報!J36,"-")</f>
        <v>-</v>
      </c>
      <c r="T86" s="84">
        <f>IF($Q86="標準時間",HLOOKUP($P86,$F$31:$I$54,24,FALSE)-SUM($F$10,$F$21:$F$24,$F$26)-HLOOKUP($P86,$F$31:$I$54,17,FALSE)+HLOOKUP($P86,$F$31:$I$56,26,FALSE),IF($Q86="短時間",HLOOKUP($P86,$J$31:$M$54,24,FALSE)-SUM($F$10,$F$21:$F$24,$F$26)-HLOOKUP($P86,$J$31:$M$54,17,FALSE)+HLOOKUP($P86,$J$31:$M$56,26,FALSE),0))+IF(R86="○",加算と減算!$AH$3,0)</f>
        <v>0</v>
      </c>
      <c r="U86" s="85">
        <f t="shared" si="54"/>
        <v>0</v>
      </c>
      <c r="V86" s="262">
        <f t="shared" si="57"/>
        <v>0</v>
      </c>
      <c r="W86" s="262"/>
      <c r="X86" s="61" t="str">
        <f>IF(月途中入退所情報!$N36=$B$2,月途中入退所情報!$P36,"-")</f>
        <v>-</v>
      </c>
      <c r="Y86" s="61" t="str">
        <f>IF(月途中入退所情報!$N36=$B$2,月途中入退所情報!$Q36,"-")</f>
        <v>-</v>
      </c>
      <c r="Z86" s="61" t="str">
        <f>IF(月途中入退所情報!$N36=$B$2,月途中入退所情報!$R36,"-")</f>
        <v>-</v>
      </c>
      <c r="AA86" s="61" t="str">
        <f>IF(月途中入退所情報!$N36=$B$2,月途中入退所情報!$S36,"-")</f>
        <v>-</v>
      </c>
      <c r="AB86" s="61" t="str">
        <f>IF(月途中入退所情報!$N36=$B$2,月途中入退所情報!$T36,"-")</f>
        <v>-</v>
      </c>
      <c r="AC86" s="84">
        <f>IF($Z86="標準時間",HLOOKUP($Y86,$F$31:$I$54,24,FALSE)-SUM($F$10,$F$21:$F$24,$F$26)-HLOOKUP($Y86,$F$31:$I$54,17,FALSE)+HLOOKUP($Y86,$F$31:$I$56,26,FALSE),IF($Z86="短時間",HLOOKUP($Y86,$J$31:$M$54,24,FALSE)-SUM($F$10,$F$21:$F$24,$F$26)-HLOOKUP($Y86,$J$31:$M$54,17,FALSE)+HLOOKUP($Y86,$J$31:$M$56,26,FALSE),0))+IF(AA86="○",加算と減算!$AH$3,0)</f>
        <v>0</v>
      </c>
      <c r="AD86" s="85">
        <f t="shared" si="55"/>
        <v>0</v>
      </c>
      <c r="AE86" s="262">
        <f t="shared" si="56"/>
        <v>0</v>
      </c>
    </row>
    <row r="87" spans="15:31">
      <c r="O87" s="61" t="str">
        <f>IF(月途中入退所情報!$D37=$B$2,月途中入退所情報!F37,"-")</f>
        <v>-</v>
      </c>
      <c r="P87" s="61" t="str">
        <f>IF(月途中入退所情報!$D37=$B$2,月途中入退所情報!G37,"-")</f>
        <v>-</v>
      </c>
      <c r="Q87" s="61" t="str">
        <f>IF(月途中入退所情報!$D37=$B$2,月途中入退所情報!H37,"-")</f>
        <v>-</v>
      </c>
      <c r="R87" s="61" t="str">
        <f>IF(月途中入退所情報!$D37=$B$2,月途中入退所情報!I37,"-")</f>
        <v>-</v>
      </c>
      <c r="S87" s="61" t="str">
        <f>IF(月途中入退所情報!$D37=$B$2,月途中入退所情報!J37,"-")</f>
        <v>-</v>
      </c>
      <c r="T87" s="84">
        <f>IF($Q87="標準時間",HLOOKUP($P87,$F$31:$I$54,24,FALSE)-SUM($F$10,$F$21:$F$24,$F$26)-HLOOKUP($P87,$F$31:$I$54,17,FALSE)+HLOOKUP($P87,$F$31:$I$56,26,FALSE),IF($Q87="短時間",HLOOKUP($P87,$J$31:$M$54,24,FALSE)-SUM($F$10,$F$21:$F$24,$F$26)-HLOOKUP($P87,$J$31:$M$54,17,FALSE)+HLOOKUP($P87,$J$31:$M$56,26,FALSE),0))+IF(R87="○",加算と減算!$AH$3,0)</f>
        <v>0</v>
      </c>
      <c r="U87" s="85">
        <f t="shared" si="54"/>
        <v>0</v>
      </c>
      <c r="V87" s="262">
        <f t="shared" si="57"/>
        <v>0</v>
      </c>
      <c r="W87" s="262"/>
      <c r="X87" s="61" t="str">
        <f>IF(月途中入退所情報!$N37=$B$2,月途中入退所情報!$P37,"-")</f>
        <v>-</v>
      </c>
      <c r="Y87" s="61" t="str">
        <f>IF(月途中入退所情報!$N37=$B$2,月途中入退所情報!$Q37,"-")</f>
        <v>-</v>
      </c>
      <c r="Z87" s="61" t="str">
        <f>IF(月途中入退所情報!$N37=$B$2,月途中入退所情報!$R37,"-")</f>
        <v>-</v>
      </c>
      <c r="AA87" s="61" t="str">
        <f>IF(月途中入退所情報!$N37=$B$2,月途中入退所情報!$S37,"-")</f>
        <v>-</v>
      </c>
      <c r="AB87" s="61" t="str">
        <f>IF(月途中入退所情報!$N37=$B$2,月途中入退所情報!$T37,"-")</f>
        <v>-</v>
      </c>
      <c r="AC87" s="84">
        <f>IF($Z87="標準時間",HLOOKUP($Y87,$F$31:$I$54,24,FALSE)-SUM($F$10,$F$21:$F$24,$F$26)-HLOOKUP($Y87,$F$31:$I$54,17,FALSE)+HLOOKUP($Y87,$F$31:$I$56,26,FALSE),IF($Z87="短時間",HLOOKUP($Y87,$J$31:$M$54,24,FALSE)-SUM($F$10,$F$21:$F$24,$F$26)-HLOOKUP($Y87,$J$31:$M$54,17,FALSE)+HLOOKUP($Y87,$J$31:$M$56,26,FALSE),0))+IF(AA87="○",加算と減算!$AH$3,0)</f>
        <v>0</v>
      </c>
      <c r="AD87" s="85">
        <f t="shared" si="55"/>
        <v>0</v>
      </c>
      <c r="AE87" s="262">
        <f t="shared" si="56"/>
        <v>0</v>
      </c>
    </row>
    <row r="88" spans="15:31">
      <c r="O88" s="61" t="str">
        <f>IF(月途中入退所情報!$D38=$B$2,月途中入退所情報!F38,"-")</f>
        <v>-</v>
      </c>
      <c r="P88" s="61" t="str">
        <f>IF(月途中入退所情報!$D38=$B$2,月途中入退所情報!G38,"-")</f>
        <v>-</v>
      </c>
      <c r="Q88" s="61" t="str">
        <f>IF(月途中入退所情報!$D38=$B$2,月途中入退所情報!H38,"-")</f>
        <v>-</v>
      </c>
      <c r="R88" s="61" t="str">
        <f>IF(月途中入退所情報!$D38=$B$2,月途中入退所情報!I38,"-")</f>
        <v>-</v>
      </c>
      <c r="S88" s="61" t="str">
        <f>IF(月途中入退所情報!$D38=$B$2,月途中入退所情報!J38,"-")</f>
        <v>-</v>
      </c>
      <c r="T88" s="84">
        <f>IF($Q88="標準時間",HLOOKUP($P88,$F$31:$I$54,24,FALSE)-SUM($F$10,$F$21:$F$24,$F$26)-HLOOKUP($P88,$F$31:$I$54,17,FALSE)+HLOOKUP($P88,$F$31:$I$56,26,FALSE),IF($Q88="短時間",HLOOKUP($P88,$J$31:$M$54,24,FALSE)-SUM($F$10,$F$21:$F$24,$F$26)-HLOOKUP($P88,$J$31:$M$54,17,FALSE)+HLOOKUP($P88,$J$31:$M$56,26,FALSE),0))+IF(R88="○",加算と減算!$AH$3,0)</f>
        <v>0</v>
      </c>
      <c r="U88" s="85">
        <f t="shared" si="54"/>
        <v>0</v>
      </c>
      <c r="V88" s="262">
        <f t="shared" si="57"/>
        <v>0</v>
      </c>
      <c r="W88" s="262"/>
      <c r="X88" s="61" t="str">
        <f>IF(月途中入退所情報!$N38=$B$2,月途中入退所情報!$P38,"-")</f>
        <v>-</v>
      </c>
      <c r="Y88" s="61" t="str">
        <f>IF(月途中入退所情報!$N38=$B$2,月途中入退所情報!$Q38,"-")</f>
        <v>-</v>
      </c>
      <c r="Z88" s="61" t="str">
        <f>IF(月途中入退所情報!$N38=$B$2,月途中入退所情報!$R38,"-")</f>
        <v>-</v>
      </c>
      <c r="AA88" s="61" t="str">
        <f>IF(月途中入退所情報!$N38=$B$2,月途中入退所情報!$S38,"-")</f>
        <v>-</v>
      </c>
      <c r="AB88" s="61" t="str">
        <f>IF(月途中入退所情報!$N38=$B$2,月途中入退所情報!$T38,"-")</f>
        <v>-</v>
      </c>
      <c r="AC88" s="84">
        <f>IF($Z88="標準時間",HLOOKUP($Y88,$F$31:$I$54,24,FALSE)-SUM($F$10,$F$21:$F$24,$F$26)-HLOOKUP($Y88,$F$31:$I$54,17,FALSE)+HLOOKUP($Y88,$F$31:$I$56,26,FALSE),IF($Z88="短時間",HLOOKUP($Y88,$J$31:$M$54,24,FALSE)-SUM($F$10,$F$21:$F$24,$F$26)-HLOOKUP($Y88,$J$31:$M$54,17,FALSE)+HLOOKUP($Y88,$J$31:$M$56,26,FALSE),0))+IF(AA88="○",加算と減算!$AH$3,0)</f>
        <v>0</v>
      </c>
      <c r="AD88" s="85">
        <f t="shared" si="55"/>
        <v>0</v>
      </c>
      <c r="AE88" s="262">
        <f t="shared" si="56"/>
        <v>0</v>
      </c>
    </row>
    <row r="89" spans="15:31">
      <c r="O89" s="61" t="str">
        <f>IF(月途中入退所情報!$D39=$B$2,月途中入退所情報!F39,"-")</f>
        <v>-</v>
      </c>
      <c r="P89" s="61" t="str">
        <f>IF(月途中入退所情報!$D39=$B$2,月途中入退所情報!G39,"-")</f>
        <v>-</v>
      </c>
      <c r="Q89" s="61" t="str">
        <f>IF(月途中入退所情報!$D39=$B$2,月途中入退所情報!H39,"-")</f>
        <v>-</v>
      </c>
      <c r="R89" s="61" t="str">
        <f>IF(月途中入退所情報!$D39=$B$2,月途中入退所情報!I39,"-")</f>
        <v>-</v>
      </c>
      <c r="S89" s="61" t="str">
        <f>IF(月途中入退所情報!$D39=$B$2,月途中入退所情報!J39,"-")</f>
        <v>-</v>
      </c>
      <c r="T89" s="84">
        <f>IF($Q89="標準時間",HLOOKUP($P89,$F$31:$I$54,24,FALSE)-SUM($F$10,$F$21:$F$24,$F$26)-HLOOKUP($P89,$F$31:$I$54,17,FALSE)+HLOOKUP($P89,$F$31:$I$56,26,FALSE),IF($Q89="短時間",HLOOKUP($P89,$J$31:$M$54,24,FALSE)-SUM($F$10,$F$21:$F$24,$F$26)-HLOOKUP($P89,$J$31:$M$54,17,FALSE)+HLOOKUP($P89,$J$31:$M$56,26,FALSE),0))+IF(R89="○",加算と減算!$AH$3,0)</f>
        <v>0</v>
      </c>
      <c r="U89" s="85">
        <f t="shared" si="54"/>
        <v>0</v>
      </c>
      <c r="V89" s="262">
        <f t="shared" si="57"/>
        <v>0</v>
      </c>
      <c r="W89" s="262"/>
      <c r="X89" s="61" t="str">
        <f>IF(月途中入退所情報!$N39=$B$2,月途中入退所情報!$P39,"-")</f>
        <v>-</v>
      </c>
      <c r="Y89" s="61" t="str">
        <f>IF(月途中入退所情報!$N39=$B$2,月途中入退所情報!$Q39,"-")</f>
        <v>-</v>
      </c>
      <c r="Z89" s="61" t="str">
        <f>IF(月途中入退所情報!$N39=$B$2,月途中入退所情報!$R39,"-")</f>
        <v>-</v>
      </c>
      <c r="AA89" s="61" t="str">
        <f>IF(月途中入退所情報!$N39=$B$2,月途中入退所情報!$S39,"-")</f>
        <v>-</v>
      </c>
      <c r="AB89" s="61" t="str">
        <f>IF(月途中入退所情報!$N39=$B$2,月途中入退所情報!$T39,"-")</f>
        <v>-</v>
      </c>
      <c r="AC89" s="84">
        <f>IF($Z89="標準時間",HLOOKUP($Y89,$F$31:$I$54,24,FALSE)-SUM($F$10,$F$21:$F$24,$F$26)-HLOOKUP($Y89,$F$31:$I$54,17,FALSE)+HLOOKUP($Y89,$F$31:$I$56,26,FALSE),IF($Z89="短時間",HLOOKUP($Y89,$J$31:$M$54,24,FALSE)-SUM($F$10,$F$21:$F$24,$F$26)-HLOOKUP($Y89,$J$31:$M$54,17,FALSE)+HLOOKUP($Y89,$J$31:$M$56,26,FALSE),0))+IF(AA89="○",加算と減算!$AH$3,0)</f>
        <v>0</v>
      </c>
      <c r="AD89" s="85">
        <f t="shared" si="55"/>
        <v>0</v>
      </c>
      <c r="AE89" s="262">
        <f t="shared" si="56"/>
        <v>0</v>
      </c>
    </row>
    <row r="90" spans="15:31">
      <c r="O90" s="61" t="str">
        <f>IF(月途中入退所情報!$D40=$B$2,月途中入退所情報!F40,"-")</f>
        <v>-</v>
      </c>
      <c r="P90" s="61" t="str">
        <f>IF(月途中入退所情報!$D40=$B$2,月途中入退所情報!G40,"-")</f>
        <v>-</v>
      </c>
      <c r="Q90" s="61" t="str">
        <f>IF(月途中入退所情報!$D40=$B$2,月途中入退所情報!H40,"-")</f>
        <v>-</v>
      </c>
      <c r="R90" s="61" t="str">
        <f>IF(月途中入退所情報!$D40=$B$2,月途中入退所情報!I40,"-")</f>
        <v>-</v>
      </c>
      <c r="S90" s="61" t="str">
        <f>IF(月途中入退所情報!$D40=$B$2,月途中入退所情報!J40,"-")</f>
        <v>-</v>
      </c>
      <c r="T90" s="84">
        <f>IF($Q90="標準時間",HLOOKUP($P90,$F$31:$I$54,24,FALSE)-SUM($F$10,$F$21:$F$24,$F$26)-HLOOKUP($P90,$F$31:$I$54,17,FALSE)+HLOOKUP($P90,$F$31:$I$56,26,FALSE),IF($Q90="短時間",HLOOKUP($P90,$J$31:$M$54,24,FALSE)-SUM($F$10,$F$21:$F$24,$F$26)-HLOOKUP($P90,$J$31:$M$54,17,FALSE)+HLOOKUP($P90,$J$31:$M$56,26,FALSE),0))+IF(R90="○",加算と減算!$AH$3,0)</f>
        <v>0</v>
      </c>
      <c r="U90" s="85">
        <f t="shared" si="54"/>
        <v>0</v>
      </c>
      <c r="V90" s="262">
        <f t="shared" si="57"/>
        <v>0</v>
      </c>
      <c r="W90" s="262"/>
      <c r="X90" s="61" t="str">
        <f>IF(月途中入退所情報!$N40=$B$2,月途中入退所情報!$P40,"-")</f>
        <v>-</v>
      </c>
      <c r="Y90" s="61" t="str">
        <f>IF(月途中入退所情報!$N40=$B$2,月途中入退所情報!$Q40,"-")</f>
        <v>-</v>
      </c>
      <c r="Z90" s="61" t="str">
        <f>IF(月途中入退所情報!$N40=$B$2,月途中入退所情報!$R40,"-")</f>
        <v>-</v>
      </c>
      <c r="AA90" s="61" t="str">
        <f>IF(月途中入退所情報!$N40=$B$2,月途中入退所情報!$S40,"-")</f>
        <v>-</v>
      </c>
      <c r="AB90" s="61" t="str">
        <f>IF(月途中入退所情報!$N40=$B$2,月途中入退所情報!$T40,"-")</f>
        <v>-</v>
      </c>
      <c r="AC90" s="84">
        <f>IF($Z90="標準時間",HLOOKUP($Y90,$F$31:$I$54,24,FALSE)-SUM($F$10,$F$21:$F$24,$F$26)-HLOOKUP($Y90,$F$31:$I$54,17,FALSE)+HLOOKUP($Y90,$F$31:$I$56,26,FALSE),IF($Z90="短時間",HLOOKUP($Y90,$J$31:$M$54,24,FALSE)-SUM($F$10,$F$21:$F$24,$F$26)-HLOOKUP($Y90,$J$31:$M$54,17,FALSE)+HLOOKUP($Y90,$J$31:$M$56,26,FALSE),0))+IF(AA90="○",加算と減算!$AH$3,0)</f>
        <v>0</v>
      </c>
      <c r="AD90" s="85">
        <f t="shared" si="55"/>
        <v>0</v>
      </c>
      <c r="AE90" s="262">
        <f t="shared" si="56"/>
        <v>0</v>
      </c>
    </row>
    <row r="91" spans="15:31">
      <c r="O91" s="61" t="str">
        <f>IF(月途中入退所情報!$D41=$B$2,月途中入退所情報!F41,"-")</f>
        <v>-</v>
      </c>
      <c r="P91" s="61" t="str">
        <f>IF(月途中入退所情報!$D41=$B$2,月途中入退所情報!G41,"-")</f>
        <v>-</v>
      </c>
      <c r="Q91" s="61" t="str">
        <f>IF(月途中入退所情報!$D41=$B$2,月途中入退所情報!H41,"-")</f>
        <v>-</v>
      </c>
      <c r="R91" s="61" t="str">
        <f>IF(月途中入退所情報!$D41=$B$2,月途中入退所情報!I41,"-")</f>
        <v>-</v>
      </c>
      <c r="S91" s="61" t="str">
        <f>IF(月途中入退所情報!$D41=$B$2,月途中入退所情報!J41,"-")</f>
        <v>-</v>
      </c>
      <c r="T91" s="84">
        <f>IF($Q91="標準時間",HLOOKUP($P91,$F$31:$I$54,24,FALSE)-SUM($F$10,$F$21:$F$24,$F$26)-HLOOKUP($P91,$F$31:$I$54,17,FALSE)+HLOOKUP($P91,$F$31:$I$56,26,FALSE),IF($Q91="短時間",HLOOKUP($P91,$J$31:$M$54,24,FALSE)-SUM($F$10,$F$21:$F$24,$F$26)-HLOOKUP($P91,$J$31:$M$54,17,FALSE)+HLOOKUP($P91,$J$31:$M$56,26,FALSE),0))+IF(R91="○",加算と減算!$AH$3,0)</f>
        <v>0</v>
      </c>
      <c r="U91" s="85">
        <f t="shared" si="54"/>
        <v>0</v>
      </c>
      <c r="V91" s="262">
        <f t="shared" si="57"/>
        <v>0</v>
      </c>
      <c r="W91" s="262"/>
      <c r="X91" s="61" t="str">
        <f>IF(月途中入退所情報!$N41=$B$2,月途中入退所情報!$P41,"-")</f>
        <v>-</v>
      </c>
      <c r="Y91" s="61" t="str">
        <f>IF(月途中入退所情報!$N41=$B$2,月途中入退所情報!$Q41,"-")</f>
        <v>-</v>
      </c>
      <c r="Z91" s="61" t="str">
        <f>IF(月途中入退所情報!$N41=$B$2,月途中入退所情報!$R41,"-")</f>
        <v>-</v>
      </c>
      <c r="AA91" s="61" t="str">
        <f>IF(月途中入退所情報!$N41=$B$2,月途中入退所情報!$S41,"-")</f>
        <v>-</v>
      </c>
      <c r="AB91" s="61" t="str">
        <f>IF(月途中入退所情報!$N41=$B$2,月途中入退所情報!$T41,"-")</f>
        <v>-</v>
      </c>
      <c r="AC91" s="84">
        <f>IF($Z91="標準時間",HLOOKUP($Y91,$F$31:$I$54,24,FALSE)-SUM($F$10,$F$21:$F$24,$F$26)-HLOOKUP($Y91,$F$31:$I$54,17,FALSE)+HLOOKUP($Y91,$F$31:$I$56,26,FALSE),IF($Z91="短時間",HLOOKUP($Y91,$J$31:$M$54,24,FALSE)-SUM($F$10,$F$21:$F$24,$F$26)-HLOOKUP($Y91,$J$31:$M$54,17,FALSE)+HLOOKUP($Y91,$J$31:$M$56,26,FALSE),0))+IF(AA91="○",加算と減算!$AH$3,0)</f>
        <v>0</v>
      </c>
      <c r="AD91" s="85">
        <f t="shared" si="55"/>
        <v>0</v>
      </c>
      <c r="AE91" s="262">
        <f t="shared" si="56"/>
        <v>0</v>
      </c>
    </row>
    <row r="92" spans="15:31">
      <c r="O92" s="61" t="str">
        <f>IF(月途中入退所情報!$D42=$B$2,月途中入退所情報!F42,"-")</f>
        <v>-</v>
      </c>
      <c r="P92" s="61" t="str">
        <f>IF(月途中入退所情報!$D42=$B$2,月途中入退所情報!G42,"-")</f>
        <v>-</v>
      </c>
      <c r="Q92" s="61" t="str">
        <f>IF(月途中入退所情報!$D42=$B$2,月途中入退所情報!H42,"-")</f>
        <v>-</v>
      </c>
      <c r="R92" s="61" t="str">
        <f>IF(月途中入退所情報!$D42=$B$2,月途中入退所情報!I42,"-")</f>
        <v>-</v>
      </c>
      <c r="S92" s="61" t="str">
        <f>IF(月途中入退所情報!$D42=$B$2,月途中入退所情報!J42,"-")</f>
        <v>-</v>
      </c>
      <c r="T92" s="84">
        <f>IF($Q92="標準時間",HLOOKUP($P92,$F$31:$I$54,24,FALSE)-SUM($F$10,$F$21:$F$24,$F$26)-HLOOKUP($P92,$F$31:$I$54,17,FALSE)+HLOOKUP($P92,$F$31:$I$56,26,FALSE),IF($Q92="短時間",HLOOKUP($P92,$J$31:$M$54,24,FALSE)-SUM($F$10,$F$21:$F$24,$F$26)-HLOOKUP($P92,$J$31:$M$54,17,FALSE)+HLOOKUP($P92,$J$31:$M$56,26,FALSE),0))+IF(R92="○",加算と減算!$AH$3,0)</f>
        <v>0</v>
      </c>
      <c r="U92" s="85">
        <f t="shared" si="54"/>
        <v>0</v>
      </c>
      <c r="V92" s="262">
        <f t="shared" si="57"/>
        <v>0</v>
      </c>
      <c r="W92" s="262"/>
      <c r="X92" s="61" t="str">
        <f>IF(月途中入退所情報!$N42=$B$2,月途中入退所情報!$P42,"-")</f>
        <v>-</v>
      </c>
      <c r="Y92" s="61" t="str">
        <f>IF(月途中入退所情報!$N42=$B$2,月途中入退所情報!$Q42,"-")</f>
        <v>-</v>
      </c>
      <c r="Z92" s="61" t="str">
        <f>IF(月途中入退所情報!$N42=$B$2,月途中入退所情報!$R42,"-")</f>
        <v>-</v>
      </c>
      <c r="AA92" s="61" t="str">
        <f>IF(月途中入退所情報!$N42=$B$2,月途中入退所情報!$S42,"-")</f>
        <v>-</v>
      </c>
      <c r="AB92" s="61" t="str">
        <f>IF(月途中入退所情報!$N42=$B$2,月途中入退所情報!$T42,"-")</f>
        <v>-</v>
      </c>
      <c r="AC92" s="84">
        <f>IF($Z92="標準時間",HLOOKUP($Y92,$F$31:$I$54,24,FALSE)-SUM($F$10,$F$21:$F$24,$F$26)-HLOOKUP($Y92,$F$31:$I$54,17,FALSE)+HLOOKUP($Y92,$F$31:$I$56,26,FALSE),IF($Z92="短時間",HLOOKUP($Y92,$J$31:$M$54,24,FALSE)-SUM($F$10,$F$21:$F$24,$F$26)-HLOOKUP($Y92,$J$31:$M$54,17,FALSE)+HLOOKUP($Y92,$J$31:$M$56,26,FALSE),0))+IF(AA92="○",加算と減算!$AH$3,0)</f>
        <v>0</v>
      </c>
      <c r="AD92" s="85">
        <f t="shared" si="55"/>
        <v>0</v>
      </c>
      <c r="AE92" s="262">
        <f t="shared" si="56"/>
        <v>0</v>
      </c>
    </row>
    <row r="93" spans="15:31">
      <c r="O93" s="61" t="str">
        <f>IF(月途中入退所情報!$D43=$B$2,月途中入退所情報!F43,"-")</f>
        <v>-</v>
      </c>
      <c r="P93" s="61" t="str">
        <f>IF(月途中入退所情報!$D43=$B$2,月途中入退所情報!G43,"-")</f>
        <v>-</v>
      </c>
      <c r="Q93" s="61" t="str">
        <f>IF(月途中入退所情報!$D43=$B$2,月途中入退所情報!H43,"-")</f>
        <v>-</v>
      </c>
      <c r="R93" s="61" t="str">
        <f>IF(月途中入退所情報!$D43=$B$2,月途中入退所情報!I43,"-")</f>
        <v>-</v>
      </c>
      <c r="S93" s="61" t="str">
        <f>IF(月途中入退所情報!$D43=$B$2,月途中入退所情報!J43,"-")</f>
        <v>-</v>
      </c>
      <c r="T93" s="84">
        <f>IF($Q93="標準時間",HLOOKUP($P93,$F$31:$I$54,24,FALSE)-SUM($F$10,$F$21:$F$24,$F$26)-HLOOKUP($P93,$F$31:$I$54,17,FALSE)+HLOOKUP($P93,$F$31:$I$56,26,FALSE),IF($Q93="短時間",HLOOKUP($P93,$J$31:$M$54,24,FALSE)-SUM($F$10,$F$21:$F$24,$F$26)-HLOOKUP($P93,$J$31:$M$54,17,FALSE)+HLOOKUP($P93,$J$31:$M$56,26,FALSE),0))+IF(R93="○",加算と減算!$AH$3,0)</f>
        <v>0</v>
      </c>
      <c r="U93" s="85">
        <f t="shared" si="54"/>
        <v>0</v>
      </c>
      <c r="V93" s="262">
        <f t="shared" si="57"/>
        <v>0</v>
      </c>
      <c r="W93" s="262"/>
      <c r="X93" s="61" t="str">
        <f>IF(月途中入退所情報!$N43=$B$2,月途中入退所情報!$P43,"-")</f>
        <v>-</v>
      </c>
      <c r="Y93" s="61" t="str">
        <f>IF(月途中入退所情報!$N43=$B$2,月途中入退所情報!$Q43,"-")</f>
        <v>-</v>
      </c>
      <c r="Z93" s="61" t="str">
        <f>IF(月途中入退所情報!$N43=$B$2,月途中入退所情報!$R43,"-")</f>
        <v>-</v>
      </c>
      <c r="AA93" s="61" t="str">
        <f>IF(月途中入退所情報!$N43=$B$2,月途中入退所情報!$S43,"-")</f>
        <v>-</v>
      </c>
      <c r="AB93" s="61" t="str">
        <f>IF(月途中入退所情報!$N43=$B$2,月途中入退所情報!$T43,"-")</f>
        <v>-</v>
      </c>
      <c r="AC93" s="84">
        <f>IF($Z93="標準時間",HLOOKUP($Y93,$F$31:$I$54,24,FALSE)-SUM($F$10,$F$21:$F$24,$F$26)-HLOOKUP($Y93,$F$31:$I$54,17,FALSE)+HLOOKUP($Y93,$F$31:$I$56,26,FALSE),IF($Z93="短時間",HLOOKUP($Y93,$J$31:$M$54,24,FALSE)-SUM($F$10,$F$21:$F$24,$F$26)-HLOOKUP($Y93,$J$31:$M$54,17,FALSE)+HLOOKUP($Y93,$J$31:$M$56,26,FALSE),0))+IF(AA93="○",加算と減算!$AH$3,0)</f>
        <v>0</v>
      </c>
      <c r="AD93" s="85">
        <f t="shared" si="55"/>
        <v>0</v>
      </c>
      <c r="AE93" s="262">
        <f t="shared" si="56"/>
        <v>0</v>
      </c>
    </row>
    <row r="94" spans="15:31">
      <c r="O94" s="61" t="str">
        <f>IF(月途中入退所情報!$D44=$B$2,月途中入退所情報!F44,"-")</f>
        <v>-</v>
      </c>
      <c r="P94" s="61" t="str">
        <f>IF(月途中入退所情報!$D44=$B$2,月途中入退所情報!G44,"-")</f>
        <v>-</v>
      </c>
      <c r="Q94" s="61" t="str">
        <f>IF(月途中入退所情報!$D44=$B$2,月途中入退所情報!H44,"-")</f>
        <v>-</v>
      </c>
      <c r="R94" s="61" t="str">
        <f>IF(月途中入退所情報!$D44=$B$2,月途中入退所情報!I44,"-")</f>
        <v>-</v>
      </c>
      <c r="S94" s="61" t="str">
        <f>IF(月途中入退所情報!$D44=$B$2,月途中入退所情報!J44,"-")</f>
        <v>-</v>
      </c>
      <c r="T94" s="84">
        <f>IF($Q94="標準時間",HLOOKUP($P94,$F$31:$I$54,24,FALSE)-SUM($F$10,$F$21:$F$24,$F$26)-HLOOKUP($P94,$F$31:$I$54,17,FALSE)+HLOOKUP($P94,$F$31:$I$56,26,FALSE),IF($Q94="短時間",HLOOKUP($P94,$J$31:$M$54,24,FALSE)-SUM($F$10,$F$21:$F$24,$F$26)-HLOOKUP($P94,$J$31:$M$54,17,FALSE)+HLOOKUP($P94,$J$31:$M$56,26,FALSE),0))+IF(R94="○",加算と減算!$AH$3,0)</f>
        <v>0</v>
      </c>
      <c r="U94" s="85">
        <f t="shared" si="54"/>
        <v>0</v>
      </c>
      <c r="V94" s="262">
        <f t="shared" si="57"/>
        <v>0</v>
      </c>
      <c r="W94" s="262"/>
      <c r="X94" s="61" t="str">
        <f>IF(月途中入退所情報!$N44=$B$2,月途中入退所情報!$P44,"-")</f>
        <v>-</v>
      </c>
      <c r="Y94" s="61" t="str">
        <f>IF(月途中入退所情報!$N44=$B$2,月途中入退所情報!$Q44,"-")</f>
        <v>-</v>
      </c>
      <c r="Z94" s="61" t="str">
        <f>IF(月途中入退所情報!$N44=$B$2,月途中入退所情報!$R44,"-")</f>
        <v>-</v>
      </c>
      <c r="AA94" s="61" t="str">
        <f>IF(月途中入退所情報!$N44=$B$2,月途中入退所情報!$S44,"-")</f>
        <v>-</v>
      </c>
      <c r="AB94" s="61" t="str">
        <f>IF(月途中入退所情報!$N44=$B$2,月途中入退所情報!$T44,"-")</f>
        <v>-</v>
      </c>
      <c r="AC94" s="84">
        <f>IF($Z94="標準時間",HLOOKUP($Y94,$F$31:$I$54,24,FALSE)-SUM($F$10,$F$21:$F$24,$F$26)-HLOOKUP($Y94,$F$31:$I$54,17,FALSE)+HLOOKUP($Y94,$F$31:$I$56,26,FALSE),IF($Z94="短時間",HLOOKUP($Y94,$J$31:$M$54,24,FALSE)-SUM($F$10,$F$21:$F$24,$F$26)-HLOOKUP($Y94,$J$31:$M$54,17,FALSE)+HLOOKUP($Y94,$J$31:$M$56,26,FALSE),0))+IF(AA94="○",加算と減算!$AH$3,0)</f>
        <v>0</v>
      </c>
      <c r="AD94" s="85">
        <f t="shared" si="55"/>
        <v>0</v>
      </c>
      <c r="AE94" s="262">
        <f t="shared" si="56"/>
        <v>0</v>
      </c>
    </row>
    <row r="95" spans="15:31">
      <c r="O95" s="61" t="str">
        <f>IF(月途中入退所情報!$D45=$B$2,月途中入退所情報!F45,"-")</f>
        <v>-</v>
      </c>
      <c r="P95" s="61" t="str">
        <f>IF(月途中入退所情報!$D45=$B$2,月途中入退所情報!G45,"-")</f>
        <v>-</v>
      </c>
      <c r="Q95" s="61" t="str">
        <f>IF(月途中入退所情報!$D45=$B$2,月途中入退所情報!H45,"-")</f>
        <v>-</v>
      </c>
      <c r="R95" s="61" t="str">
        <f>IF(月途中入退所情報!$D45=$B$2,月途中入退所情報!I45,"-")</f>
        <v>-</v>
      </c>
      <c r="S95" s="61" t="str">
        <f>IF(月途中入退所情報!$D45=$B$2,月途中入退所情報!J45,"-")</f>
        <v>-</v>
      </c>
      <c r="T95" s="84">
        <f>IF($Q95="標準時間",HLOOKUP($P95,$F$31:$I$54,24,FALSE)-SUM($F$10,$F$21:$F$24,$F$26)-HLOOKUP($P95,$F$31:$I$54,17,FALSE)+HLOOKUP($P95,$F$31:$I$56,26,FALSE),IF($Q95="短時間",HLOOKUP($P95,$J$31:$M$54,24,FALSE)-SUM($F$10,$F$21:$F$24,$F$26)-HLOOKUP($P95,$J$31:$M$54,17,FALSE)+HLOOKUP($P95,$J$31:$M$56,26,FALSE),0))+IF(R95="○",加算と減算!$AH$3,0)</f>
        <v>0</v>
      </c>
      <c r="U95" s="85">
        <f t="shared" si="54"/>
        <v>0</v>
      </c>
      <c r="V95" s="262">
        <f t="shared" si="57"/>
        <v>0</v>
      </c>
      <c r="W95" s="262"/>
      <c r="X95" s="61" t="str">
        <f>IF(月途中入退所情報!$N45=$B$2,月途中入退所情報!$P45,"-")</f>
        <v>-</v>
      </c>
      <c r="Y95" s="61" t="str">
        <f>IF(月途中入退所情報!$N45=$B$2,月途中入退所情報!$Q45,"-")</f>
        <v>-</v>
      </c>
      <c r="Z95" s="61" t="str">
        <f>IF(月途中入退所情報!$N45=$B$2,月途中入退所情報!$R45,"-")</f>
        <v>-</v>
      </c>
      <c r="AA95" s="61" t="str">
        <f>IF(月途中入退所情報!$N45=$B$2,月途中入退所情報!$S45,"-")</f>
        <v>-</v>
      </c>
      <c r="AB95" s="61" t="str">
        <f>IF(月途中入退所情報!$N45=$B$2,月途中入退所情報!$T45,"-")</f>
        <v>-</v>
      </c>
      <c r="AC95" s="84">
        <f>IF($Z95="標準時間",HLOOKUP($Y95,$F$31:$I$54,24,FALSE)-SUM($F$10,$F$21:$F$24,$F$26)-HLOOKUP($Y95,$F$31:$I$54,17,FALSE)+HLOOKUP($Y95,$F$31:$I$56,26,FALSE),IF($Z95="短時間",HLOOKUP($Y95,$J$31:$M$54,24,FALSE)-SUM($F$10,$F$21:$F$24,$F$26)-HLOOKUP($Y95,$J$31:$M$54,17,FALSE)+HLOOKUP($Y95,$J$31:$M$56,26,FALSE),0))+IF(AA95="○",加算と減算!$AH$3,0)</f>
        <v>0</v>
      </c>
      <c r="AD95" s="85">
        <f t="shared" si="55"/>
        <v>0</v>
      </c>
      <c r="AE95" s="262">
        <f t="shared" si="56"/>
        <v>0</v>
      </c>
    </row>
    <row r="96" spans="15:31">
      <c r="O96" s="61" t="str">
        <f>IF(月途中入退所情報!$D46=$B$2,月途中入退所情報!F46,"-")</f>
        <v>-</v>
      </c>
      <c r="P96" s="61" t="str">
        <f>IF(月途中入退所情報!$D46=$B$2,月途中入退所情報!G46,"-")</f>
        <v>-</v>
      </c>
      <c r="Q96" s="61" t="str">
        <f>IF(月途中入退所情報!$D46=$B$2,月途中入退所情報!H46,"-")</f>
        <v>-</v>
      </c>
      <c r="R96" s="61" t="str">
        <f>IF(月途中入退所情報!$D46=$B$2,月途中入退所情報!I46,"-")</f>
        <v>-</v>
      </c>
      <c r="S96" s="61" t="str">
        <f>IF(月途中入退所情報!$D46=$B$2,月途中入退所情報!J46,"-")</f>
        <v>-</v>
      </c>
      <c r="T96" s="84">
        <f>IF($Q96="標準時間",HLOOKUP($P96,$F$31:$I$54,24,FALSE)-SUM($F$10,$F$21:$F$24,$F$26)-HLOOKUP($P96,$F$31:$I$54,17,FALSE)+HLOOKUP($P96,$F$31:$I$56,26,FALSE),IF($Q96="短時間",HLOOKUP($P96,$J$31:$M$54,24,FALSE)-SUM($F$10,$F$21:$F$24,$F$26)-HLOOKUP($P96,$J$31:$M$54,17,FALSE)+HLOOKUP($P96,$J$31:$M$56,26,FALSE),0))+IF(R96="○",加算と減算!$AH$3,0)</f>
        <v>0</v>
      </c>
      <c r="U96" s="85">
        <f t="shared" si="54"/>
        <v>0</v>
      </c>
      <c r="V96" s="262">
        <f t="shared" si="57"/>
        <v>0</v>
      </c>
      <c r="W96" s="262"/>
      <c r="X96" s="61" t="str">
        <f>IF(月途中入退所情報!$N46=$B$2,月途中入退所情報!$P46,"-")</f>
        <v>-</v>
      </c>
      <c r="Y96" s="61" t="str">
        <f>IF(月途中入退所情報!$N46=$B$2,月途中入退所情報!$Q46,"-")</f>
        <v>-</v>
      </c>
      <c r="Z96" s="61" t="str">
        <f>IF(月途中入退所情報!$N46=$B$2,月途中入退所情報!$R46,"-")</f>
        <v>-</v>
      </c>
      <c r="AA96" s="61" t="str">
        <f>IF(月途中入退所情報!$N46=$B$2,月途中入退所情報!$S46,"-")</f>
        <v>-</v>
      </c>
      <c r="AB96" s="61" t="str">
        <f>IF(月途中入退所情報!$N46=$B$2,月途中入退所情報!$T46,"-")</f>
        <v>-</v>
      </c>
      <c r="AC96" s="84">
        <f>IF($Z96="標準時間",HLOOKUP($Y96,$F$31:$I$54,24,FALSE)-SUM($F$10,$F$21:$F$24,$F$26)-HLOOKUP($Y96,$F$31:$I$54,17,FALSE)+HLOOKUP($Y96,$F$31:$I$56,26,FALSE),IF($Z96="短時間",HLOOKUP($Y96,$J$31:$M$54,24,FALSE)-SUM($F$10,$F$21:$F$24,$F$26)-HLOOKUP($Y96,$J$31:$M$54,17,FALSE)+HLOOKUP($Y96,$J$31:$M$56,26,FALSE),0))+IF(AA96="○",加算と減算!$AH$3,0)</f>
        <v>0</v>
      </c>
      <c r="AD96" s="85">
        <f t="shared" si="55"/>
        <v>0</v>
      </c>
      <c r="AE96" s="262">
        <f t="shared" si="56"/>
        <v>0</v>
      </c>
    </row>
    <row r="97" spans="15:31">
      <c r="O97" s="61" t="str">
        <f>IF(月途中入退所情報!$D47=$B$2,月途中入退所情報!F47,"-")</f>
        <v>-</v>
      </c>
      <c r="P97" s="61" t="str">
        <f>IF(月途中入退所情報!$D47=$B$2,月途中入退所情報!G47,"-")</f>
        <v>-</v>
      </c>
      <c r="Q97" s="61" t="str">
        <f>IF(月途中入退所情報!$D47=$B$2,月途中入退所情報!H47,"-")</f>
        <v>-</v>
      </c>
      <c r="R97" s="61" t="str">
        <f>IF(月途中入退所情報!$D47=$B$2,月途中入退所情報!I47,"-")</f>
        <v>-</v>
      </c>
      <c r="S97" s="61" t="str">
        <f>IF(月途中入退所情報!$D47=$B$2,月途中入退所情報!J47,"-")</f>
        <v>-</v>
      </c>
      <c r="T97" s="84">
        <f>IF($Q97="標準時間",HLOOKUP($P97,$F$31:$I$54,24,FALSE)-SUM($F$10,$F$21:$F$24,$F$26)-HLOOKUP($P97,$F$31:$I$54,17,FALSE)+HLOOKUP($P97,$F$31:$I$56,26,FALSE),IF($Q97="短時間",HLOOKUP($P97,$J$31:$M$54,24,FALSE)-SUM($F$10,$F$21:$F$24,$F$26)-HLOOKUP($P97,$J$31:$M$54,17,FALSE)+HLOOKUP($P97,$J$31:$M$56,26,FALSE),0))+IF(R97="○",加算と減算!$AH$3,0)</f>
        <v>0</v>
      </c>
      <c r="U97" s="85">
        <f t="shared" si="54"/>
        <v>0</v>
      </c>
      <c r="V97" s="262">
        <f t="shared" si="57"/>
        <v>0</v>
      </c>
      <c r="W97" s="262"/>
      <c r="X97" s="61" t="str">
        <f>IF(月途中入退所情報!$N47=$B$2,月途中入退所情報!$P47,"-")</f>
        <v>-</v>
      </c>
      <c r="Y97" s="61" t="str">
        <f>IF(月途中入退所情報!$N47=$B$2,月途中入退所情報!$Q47,"-")</f>
        <v>-</v>
      </c>
      <c r="Z97" s="61" t="str">
        <f>IF(月途中入退所情報!$N47=$B$2,月途中入退所情報!$R47,"-")</f>
        <v>-</v>
      </c>
      <c r="AA97" s="61" t="str">
        <f>IF(月途中入退所情報!$N47=$B$2,月途中入退所情報!$S47,"-")</f>
        <v>-</v>
      </c>
      <c r="AB97" s="61" t="str">
        <f>IF(月途中入退所情報!$N47=$B$2,月途中入退所情報!$T47,"-")</f>
        <v>-</v>
      </c>
      <c r="AC97" s="84">
        <f>IF($Z97="標準時間",HLOOKUP($Y97,$F$31:$I$54,24,FALSE)-SUM($F$10,$F$21:$F$24,$F$26)-HLOOKUP($Y97,$F$31:$I$54,17,FALSE)+HLOOKUP($Y97,$F$31:$I$56,26,FALSE),IF($Z97="短時間",HLOOKUP($Y97,$J$31:$M$54,24,FALSE)-SUM($F$10,$F$21:$F$24,$F$26)-HLOOKUP($Y97,$J$31:$M$54,17,FALSE)+HLOOKUP($Y97,$J$31:$M$56,26,FALSE),0))+IF(AA97="○",加算と減算!$AH$3,0)</f>
        <v>0</v>
      </c>
      <c r="AD97" s="85">
        <f t="shared" si="55"/>
        <v>0</v>
      </c>
      <c r="AE97" s="262">
        <f t="shared" si="56"/>
        <v>0</v>
      </c>
    </row>
    <row r="98" spans="15:31">
      <c r="O98" s="61" t="str">
        <f>IF(月途中入退所情報!$D48=$B$2,月途中入退所情報!F48,"-")</f>
        <v>-</v>
      </c>
      <c r="P98" s="61" t="str">
        <f>IF(月途中入退所情報!$D48=$B$2,月途中入退所情報!G48,"-")</f>
        <v>-</v>
      </c>
      <c r="Q98" s="61" t="str">
        <f>IF(月途中入退所情報!$D48=$B$2,月途中入退所情報!H48,"-")</f>
        <v>-</v>
      </c>
      <c r="R98" s="61" t="str">
        <f>IF(月途中入退所情報!$D48=$B$2,月途中入退所情報!I48,"-")</f>
        <v>-</v>
      </c>
      <c r="S98" s="61" t="str">
        <f>IF(月途中入退所情報!$D48=$B$2,月途中入退所情報!J48,"-")</f>
        <v>-</v>
      </c>
      <c r="T98" s="84">
        <f>IF($Q98="標準時間",HLOOKUP($P98,$F$31:$I$54,24,FALSE)-SUM($F$10,$F$21:$F$24,$F$26)-HLOOKUP($P98,$F$31:$I$54,17,FALSE)+HLOOKUP($P98,$F$31:$I$56,26,FALSE),IF($Q98="短時間",HLOOKUP($P98,$J$31:$M$54,24,FALSE)-SUM($F$10,$F$21:$F$24,$F$26)-HLOOKUP($P98,$J$31:$M$54,17,FALSE)+HLOOKUP($P98,$J$31:$M$56,26,FALSE),0))+IF(R98="○",加算と減算!$AH$3,0)</f>
        <v>0</v>
      </c>
      <c r="U98" s="85">
        <f t="shared" si="54"/>
        <v>0</v>
      </c>
      <c r="V98" s="262">
        <f t="shared" si="57"/>
        <v>0</v>
      </c>
      <c r="W98" s="262"/>
      <c r="X98" s="61" t="str">
        <f>IF(月途中入退所情報!$N48=$B$2,月途中入退所情報!$P48,"-")</f>
        <v>-</v>
      </c>
      <c r="Y98" s="61" t="str">
        <f>IF(月途中入退所情報!$N48=$B$2,月途中入退所情報!$Q48,"-")</f>
        <v>-</v>
      </c>
      <c r="Z98" s="61" t="str">
        <f>IF(月途中入退所情報!$N48=$B$2,月途中入退所情報!$R48,"-")</f>
        <v>-</v>
      </c>
      <c r="AA98" s="61" t="str">
        <f>IF(月途中入退所情報!$N48=$B$2,月途中入退所情報!$S48,"-")</f>
        <v>-</v>
      </c>
      <c r="AB98" s="61" t="str">
        <f>IF(月途中入退所情報!$N48=$B$2,月途中入退所情報!$T48,"-")</f>
        <v>-</v>
      </c>
      <c r="AC98" s="84">
        <f>IF($Z98="標準時間",HLOOKUP($Y98,$F$31:$I$54,24,FALSE)-SUM($F$10,$F$21:$F$24,$F$26)-HLOOKUP($Y98,$F$31:$I$54,17,FALSE)+HLOOKUP($Y98,$F$31:$I$56,26,FALSE),IF($Z98="短時間",HLOOKUP($Y98,$J$31:$M$54,24,FALSE)-SUM($F$10,$F$21:$F$24,$F$26)-HLOOKUP($Y98,$J$31:$M$54,17,FALSE)+HLOOKUP($Y98,$J$31:$M$56,26,FALSE),0))+IF(AA98="○",加算と減算!$AH$3,0)</f>
        <v>0</v>
      </c>
      <c r="AD98" s="85">
        <f t="shared" si="55"/>
        <v>0</v>
      </c>
      <c r="AE98" s="262">
        <f t="shared" si="56"/>
        <v>0</v>
      </c>
    </row>
    <row r="99" spans="15:31">
      <c r="O99" s="61" t="str">
        <f>IF(月途中入退所情報!$D49=$B$2,月途中入退所情報!F49,"-")</f>
        <v>-</v>
      </c>
      <c r="P99" s="61" t="str">
        <f>IF(月途中入退所情報!$D49=$B$2,月途中入退所情報!G49,"-")</f>
        <v>-</v>
      </c>
      <c r="Q99" s="61" t="str">
        <f>IF(月途中入退所情報!$D49=$B$2,月途中入退所情報!H49,"-")</f>
        <v>-</v>
      </c>
      <c r="R99" s="61" t="str">
        <f>IF(月途中入退所情報!$D49=$B$2,月途中入退所情報!I49,"-")</f>
        <v>-</v>
      </c>
      <c r="S99" s="61" t="str">
        <f>IF(月途中入退所情報!$D49=$B$2,月途中入退所情報!J49,"-")</f>
        <v>-</v>
      </c>
      <c r="T99" s="84">
        <f>IF($Q99="標準時間",HLOOKUP($P99,$F$31:$I$54,24,FALSE)-SUM($F$10,$F$21:$F$24,$F$26)-HLOOKUP($P99,$F$31:$I$54,17,FALSE)+HLOOKUP($P99,$F$31:$I$56,26,FALSE),IF($Q99="短時間",HLOOKUP($P99,$J$31:$M$54,24,FALSE)-SUM($F$10,$F$21:$F$24,$F$26)-HLOOKUP($P99,$J$31:$M$54,17,FALSE)+HLOOKUP($P99,$J$31:$M$56,26,FALSE),0))+IF(R99="○",加算と減算!$AH$3,0)</f>
        <v>0</v>
      </c>
      <c r="U99" s="85">
        <f t="shared" si="54"/>
        <v>0</v>
      </c>
      <c r="V99" s="262">
        <f t="shared" si="57"/>
        <v>0</v>
      </c>
      <c r="W99" s="262"/>
      <c r="X99" s="61" t="str">
        <f>IF(月途中入退所情報!$N49=$B$2,月途中入退所情報!$P49,"-")</f>
        <v>-</v>
      </c>
      <c r="Y99" s="61" t="str">
        <f>IF(月途中入退所情報!$N49=$B$2,月途中入退所情報!$Q49,"-")</f>
        <v>-</v>
      </c>
      <c r="Z99" s="61" t="str">
        <f>IF(月途中入退所情報!$N49=$B$2,月途中入退所情報!$R49,"-")</f>
        <v>-</v>
      </c>
      <c r="AA99" s="61" t="str">
        <f>IF(月途中入退所情報!$N49=$B$2,月途中入退所情報!$S49,"-")</f>
        <v>-</v>
      </c>
      <c r="AB99" s="61" t="str">
        <f>IF(月途中入退所情報!$N49=$B$2,月途中入退所情報!$T49,"-")</f>
        <v>-</v>
      </c>
      <c r="AC99" s="84">
        <f>IF($Z99="標準時間",HLOOKUP($Y99,$F$31:$I$54,24,FALSE)-SUM($F$10,$F$21:$F$24,$F$26)-HLOOKUP($Y99,$F$31:$I$54,17,FALSE)+HLOOKUP($Y99,$F$31:$I$56,26,FALSE),IF($Z99="短時間",HLOOKUP($Y99,$J$31:$M$54,24,FALSE)-SUM($F$10,$F$21:$F$24,$F$26)-HLOOKUP($Y99,$J$31:$M$54,17,FALSE)+HLOOKUP($Y99,$J$31:$M$56,26,FALSE),0))+IF(AA99="○",加算と減算!$AH$3,0)</f>
        <v>0</v>
      </c>
      <c r="AD99" s="85">
        <f t="shared" si="55"/>
        <v>0</v>
      </c>
      <c r="AE99" s="262">
        <f t="shared" si="56"/>
        <v>0</v>
      </c>
    </row>
    <row r="100" spans="15:31">
      <c r="O100" s="61" t="str">
        <f>IF(月途中入退所情報!$D50=$B$2,月途中入退所情報!F50,"-")</f>
        <v>-</v>
      </c>
      <c r="P100" s="61" t="str">
        <f>IF(月途中入退所情報!$D50=$B$2,月途中入退所情報!G50,"-")</f>
        <v>-</v>
      </c>
      <c r="Q100" s="61" t="str">
        <f>IF(月途中入退所情報!$D50=$B$2,月途中入退所情報!H50,"-")</f>
        <v>-</v>
      </c>
      <c r="R100" s="61" t="str">
        <f>IF(月途中入退所情報!$D50=$B$2,月途中入退所情報!I50,"-")</f>
        <v>-</v>
      </c>
      <c r="S100" s="61" t="str">
        <f>IF(月途中入退所情報!$D50=$B$2,月途中入退所情報!J50,"-")</f>
        <v>-</v>
      </c>
      <c r="T100" s="84">
        <f>IF($Q100="標準時間",HLOOKUP($P100,$F$31:$I$54,24,FALSE)-SUM($F$10,$F$21:$F$24,$F$26)-HLOOKUP($P100,$F$31:$I$54,17,FALSE)+HLOOKUP($P100,$F$31:$I$56,26,FALSE),IF($Q100="短時間",HLOOKUP($P100,$J$31:$M$54,24,FALSE)-SUM($F$10,$F$21:$F$24,$F$26)-HLOOKUP($P100,$J$31:$M$54,17,FALSE)+HLOOKUP($P100,$J$31:$M$56,26,FALSE),0))+IF(R100="○",加算と減算!$AH$3,0)</f>
        <v>0</v>
      </c>
      <c r="U100" s="85">
        <f t="shared" si="54"/>
        <v>0</v>
      </c>
      <c r="V100" s="262">
        <f t="shared" si="57"/>
        <v>0</v>
      </c>
      <c r="W100" s="262"/>
      <c r="X100" s="61" t="str">
        <f>IF(月途中入退所情報!$N50=$B$2,月途中入退所情報!$P50,"-")</f>
        <v>-</v>
      </c>
      <c r="Y100" s="61" t="str">
        <f>IF(月途中入退所情報!$N50=$B$2,月途中入退所情報!$Q50,"-")</f>
        <v>-</v>
      </c>
      <c r="Z100" s="61" t="str">
        <f>IF(月途中入退所情報!$N50=$B$2,月途中入退所情報!$R50,"-")</f>
        <v>-</v>
      </c>
      <c r="AA100" s="61" t="str">
        <f>IF(月途中入退所情報!$N50=$B$2,月途中入退所情報!$S50,"-")</f>
        <v>-</v>
      </c>
      <c r="AB100" s="61" t="str">
        <f>IF(月途中入退所情報!$N50=$B$2,月途中入退所情報!$T50,"-")</f>
        <v>-</v>
      </c>
      <c r="AC100" s="84">
        <f>IF($Z100="標準時間",HLOOKUP($Y100,$F$31:$I$54,24,FALSE)-SUM($F$10,$F$21:$F$24,$F$26)-HLOOKUP($Y100,$F$31:$I$54,17,FALSE)+HLOOKUP($Y100,$F$31:$I$56,26,FALSE),IF($Z100="短時間",HLOOKUP($Y100,$J$31:$M$54,24,FALSE)-SUM($F$10,$F$21:$F$24,$F$26)-HLOOKUP($Y100,$J$31:$M$54,17,FALSE)+HLOOKUP($Y100,$J$31:$M$56,26,FALSE),0))+IF(AA100="○",加算と減算!$AH$3,0)</f>
        <v>0</v>
      </c>
      <c r="AD100" s="85">
        <f t="shared" si="55"/>
        <v>0</v>
      </c>
      <c r="AE100" s="262">
        <f t="shared" si="56"/>
        <v>0</v>
      </c>
    </row>
    <row r="101" spans="15:31">
      <c r="T101" s="86" t="s">
        <v>36</v>
      </c>
      <c r="U101" s="85">
        <f>SUM(U81:U100)</f>
        <v>0</v>
      </c>
      <c r="V101" s="262">
        <f>SUM(V81:V100)</f>
        <v>0</v>
      </c>
      <c r="W101" s="262"/>
      <c r="AC101" s="86" t="s">
        <v>36</v>
      </c>
      <c r="AD101" s="85">
        <f>SUM(AD81:AD100)</f>
        <v>0</v>
      </c>
      <c r="AE101" s="264">
        <f>SUM(AE81:AE100)</f>
        <v>0</v>
      </c>
    </row>
  </sheetData>
  <mergeCells count="89">
    <mergeCell ref="B2:D2"/>
    <mergeCell ref="B4:B27"/>
    <mergeCell ref="C4:D5"/>
    <mergeCell ref="E4:E5"/>
    <mergeCell ref="F4:I4"/>
    <mergeCell ref="C17:C20"/>
    <mergeCell ref="C21:C26"/>
    <mergeCell ref="D15:D16"/>
    <mergeCell ref="D17:D18"/>
    <mergeCell ref="C8:C16"/>
    <mergeCell ref="U4:X4"/>
    <mergeCell ref="Y4:Y5"/>
    <mergeCell ref="C6:D7"/>
    <mergeCell ref="D8:D9"/>
    <mergeCell ref="D11:D12"/>
    <mergeCell ref="J4:M4"/>
    <mergeCell ref="O4:O11"/>
    <mergeCell ref="P4:P5"/>
    <mergeCell ref="Q4:T4"/>
    <mergeCell ref="O13:O20"/>
    <mergeCell ref="P13:P14"/>
    <mergeCell ref="Q13:T13"/>
    <mergeCell ref="U13:X13"/>
    <mergeCell ref="Y13:Y14"/>
    <mergeCell ref="O22:O28"/>
    <mergeCell ref="T22:T28"/>
    <mergeCell ref="C27:D27"/>
    <mergeCell ref="B30:B54"/>
    <mergeCell ref="C30:D31"/>
    <mergeCell ref="E30:E31"/>
    <mergeCell ref="F30:I30"/>
    <mergeCell ref="J30:M30"/>
    <mergeCell ref="O30:O37"/>
    <mergeCell ref="P30:P31"/>
    <mergeCell ref="Q30:T30"/>
    <mergeCell ref="C48:C53"/>
    <mergeCell ref="O48:O54"/>
    <mergeCell ref="T48:T54"/>
    <mergeCell ref="U30:X30"/>
    <mergeCell ref="Y30:Y31"/>
    <mergeCell ref="C32:D33"/>
    <mergeCell ref="C34:C42"/>
    <mergeCell ref="D34:D35"/>
    <mergeCell ref="D37:D38"/>
    <mergeCell ref="O39:O46"/>
    <mergeCell ref="P39:P40"/>
    <mergeCell ref="Q39:T39"/>
    <mergeCell ref="Y39:Y40"/>
    <mergeCell ref="D41:D42"/>
    <mergeCell ref="C43:C47"/>
    <mergeCell ref="D44:D45"/>
    <mergeCell ref="U39:X39"/>
    <mergeCell ref="O79:P79"/>
    <mergeCell ref="X48:Y48"/>
    <mergeCell ref="C54:D54"/>
    <mergeCell ref="O56:P56"/>
    <mergeCell ref="X56:Y56"/>
    <mergeCell ref="F59:I59"/>
    <mergeCell ref="J59:M59"/>
    <mergeCell ref="D61:D62"/>
    <mergeCell ref="D65:D66"/>
    <mergeCell ref="D68:E69"/>
    <mergeCell ref="F69:M69"/>
    <mergeCell ref="AM4:AM27"/>
    <mergeCell ref="AN4:AO5"/>
    <mergeCell ref="AP4:AP5"/>
    <mergeCell ref="AN6:AO7"/>
    <mergeCell ref="AN8:AN16"/>
    <mergeCell ref="AO8:AO9"/>
    <mergeCell ref="AO11:AO12"/>
    <mergeCell ref="AO15:AO16"/>
    <mergeCell ref="AN17:AN20"/>
    <mergeCell ref="AO17:AO18"/>
    <mergeCell ref="AN21:AN26"/>
    <mergeCell ref="AN27:AO27"/>
    <mergeCell ref="AN55:AO55"/>
    <mergeCell ref="AN28:AO28"/>
    <mergeCell ref="AM30:AM54"/>
    <mergeCell ref="AN30:AO31"/>
    <mergeCell ref="AP30:AP31"/>
    <mergeCell ref="AN32:AO33"/>
    <mergeCell ref="AN34:AN42"/>
    <mergeCell ref="AO34:AO35"/>
    <mergeCell ref="AO37:AO38"/>
    <mergeCell ref="AO41:AO42"/>
    <mergeCell ref="AN43:AN47"/>
    <mergeCell ref="AO44:AO45"/>
    <mergeCell ref="AN48:AN53"/>
    <mergeCell ref="AN54:AO54"/>
  </mergeCells>
  <phoneticPr fontId="2"/>
  <pageMargins left="0.7" right="0.7" top="0.75" bottom="0.75" header="0.3" footer="0.3"/>
  <pageSetup paperSize="9" orientation="portrait" horizont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22F20-82DE-4A1F-B617-6CE4DF35F89A}">
  <sheetPr>
    <tabColor theme="0" tint="-0.499984740745262"/>
  </sheetPr>
  <dimension ref="B1:AQ107"/>
  <sheetViews>
    <sheetView view="pageBreakPreview" topLeftCell="O1" zoomScale="85" zoomScaleNormal="70" zoomScaleSheetLayoutView="85" workbookViewId="0">
      <pane ySplit="5" topLeftCell="A6" activePane="bottomLeft" state="frozen"/>
      <selection activeCell="V65" sqref="V65"/>
      <selection pane="bottomLeft" activeCell="Y87" sqref="Y87"/>
    </sheetView>
  </sheetViews>
  <sheetFormatPr defaultColWidth="8.75" defaultRowHeight="15"/>
  <cols>
    <col min="1" max="1" width="1" style="2" customWidth="1"/>
    <col min="2" max="3" width="2.75" style="2" customWidth="1"/>
    <col min="4" max="4" width="17.625" style="1" customWidth="1"/>
    <col min="5" max="5" width="8.25" style="57" customWidth="1"/>
    <col min="6" max="13" width="7.25" style="2" customWidth="1"/>
    <col min="14" max="14" width="1" style="2" customWidth="1"/>
    <col min="15" max="16" width="8.625" style="2" customWidth="1"/>
    <col min="17" max="25" width="9.75" style="2" customWidth="1"/>
    <col min="26" max="27" width="8.75" style="2" customWidth="1"/>
    <col min="28" max="31" width="8.875" style="2" customWidth="1"/>
    <col min="32" max="38" width="8.75" style="2"/>
    <col min="39" max="39" width="4.375" style="2" bestFit="1" customWidth="1"/>
    <col min="40" max="40" width="3.625" style="2" bestFit="1" customWidth="1"/>
    <col min="41" max="41" width="15.5" style="2" bestFit="1" customWidth="1"/>
    <col min="42" max="42" width="8.75" style="2"/>
    <col min="43" max="43" width="8.75" style="264" customWidth="1"/>
    <col min="44" max="16384" width="8.75" style="2"/>
  </cols>
  <sheetData>
    <row r="1" spans="2:43" ht="4.9000000000000004" customHeight="1" thickBot="1">
      <c r="F1" s="57"/>
      <c r="G1" s="57"/>
      <c r="H1" s="57"/>
      <c r="I1" s="57"/>
      <c r="J1" s="57"/>
      <c r="K1" s="57"/>
      <c r="L1" s="57"/>
      <c r="M1" s="57"/>
    </row>
    <row r="2" spans="2:43" ht="15.75" thickBot="1">
      <c r="B2" s="1450">
        <v>3</v>
      </c>
      <c r="C2" s="1451"/>
      <c r="D2" s="1452"/>
      <c r="E2" s="2"/>
      <c r="F2" s="55" t="s">
        <v>183</v>
      </c>
      <c r="G2" s="72">
        <f>児童数!O19</f>
        <v>0</v>
      </c>
      <c r="H2" s="73" t="s">
        <v>184</v>
      </c>
      <c r="I2" s="72">
        <f>児童数!AB19</f>
        <v>0</v>
      </c>
      <c r="J2" s="73" t="s">
        <v>182</v>
      </c>
      <c r="K2" s="72">
        <f>G2+I2</f>
        <v>0</v>
      </c>
      <c r="L2" s="62"/>
      <c r="N2" s="1"/>
      <c r="O2" s="55" t="s">
        <v>192</v>
      </c>
      <c r="P2" s="78">
        <f>IF(基本情報!E5="",0,基本情報!G10)</f>
        <v>0</v>
      </c>
      <c r="Q2" s="77" t="s">
        <v>11</v>
      </c>
      <c r="R2" s="55" t="s">
        <v>202</v>
      </c>
      <c r="S2" s="257">
        <f>IF(基本情報!E12="１日",単価表!BB11,IF(基本情報!E12="２日",単価表!BC11,IF(基本情報!E12="３日",単価表!BD11,IF(基本情報!E12="全て",単価表!BE11,0))))*100</f>
        <v>0</v>
      </c>
      <c r="T2" s="258">
        <f>IF(基本情報!E12="１日",単価表!BB27,IF(基本情報!E12="２日",単価表!BC27,IF(基本情報!E12="３日",単価表!BD27,IF(基本情報!E12="全て",単価表!BE27,0))))*100</f>
        <v>0</v>
      </c>
      <c r="U2" s="55" t="s">
        <v>198</v>
      </c>
      <c r="V2" s="257">
        <f>IF(基本情報!E14="該当",定員超過減算率!C2,0)</f>
        <v>0</v>
      </c>
      <c r="W2" s="258">
        <f>IF(基本情報!E14="該当",定員超過減算率!C3,0)</f>
        <v>0</v>
      </c>
      <c r="X2" s="55"/>
      <c r="Y2" s="55"/>
      <c r="AC2" s="1" t="s">
        <v>206</v>
      </c>
      <c r="AD2" s="1" t="s">
        <v>207</v>
      </c>
    </row>
    <row r="3" spans="2:43" ht="6" customHeight="1">
      <c r="K3" s="1"/>
    </row>
    <row r="4" spans="2:43" ht="15" customHeight="1">
      <c r="B4" s="1426" t="s">
        <v>181</v>
      </c>
      <c r="C4" s="1429"/>
      <c r="D4" s="1429"/>
      <c r="E4" s="1416" t="s">
        <v>172</v>
      </c>
      <c r="F4" s="1418" t="s">
        <v>15</v>
      </c>
      <c r="G4" s="1418"/>
      <c r="H4" s="1418"/>
      <c r="I4" s="1418"/>
      <c r="J4" s="1418" t="s">
        <v>16</v>
      </c>
      <c r="K4" s="1418"/>
      <c r="L4" s="1418"/>
      <c r="M4" s="1418"/>
      <c r="O4" s="1449" t="s">
        <v>40</v>
      </c>
      <c r="P4" s="1446" t="s">
        <v>171</v>
      </c>
      <c r="Q4" s="1440" t="s">
        <v>15</v>
      </c>
      <c r="R4" s="1440"/>
      <c r="S4" s="1440"/>
      <c r="T4" s="1440"/>
      <c r="U4" s="1440" t="s">
        <v>16</v>
      </c>
      <c r="V4" s="1440"/>
      <c r="W4" s="1440"/>
      <c r="X4" s="1440"/>
      <c r="Y4" s="1441" t="s">
        <v>177</v>
      </c>
      <c r="Z4" s="11"/>
      <c r="AA4" s="1"/>
      <c r="AM4" s="1426" t="s">
        <v>181</v>
      </c>
      <c r="AN4" s="1429"/>
      <c r="AO4" s="1429"/>
      <c r="AP4" s="1416" t="s">
        <v>172</v>
      </c>
      <c r="AQ4" s="85"/>
    </row>
    <row r="5" spans="2:43" s="1" customFormat="1">
      <c r="B5" s="1427"/>
      <c r="C5" s="1429"/>
      <c r="D5" s="1429"/>
      <c r="E5" s="1417"/>
      <c r="F5" s="370" t="s">
        <v>6</v>
      </c>
      <c r="G5" s="370" t="s">
        <v>7</v>
      </c>
      <c r="H5" s="370" t="s">
        <v>8</v>
      </c>
      <c r="I5" s="370" t="s">
        <v>9</v>
      </c>
      <c r="J5" s="370" t="s">
        <v>6</v>
      </c>
      <c r="K5" s="370" t="s">
        <v>7</v>
      </c>
      <c r="L5" s="370" t="s">
        <v>8</v>
      </c>
      <c r="M5" s="370" t="s">
        <v>9</v>
      </c>
      <c r="O5" s="1444"/>
      <c r="P5" s="1446"/>
      <c r="Q5" s="368" t="s">
        <v>6</v>
      </c>
      <c r="R5" s="368" t="s">
        <v>7</v>
      </c>
      <c r="S5" s="368" t="s">
        <v>8</v>
      </c>
      <c r="T5" s="368" t="s">
        <v>9</v>
      </c>
      <c r="U5" s="368" t="s">
        <v>6</v>
      </c>
      <c r="V5" s="368" t="s">
        <v>7</v>
      </c>
      <c r="W5" s="368" t="s">
        <v>8</v>
      </c>
      <c r="X5" s="368" t="s">
        <v>9</v>
      </c>
      <c r="Y5" s="1442"/>
      <c r="Z5" s="11"/>
      <c r="AC5" s="1" t="s">
        <v>6</v>
      </c>
      <c r="AD5" s="1" t="s">
        <v>212</v>
      </c>
      <c r="AM5" s="1427"/>
      <c r="AN5" s="1429"/>
      <c r="AO5" s="1429"/>
      <c r="AP5" s="1417"/>
      <c r="AQ5" s="85"/>
    </row>
    <row r="6" spans="2:43" s="1" customFormat="1">
      <c r="B6" s="1427"/>
      <c r="C6" s="1418" t="s">
        <v>17</v>
      </c>
      <c r="D6" s="1418"/>
      <c r="E6" s="53" t="s">
        <v>169</v>
      </c>
      <c r="F6" s="3" t="e">
        <f>単価表!AV7</f>
        <v>#VALUE!</v>
      </c>
      <c r="G6" s="3" t="e">
        <f>単価表!AV9</f>
        <v>#VALUE!</v>
      </c>
      <c r="H6" s="3" t="e">
        <f>単価表!AV11</f>
        <v>#VALUE!</v>
      </c>
      <c r="I6" s="3" t="e">
        <f>単価表!AV13</f>
        <v>#VALUE!</v>
      </c>
      <c r="J6" s="3" t="e">
        <f>単価表!AW7</f>
        <v>#VALUE!</v>
      </c>
      <c r="K6" s="3" t="e">
        <f>単価表!AW9</f>
        <v>#VALUE!</v>
      </c>
      <c r="L6" s="3" t="e">
        <f>単価表!AW11</f>
        <v>#VALUE!</v>
      </c>
      <c r="M6" s="3" t="e">
        <f>単価表!AW13</f>
        <v>#VALUE!</v>
      </c>
      <c r="O6" s="1444"/>
      <c r="P6" s="630">
        <f>基本情報!E17</f>
        <v>0</v>
      </c>
      <c r="Q6" s="3">
        <f>児童数!E33</f>
        <v>0</v>
      </c>
      <c r="R6" s="3">
        <f>児童数!F33</f>
        <v>0</v>
      </c>
      <c r="S6" s="3">
        <f>児童数!G33</f>
        <v>0</v>
      </c>
      <c r="T6" s="3">
        <f>児童数!H33</f>
        <v>0</v>
      </c>
      <c r="U6" s="3">
        <f>児童数!J33</f>
        <v>0</v>
      </c>
      <c r="V6" s="3">
        <f>児童数!K33</f>
        <v>0</v>
      </c>
      <c r="W6" s="3">
        <f>児童数!L33</f>
        <v>0</v>
      </c>
      <c r="X6" s="3">
        <f>児童数!M33</f>
        <v>0</v>
      </c>
      <c r="Y6" s="64">
        <f>SUM(Q6:X6)</f>
        <v>0</v>
      </c>
      <c r="Z6" s="2"/>
      <c r="AC6" s="1" t="s">
        <v>7</v>
      </c>
      <c r="AD6" s="1" t="s">
        <v>16</v>
      </c>
      <c r="AM6" s="1427"/>
      <c r="AN6" s="1418" t="s">
        <v>17</v>
      </c>
      <c r="AO6" s="1418"/>
      <c r="AP6" s="53" t="s">
        <v>169</v>
      </c>
      <c r="AQ6" s="85" t="e">
        <f>SUMPRODUCT(F6:M6,$Q$11:$X$11)</f>
        <v>#VALUE!</v>
      </c>
    </row>
    <row r="7" spans="2:43" s="1" customFormat="1">
      <c r="B7" s="1427"/>
      <c r="C7" s="1418"/>
      <c r="D7" s="1418"/>
      <c r="E7" s="53" t="s">
        <v>167</v>
      </c>
      <c r="F7" s="3" t="e">
        <f>単価表!AX7*基本情報!G7</f>
        <v>#VALUE!</v>
      </c>
      <c r="G7" s="3" t="e">
        <f>単価表!AX9*基本情報!G7</f>
        <v>#VALUE!</v>
      </c>
      <c r="H7" s="3" t="e">
        <f>単価表!AX11*基本情報!G7</f>
        <v>#VALUE!</v>
      </c>
      <c r="I7" s="3" t="e">
        <f>単価表!AX13*基本情報!G7</f>
        <v>#VALUE!</v>
      </c>
      <c r="J7" s="3" t="e">
        <f>単価表!AY7*基本情報!G7</f>
        <v>#VALUE!</v>
      </c>
      <c r="K7" s="3" t="e">
        <f>単価表!AY9*基本情報!G7</f>
        <v>#VALUE!</v>
      </c>
      <c r="L7" s="3" t="e">
        <f>単価表!AY11*基本情報!G7</f>
        <v>#VALUE!</v>
      </c>
      <c r="M7" s="3" t="e">
        <f>単価表!AY13*基本情報!G7</f>
        <v>#VALUE!</v>
      </c>
      <c r="O7" s="1444"/>
      <c r="P7" s="631">
        <f>基本情報!E18</f>
        <v>0</v>
      </c>
      <c r="Q7" s="3">
        <f>児童数!E47</f>
        <v>0</v>
      </c>
      <c r="R7" s="3">
        <f>児童数!F47</f>
        <v>0</v>
      </c>
      <c r="S7" s="3">
        <f>児童数!G47</f>
        <v>0</v>
      </c>
      <c r="T7" s="3">
        <f>児童数!H47</f>
        <v>0</v>
      </c>
      <c r="U7" s="3">
        <f>児童数!J47</f>
        <v>0</v>
      </c>
      <c r="V7" s="3">
        <f>児童数!K47</f>
        <v>0</v>
      </c>
      <c r="W7" s="3">
        <f>児童数!L47</f>
        <v>0</v>
      </c>
      <c r="X7" s="3">
        <f>児童数!M47</f>
        <v>0</v>
      </c>
      <c r="Y7" s="64">
        <f t="shared" ref="Y7:Y10" si="0">SUM(Q7:X7)</f>
        <v>0</v>
      </c>
      <c r="Z7" s="2"/>
      <c r="AA7" s="2"/>
      <c r="AC7" s="1" t="s">
        <v>8</v>
      </c>
      <c r="AM7" s="1427"/>
      <c r="AN7" s="1418"/>
      <c r="AO7" s="1418"/>
      <c r="AP7" s="53" t="s">
        <v>167</v>
      </c>
      <c r="AQ7" s="85" t="e">
        <f t="shared" ref="AQ7:AQ32" si="1">SUMPRODUCT(F7:M7,$Q$11:$X$11)</f>
        <v>#VALUE!</v>
      </c>
    </row>
    <row r="8" spans="2:43" ht="15" customHeight="1">
      <c r="B8" s="1427"/>
      <c r="C8" s="1419" t="s">
        <v>203</v>
      </c>
      <c r="D8" s="1422" t="s">
        <v>37</v>
      </c>
      <c r="E8" s="53" t="s">
        <v>169</v>
      </c>
      <c r="F8" s="6"/>
      <c r="G8" s="3">
        <f>IF(加算と減算!P5="○",単価表!AV41,0)</f>
        <v>0</v>
      </c>
      <c r="H8" s="6"/>
      <c r="I8" s="6"/>
      <c r="J8" s="6"/>
      <c r="K8" s="3">
        <f>G8</f>
        <v>0</v>
      </c>
      <c r="L8" s="6"/>
      <c r="M8" s="6"/>
      <c r="O8" s="1444"/>
      <c r="P8" s="632">
        <f>基本情報!E19</f>
        <v>0</v>
      </c>
      <c r="Q8" s="3">
        <f>児童数!E61</f>
        <v>0</v>
      </c>
      <c r="R8" s="3">
        <f>児童数!F61</f>
        <v>0</v>
      </c>
      <c r="S8" s="3">
        <f>児童数!G61</f>
        <v>0</v>
      </c>
      <c r="T8" s="3">
        <f>児童数!H61</f>
        <v>0</v>
      </c>
      <c r="U8" s="3">
        <f>児童数!J61</f>
        <v>0</v>
      </c>
      <c r="V8" s="3">
        <f>児童数!K61</f>
        <v>0</v>
      </c>
      <c r="W8" s="3">
        <f>児童数!L61</f>
        <v>0</v>
      </c>
      <c r="X8" s="3">
        <f>児童数!M61</f>
        <v>0</v>
      </c>
      <c r="Y8" s="64">
        <f t="shared" si="0"/>
        <v>0</v>
      </c>
      <c r="AC8" s="1" t="s">
        <v>9</v>
      </c>
      <c r="AM8" s="1427"/>
      <c r="AN8" s="1419" t="s">
        <v>203</v>
      </c>
      <c r="AO8" s="1422" t="s">
        <v>37</v>
      </c>
      <c r="AP8" s="732" t="s">
        <v>559</v>
      </c>
      <c r="AQ8" s="85">
        <f t="shared" si="1"/>
        <v>0</v>
      </c>
    </row>
    <row r="9" spans="2:43">
      <c r="B9" s="1427"/>
      <c r="C9" s="1420"/>
      <c r="D9" s="1422"/>
      <c r="E9" s="53" t="s">
        <v>167</v>
      </c>
      <c r="F9" s="6"/>
      <c r="G9" s="3">
        <f>IF(加算と減算!P5="○",単価表!AW41*基本情報!G7,0)</f>
        <v>0</v>
      </c>
      <c r="H9" s="6"/>
      <c r="I9" s="6"/>
      <c r="J9" s="6"/>
      <c r="K9" s="3">
        <f>G9</f>
        <v>0</v>
      </c>
      <c r="L9" s="6"/>
      <c r="M9" s="6"/>
      <c r="O9" s="1444"/>
      <c r="P9" s="633">
        <f>基本情報!E20</f>
        <v>0</v>
      </c>
      <c r="Q9" s="3">
        <f>児童数!E75</f>
        <v>0</v>
      </c>
      <c r="R9" s="3">
        <f>児童数!F75</f>
        <v>0</v>
      </c>
      <c r="S9" s="3">
        <f>児童数!G75</f>
        <v>0</v>
      </c>
      <c r="T9" s="3">
        <f>児童数!H75</f>
        <v>0</v>
      </c>
      <c r="U9" s="3">
        <f>児童数!J75</f>
        <v>0</v>
      </c>
      <c r="V9" s="3">
        <f>児童数!K75</f>
        <v>0</v>
      </c>
      <c r="W9" s="3">
        <f>児童数!L75</f>
        <v>0</v>
      </c>
      <c r="X9" s="3">
        <f>児童数!M75</f>
        <v>0</v>
      </c>
      <c r="Y9" s="64">
        <f t="shared" si="0"/>
        <v>0</v>
      </c>
      <c r="AM9" s="1427"/>
      <c r="AN9" s="1420"/>
      <c r="AO9" s="1422"/>
      <c r="AP9" s="53" t="s">
        <v>167</v>
      </c>
      <c r="AQ9" s="85">
        <f t="shared" si="1"/>
        <v>0</v>
      </c>
    </row>
    <row r="10" spans="2:43">
      <c r="B10" s="1427"/>
      <c r="C10" s="1420"/>
      <c r="D10" s="383" t="s">
        <v>69</v>
      </c>
      <c r="E10" s="60"/>
      <c r="F10" s="3">
        <f>IF(K2=0,0,IF(加算と減算!P6="○",ROUNDDOWN((加算と減算!W6+(加算と減算!X6*基本情報!G7))/'3月'!K2,-1),0))</f>
        <v>0</v>
      </c>
      <c r="G10" s="3">
        <f t="shared" ref="G10:G18" si="2">F10</f>
        <v>0</v>
      </c>
      <c r="H10" s="3">
        <f>F10</f>
        <v>0</v>
      </c>
      <c r="I10" s="3">
        <f>F10</f>
        <v>0</v>
      </c>
      <c r="J10" s="3">
        <f t="shared" ref="J10:J18" si="3">F10</f>
        <v>0</v>
      </c>
      <c r="K10" s="3">
        <f t="shared" ref="K10:K18" si="4">F10</f>
        <v>0</v>
      </c>
      <c r="L10" s="3">
        <f>F10</f>
        <v>0</v>
      </c>
      <c r="M10" s="3">
        <f>F10</f>
        <v>0</v>
      </c>
      <c r="O10" s="1444"/>
      <c r="P10" s="634">
        <f>基本情報!E21</f>
        <v>0</v>
      </c>
      <c r="Q10" s="3">
        <f>児童数!E89</f>
        <v>0</v>
      </c>
      <c r="R10" s="3">
        <f>児童数!F89</f>
        <v>0</v>
      </c>
      <c r="S10" s="3">
        <f>児童数!G89</f>
        <v>0</v>
      </c>
      <c r="T10" s="3">
        <f>児童数!H89</f>
        <v>0</v>
      </c>
      <c r="U10" s="3">
        <f>児童数!J89</f>
        <v>0</v>
      </c>
      <c r="V10" s="3">
        <f>児童数!K89</f>
        <v>0</v>
      </c>
      <c r="W10" s="3">
        <f>児童数!L89</f>
        <v>0</v>
      </c>
      <c r="X10" s="3">
        <f>児童数!M89</f>
        <v>0</v>
      </c>
      <c r="Y10" s="64">
        <f t="shared" si="0"/>
        <v>0</v>
      </c>
      <c r="AM10" s="1427"/>
      <c r="AN10" s="1420"/>
      <c r="AO10" s="383" t="s">
        <v>69</v>
      </c>
      <c r="AP10" s="629"/>
      <c r="AQ10" s="85">
        <f t="shared" si="1"/>
        <v>0</v>
      </c>
    </row>
    <row r="11" spans="2:43">
      <c r="B11" s="1427"/>
      <c r="C11" s="1420"/>
      <c r="D11" s="1422" t="s">
        <v>161</v>
      </c>
      <c r="E11" s="53" t="s">
        <v>169</v>
      </c>
      <c r="F11" s="3">
        <f>IFERROR(IF(加算と減算!P7="○",単価表!AZ39,0),0)</f>
        <v>0</v>
      </c>
      <c r="G11" s="3">
        <f t="shared" si="2"/>
        <v>0</v>
      </c>
      <c r="H11" s="3">
        <f>IFERROR(IF(加算と減算!P7="○",単価表!AZ43,0),0)</f>
        <v>0</v>
      </c>
      <c r="I11" s="3">
        <f>H11</f>
        <v>0</v>
      </c>
      <c r="J11" s="3">
        <f t="shared" si="3"/>
        <v>0</v>
      </c>
      <c r="K11" s="3">
        <f t="shared" si="4"/>
        <v>0</v>
      </c>
      <c r="L11" s="3">
        <f>H11</f>
        <v>0</v>
      </c>
      <c r="M11" s="3">
        <f>H11</f>
        <v>0</v>
      </c>
      <c r="O11" s="1445"/>
      <c r="P11" s="635" t="s">
        <v>36</v>
      </c>
      <c r="Q11" s="3">
        <f>SUM(Q6:Q10)</f>
        <v>0</v>
      </c>
      <c r="R11" s="3">
        <f t="shared" ref="R11:Y11" si="5">SUM(R6:R10)</f>
        <v>0</v>
      </c>
      <c r="S11" s="3">
        <f t="shared" si="5"/>
        <v>0</v>
      </c>
      <c r="T11" s="3">
        <f t="shared" si="5"/>
        <v>0</v>
      </c>
      <c r="U11" s="3">
        <f t="shared" si="5"/>
        <v>0</v>
      </c>
      <c r="V11" s="3">
        <f t="shared" si="5"/>
        <v>0</v>
      </c>
      <c r="W11" s="3">
        <f t="shared" si="5"/>
        <v>0</v>
      </c>
      <c r="X11" s="3">
        <f t="shared" si="5"/>
        <v>0</v>
      </c>
      <c r="Y11" s="3">
        <f t="shared" si="5"/>
        <v>0</v>
      </c>
      <c r="Z11" s="55" t="s">
        <v>176</v>
      </c>
      <c r="AA11" s="71" t="str">
        <f>IF(SUM(Q11:X11)=G2,"OK",SUM(Q11:X11)-K2)</f>
        <v>OK</v>
      </c>
      <c r="AB11" s="62"/>
      <c r="AM11" s="1427"/>
      <c r="AN11" s="1420"/>
      <c r="AO11" s="1422" t="s">
        <v>161</v>
      </c>
      <c r="AP11" s="53" t="s">
        <v>169</v>
      </c>
      <c r="AQ11" s="85">
        <f t="shared" si="1"/>
        <v>0</v>
      </c>
    </row>
    <row r="12" spans="2:43" ht="15" customHeight="1">
      <c r="B12" s="1427"/>
      <c r="C12" s="1420"/>
      <c r="D12" s="1422"/>
      <c r="E12" s="53" t="s">
        <v>167</v>
      </c>
      <c r="F12" s="3">
        <f>IFERROR(IF(加算と減算!P7="○",単価表!BA39*基本情報!G7,0),0)</f>
        <v>0</v>
      </c>
      <c r="G12" s="3">
        <f t="shared" si="2"/>
        <v>0</v>
      </c>
      <c r="H12" s="3">
        <f>IFERROR(IF(加算と減算!P7="○",単価表!BA43*基本情報!G7,0),0)</f>
        <v>0</v>
      </c>
      <c r="I12" s="3">
        <f>H12</f>
        <v>0</v>
      </c>
      <c r="J12" s="3">
        <f t="shared" si="3"/>
        <v>0</v>
      </c>
      <c r="K12" s="3">
        <f t="shared" si="4"/>
        <v>0</v>
      </c>
      <c r="L12" s="3">
        <f>H12</f>
        <v>0</v>
      </c>
      <c r="M12" s="3">
        <f>H12</f>
        <v>0</v>
      </c>
      <c r="O12" s="75"/>
      <c r="P12" s="636"/>
      <c r="Q12" s="54"/>
      <c r="R12" s="54"/>
      <c r="S12" s="54"/>
      <c r="T12" s="54"/>
      <c r="U12" s="54"/>
      <c r="V12" s="54"/>
      <c r="W12" s="54"/>
      <c r="X12" s="54"/>
      <c r="Y12" s="54"/>
      <c r="AA12" s="62"/>
      <c r="AB12" s="62"/>
      <c r="AM12" s="1427"/>
      <c r="AN12" s="1420"/>
      <c r="AO12" s="1422"/>
      <c r="AP12" s="53" t="s">
        <v>167</v>
      </c>
      <c r="AQ12" s="85">
        <f t="shared" si="1"/>
        <v>0</v>
      </c>
    </row>
    <row r="13" spans="2:43" ht="16.5">
      <c r="B13" s="1427"/>
      <c r="C13" s="1420"/>
      <c r="D13" s="366" t="s">
        <v>162</v>
      </c>
      <c r="E13" s="59"/>
      <c r="F13" s="3">
        <f>IF(加算と減算!P8="○",加算と減算!R8,0)</f>
        <v>0</v>
      </c>
      <c r="G13" s="3">
        <f t="shared" si="2"/>
        <v>0</v>
      </c>
      <c r="H13" s="3">
        <f t="shared" ref="H13:H18" si="6">F13</f>
        <v>0</v>
      </c>
      <c r="I13" s="3">
        <f t="shared" ref="I13:I18" si="7">F13</f>
        <v>0</v>
      </c>
      <c r="J13" s="3">
        <f t="shared" si="3"/>
        <v>0</v>
      </c>
      <c r="K13" s="3">
        <f t="shared" si="4"/>
        <v>0</v>
      </c>
      <c r="L13" s="3">
        <f t="shared" ref="L13:L18" si="8">F13</f>
        <v>0</v>
      </c>
      <c r="M13" s="3">
        <f t="shared" ref="M13:M18" si="9">F13</f>
        <v>0</v>
      </c>
      <c r="O13" s="1443" t="s">
        <v>187</v>
      </c>
      <c r="P13" s="1449" t="s">
        <v>171</v>
      </c>
      <c r="Q13" s="1440" t="s">
        <v>15</v>
      </c>
      <c r="R13" s="1440"/>
      <c r="S13" s="1440"/>
      <c r="T13" s="1440"/>
      <c r="U13" s="1440" t="s">
        <v>16</v>
      </c>
      <c r="V13" s="1440"/>
      <c r="W13" s="1440"/>
      <c r="X13" s="1440"/>
      <c r="Y13" s="1449" t="s">
        <v>177</v>
      </c>
      <c r="AA13" s="62"/>
      <c r="AB13" s="62"/>
      <c r="AM13" s="1427"/>
      <c r="AN13" s="1420"/>
      <c r="AO13" s="720" t="s">
        <v>162</v>
      </c>
      <c r="AP13" s="731" t="s">
        <v>353</v>
      </c>
      <c r="AQ13" s="85">
        <f t="shared" si="1"/>
        <v>0</v>
      </c>
    </row>
    <row r="14" spans="2:43" ht="16.5">
      <c r="B14" s="1427"/>
      <c r="C14" s="1420"/>
      <c r="D14" s="366" t="s">
        <v>54</v>
      </c>
      <c r="E14" s="59"/>
      <c r="F14" s="3">
        <f>IF(加算と減算!P9="○",加算と減算!R9,0)</f>
        <v>0</v>
      </c>
      <c r="G14" s="3">
        <f t="shared" si="2"/>
        <v>0</v>
      </c>
      <c r="H14" s="3">
        <f t="shared" si="6"/>
        <v>0</v>
      </c>
      <c r="I14" s="3">
        <f t="shared" si="7"/>
        <v>0</v>
      </c>
      <c r="J14" s="3">
        <f t="shared" si="3"/>
        <v>0</v>
      </c>
      <c r="K14" s="3">
        <f t="shared" si="4"/>
        <v>0</v>
      </c>
      <c r="L14" s="3">
        <f t="shared" si="8"/>
        <v>0</v>
      </c>
      <c r="M14" s="3">
        <f t="shared" si="9"/>
        <v>0</v>
      </c>
      <c r="O14" s="1447"/>
      <c r="P14" s="1445"/>
      <c r="Q14" s="368" t="s">
        <v>6</v>
      </c>
      <c r="R14" s="368" t="s">
        <v>7</v>
      </c>
      <c r="S14" s="368" t="s">
        <v>8</v>
      </c>
      <c r="T14" s="368" t="s">
        <v>9</v>
      </c>
      <c r="U14" s="368" t="s">
        <v>6</v>
      </c>
      <c r="V14" s="368" t="s">
        <v>7</v>
      </c>
      <c r="W14" s="368" t="s">
        <v>8</v>
      </c>
      <c r="X14" s="368" t="s">
        <v>9</v>
      </c>
      <c r="Y14" s="1445"/>
      <c r="AA14" s="62"/>
      <c r="AB14" s="62"/>
      <c r="AM14" s="1427"/>
      <c r="AN14" s="1420"/>
      <c r="AO14" s="720" t="s">
        <v>54</v>
      </c>
      <c r="AP14" s="731" t="s">
        <v>353</v>
      </c>
      <c r="AQ14" s="85">
        <f t="shared" si="1"/>
        <v>0</v>
      </c>
    </row>
    <row r="15" spans="2:43" ht="16.5">
      <c r="B15" s="1427"/>
      <c r="C15" s="1420"/>
      <c r="D15" s="1422" t="s">
        <v>38</v>
      </c>
      <c r="E15" s="53" t="s">
        <v>169</v>
      </c>
      <c r="F15" s="3">
        <f>IF(加算と減算!P10="○",加算と減算!W10,0)</f>
        <v>0</v>
      </c>
      <c r="G15" s="3">
        <f t="shared" si="2"/>
        <v>0</v>
      </c>
      <c r="H15" s="3">
        <f t="shared" si="6"/>
        <v>0</v>
      </c>
      <c r="I15" s="3">
        <f t="shared" si="7"/>
        <v>0</v>
      </c>
      <c r="J15" s="3">
        <f t="shared" si="3"/>
        <v>0</v>
      </c>
      <c r="K15" s="3">
        <f t="shared" si="4"/>
        <v>0</v>
      </c>
      <c r="L15" s="3">
        <f t="shared" si="8"/>
        <v>0</v>
      </c>
      <c r="M15" s="3">
        <f t="shared" si="9"/>
        <v>0</v>
      </c>
      <c r="O15" s="1447"/>
      <c r="P15" s="630">
        <f>P6</f>
        <v>0</v>
      </c>
      <c r="Q15" s="3" t="e">
        <f t="shared" ref="Q15:X15" si="10">F33*Q6</f>
        <v>#VALUE!</v>
      </c>
      <c r="R15" s="3" t="e">
        <f t="shared" si="10"/>
        <v>#VALUE!</v>
      </c>
      <c r="S15" s="3" t="e">
        <f t="shared" si="10"/>
        <v>#VALUE!</v>
      </c>
      <c r="T15" s="3" t="e">
        <f t="shared" si="10"/>
        <v>#VALUE!</v>
      </c>
      <c r="U15" s="3" t="e">
        <f t="shared" si="10"/>
        <v>#VALUE!</v>
      </c>
      <c r="V15" s="3" t="e">
        <f t="shared" si="10"/>
        <v>#VALUE!</v>
      </c>
      <c r="W15" s="3" t="e">
        <f t="shared" si="10"/>
        <v>#VALUE!</v>
      </c>
      <c r="X15" s="3" t="e">
        <f t="shared" si="10"/>
        <v>#VALUE!</v>
      </c>
      <c r="Y15" s="3" t="e">
        <f>SUM(Q15:X15)</f>
        <v>#VALUE!</v>
      </c>
      <c r="AA15" s="62"/>
      <c r="AB15" s="62"/>
      <c r="AM15" s="1427"/>
      <c r="AN15" s="1420"/>
      <c r="AO15" s="1422" t="s">
        <v>38</v>
      </c>
      <c r="AP15" s="732" t="s">
        <v>559</v>
      </c>
      <c r="AQ15" s="85">
        <f t="shared" si="1"/>
        <v>0</v>
      </c>
    </row>
    <row r="16" spans="2:43">
      <c r="B16" s="1427"/>
      <c r="C16" s="1421"/>
      <c r="D16" s="1422"/>
      <c r="E16" s="53" t="s">
        <v>167</v>
      </c>
      <c r="F16" s="3">
        <f>IF(加算と減算!P10="○",加算と減算!X10*基本情報!G7,0)</f>
        <v>0</v>
      </c>
      <c r="G16" s="3">
        <f t="shared" si="2"/>
        <v>0</v>
      </c>
      <c r="H16" s="3">
        <f t="shared" si="6"/>
        <v>0</v>
      </c>
      <c r="I16" s="3">
        <f t="shared" si="7"/>
        <v>0</v>
      </c>
      <c r="J16" s="3">
        <f t="shared" si="3"/>
        <v>0</v>
      </c>
      <c r="K16" s="3">
        <f t="shared" si="4"/>
        <v>0</v>
      </c>
      <c r="L16" s="3">
        <f t="shared" si="8"/>
        <v>0</v>
      </c>
      <c r="M16" s="3">
        <f t="shared" si="9"/>
        <v>0</v>
      </c>
      <c r="O16" s="1447"/>
      <c r="P16" s="631">
        <f>P7</f>
        <v>0</v>
      </c>
      <c r="Q16" s="3" t="e">
        <f t="shared" ref="Q16:X16" si="11">F33*Q7</f>
        <v>#VALUE!</v>
      </c>
      <c r="R16" s="3" t="e">
        <f t="shared" si="11"/>
        <v>#VALUE!</v>
      </c>
      <c r="S16" s="3" t="e">
        <f t="shared" si="11"/>
        <v>#VALUE!</v>
      </c>
      <c r="T16" s="3" t="e">
        <f t="shared" si="11"/>
        <v>#VALUE!</v>
      </c>
      <c r="U16" s="3" t="e">
        <f t="shared" si="11"/>
        <v>#VALUE!</v>
      </c>
      <c r="V16" s="3" t="e">
        <f t="shared" si="11"/>
        <v>#VALUE!</v>
      </c>
      <c r="W16" s="3" t="e">
        <f t="shared" si="11"/>
        <v>#VALUE!</v>
      </c>
      <c r="X16" s="3" t="e">
        <f t="shared" si="11"/>
        <v>#VALUE!</v>
      </c>
      <c r="Y16" s="3" t="e">
        <f t="shared" ref="Y16:Y19" si="12">SUM(Q16:X16)</f>
        <v>#VALUE!</v>
      </c>
      <c r="AA16" s="62"/>
      <c r="AB16" s="62"/>
      <c r="AM16" s="1427"/>
      <c r="AN16" s="1421"/>
      <c r="AO16" s="1422"/>
      <c r="AP16" s="53" t="s">
        <v>167</v>
      </c>
      <c r="AQ16" s="85">
        <f t="shared" si="1"/>
        <v>0</v>
      </c>
    </row>
    <row r="17" spans="2:43">
      <c r="B17" s="1427"/>
      <c r="C17" s="1423" t="s">
        <v>205</v>
      </c>
      <c r="D17" s="1424" t="s">
        <v>43</v>
      </c>
      <c r="E17" s="53" t="s">
        <v>169</v>
      </c>
      <c r="F17" s="74">
        <f>-IF(加算と減算!P32="○",単価表!AZ7,0)</f>
        <v>0</v>
      </c>
      <c r="G17" s="74">
        <f t="shared" si="2"/>
        <v>0</v>
      </c>
      <c r="H17" s="74">
        <f t="shared" si="6"/>
        <v>0</v>
      </c>
      <c r="I17" s="74">
        <f t="shared" si="7"/>
        <v>0</v>
      </c>
      <c r="J17" s="74">
        <f t="shared" si="3"/>
        <v>0</v>
      </c>
      <c r="K17" s="74">
        <f t="shared" si="4"/>
        <v>0</v>
      </c>
      <c r="L17" s="74">
        <f t="shared" si="8"/>
        <v>0</v>
      </c>
      <c r="M17" s="74">
        <f t="shared" si="9"/>
        <v>0</v>
      </c>
      <c r="O17" s="1447"/>
      <c r="P17" s="632">
        <f>P8</f>
        <v>0</v>
      </c>
      <c r="Q17" s="3" t="e">
        <f t="shared" ref="Q17:X17" si="13">F33*Q8</f>
        <v>#VALUE!</v>
      </c>
      <c r="R17" s="3" t="e">
        <f t="shared" si="13"/>
        <v>#VALUE!</v>
      </c>
      <c r="S17" s="3" t="e">
        <f t="shared" si="13"/>
        <v>#VALUE!</v>
      </c>
      <c r="T17" s="3" t="e">
        <f t="shared" si="13"/>
        <v>#VALUE!</v>
      </c>
      <c r="U17" s="3" t="e">
        <f t="shared" si="13"/>
        <v>#VALUE!</v>
      </c>
      <c r="V17" s="3" t="e">
        <f t="shared" si="13"/>
        <v>#VALUE!</v>
      </c>
      <c r="W17" s="3" t="e">
        <f t="shared" si="13"/>
        <v>#VALUE!</v>
      </c>
      <c r="X17" s="3" t="e">
        <f t="shared" si="13"/>
        <v>#VALUE!</v>
      </c>
      <c r="Y17" s="3" t="e">
        <f t="shared" si="12"/>
        <v>#VALUE!</v>
      </c>
      <c r="AA17" s="62"/>
      <c r="AB17" s="62"/>
      <c r="AM17" s="1427"/>
      <c r="AN17" s="1423" t="s">
        <v>205</v>
      </c>
      <c r="AO17" s="1424" t="s">
        <v>43</v>
      </c>
      <c r="AP17" s="53" t="s">
        <v>169</v>
      </c>
      <c r="AQ17" s="85">
        <f t="shared" si="1"/>
        <v>0</v>
      </c>
    </row>
    <row r="18" spans="2:43">
      <c r="B18" s="1427"/>
      <c r="C18" s="1423"/>
      <c r="D18" s="1424"/>
      <c r="E18" s="53" t="s">
        <v>167</v>
      </c>
      <c r="F18" s="74">
        <f>-IF(加算と減算!P32="○",単価表!BA7*基本情報!G7,0)</f>
        <v>0</v>
      </c>
      <c r="G18" s="74">
        <f t="shared" si="2"/>
        <v>0</v>
      </c>
      <c r="H18" s="74">
        <f t="shared" si="6"/>
        <v>0</v>
      </c>
      <c r="I18" s="74">
        <f t="shared" si="7"/>
        <v>0</v>
      </c>
      <c r="J18" s="74">
        <f t="shared" si="3"/>
        <v>0</v>
      </c>
      <c r="K18" s="74">
        <f t="shared" si="4"/>
        <v>0</v>
      </c>
      <c r="L18" s="74">
        <f t="shared" si="8"/>
        <v>0</v>
      </c>
      <c r="M18" s="74">
        <f t="shared" si="9"/>
        <v>0</v>
      </c>
      <c r="O18" s="1447"/>
      <c r="P18" s="633">
        <f>P9</f>
        <v>0</v>
      </c>
      <c r="Q18" s="3" t="e">
        <f t="shared" ref="Q18:X18" si="14">F33*Q9</f>
        <v>#VALUE!</v>
      </c>
      <c r="R18" s="3" t="e">
        <f t="shared" si="14"/>
        <v>#VALUE!</v>
      </c>
      <c r="S18" s="3" t="e">
        <f t="shared" si="14"/>
        <v>#VALUE!</v>
      </c>
      <c r="T18" s="3" t="e">
        <f t="shared" si="14"/>
        <v>#VALUE!</v>
      </c>
      <c r="U18" s="3" t="e">
        <f t="shared" si="14"/>
        <v>#VALUE!</v>
      </c>
      <c r="V18" s="3" t="e">
        <f t="shared" si="14"/>
        <v>#VALUE!</v>
      </c>
      <c r="W18" s="3" t="e">
        <f t="shared" si="14"/>
        <v>#VALUE!</v>
      </c>
      <c r="X18" s="3" t="e">
        <f t="shared" si="14"/>
        <v>#VALUE!</v>
      </c>
      <c r="Y18" s="3" t="e">
        <f t="shared" si="12"/>
        <v>#VALUE!</v>
      </c>
      <c r="AA18" s="62"/>
      <c r="AB18" s="62"/>
      <c r="AM18" s="1427"/>
      <c r="AN18" s="1423"/>
      <c r="AO18" s="1424"/>
      <c r="AP18" s="53" t="s">
        <v>167</v>
      </c>
      <c r="AQ18" s="85">
        <f t="shared" si="1"/>
        <v>0</v>
      </c>
    </row>
    <row r="19" spans="2:43">
      <c r="B19" s="1427"/>
      <c r="C19" s="1423"/>
      <c r="D19" s="371" t="s">
        <v>165</v>
      </c>
      <c r="E19" s="60"/>
      <c r="F19" s="74" t="e">
        <f t="shared" ref="F19:M19" si="15">-ROUNDDOWN((F6+F7+F11+F12+F8+F9)*$S$2/100,-1)</f>
        <v>#VALUE!</v>
      </c>
      <c r="G19" s="74" t="e">
        <f t="shared" si="15"/>
        <v>#VALUE!</v>
      </c>
      <c r="H19" s="74" t="e">
        <f t="shared" si="15"/>
        <v>#VALUE!</v>
      </c>
      <c r="I19" s="74" t="e">
        <f t="shared" si="15"/>
        <v>#VALUE!</v>
      </c>
      <c r="J19" s="74" t="e">
        <f t="shared" si="15"/>
        <v>#VALUE!</v>
      </c>
      <c r="K19" s="74" t="e">
        <f t="shared" si="15"/>
        <v>#VALUE!</v>
      </c>
      <c r="L19" s="74" t="e">
        <f t="shared" si="15"/>
        <v>#VALUE!</v>
      </c>
      <c r="M19" s="74" t="e">
        <f t="shared" si="15"/>
        <v>#VALUE!</v>
      </c>
      <c r="O19" s="1447"/>
      <c r="P19" s="634">
        <f>P10</f>
        <v>0</v>
      </c>
      <c r="Q19" s="3" t="e">
        <f t="shared" ref="Q19:X19" si="16">F33*Q10</f>
        <v>#VALUE!</v>
      </c>
      <c r="R19" s="3" t="e">
        <f t="shared" si="16"/>
        <v>#VALUE!</v>
      </c>
      <c r="S19" s="3" t="e">
        <f t="shared" si="16"/>
        <v>#VALUE!</v>
      </c>
      <c r="T19" s="3" t="e">
        <f t="shared" si="16"/>
        <v>#VALUE!</v>
      </c>
      <c r="U19" s="3" t="e">
        <f t="shared" si="16"/>
        <v>#VALUE!</v>
      </c>
      <c r="V19" s="3" t="e">
        <f t="shared" si="16"/>
        <v>#VALUE!</v>
      </c>
      <c r="W19" s="3" t="e">
        <f t="shared" si="16"/>
        <v>#VALUE!</v>
      </c>
      <c r="X19" s="3" t="e">
        <f t="shared" si="16"/>
        <v>#VALUE!</v>
      </c>
      <c r="Y19" s="3" t="e">
        <f t="shared" si="12"/>
        <v>#VALUE!</v>
      </c>
      <c r="AA19" s="62"/>
      <c r="AB19" s="62"/>
      <c r="AM19" s="1427"/>
      <c r="AN19" s="1423"/>
      <c r="AO19" s="717" t="s">
        <v>165</v>
      </c>
      <c r="AP19" s="60"/>
      <c r="AQ19" s="85" t="e">
        <f t="shared" si="1"/>
        <v>#VALUE!</v>
      </c>
    </row>
    <row r="20" spans="2:43">
      <c r="B20" s="1427"/>
      <c r="C20" s="1423"/>
      <c r="D20" s="371" t="s">
        <v>166</v>
      </c>
      <c r="E20" s="60"/>
      <c r="F20" s="74" t="e">
        <f t="shared" ref="F20:M20" si="17">-ROUNDUP(SUM(F6:F19)*$V$2/100,-1)</f>
        <v>#VALUE!</v>
      </c>
      <c r="G20" s="74" t="e">
        <f t="shared" si="17"/>
        <v>#VALUE!</v>
      </c>
      <c r="H20" s="74" t="e">
        <f t="shared" si="17"/>
        <v>#VALUE!</v>
      </c>
      <c r="I20" s="74" t="e">
        <f t="shared" si="17"/>
        <v>#VALUE!</v>
      </c>
      <c r="J20" s="74" t="e">
        <f t="shared" si="17"/>
        <v>#VALUE!</v>
      </c>
      <c r="K20" s="74" t="e">
        <f t="shared" si="17"/>
        <v>#VALUE!</v>
      </c>
      <c r="L20" s="74" t="e">
        <f t="shared" si="17"/>
        <v>#VALUE!</v>
      </c>
      <c r="M20" s="74" t="e">
        <f t="shared" si="17"/>
        <v>#VALUE!</v>
      </c>
      <c r="O20" s="1448"/>
      <c r="P20" s="635" t="s">
        <v>36</v>
      </c>
      <c r="Q20" s="3" t="e">
        <f>SUM(Q15:Q19)</f>
        <v>#VALUE!</v>
      </c>
      <c r="R20" s="3" t="e">
        <f t="shared" ref="R20:Y20" si="18">SUM(R15:R19)</f>
        <v>#VALUE!</v>
      </c>
      <c r="S20" s="3" t="e">
        <f t="shared" si="18"/>
        <v>#VALUE!</v>
      </c>
      <c r="T20" s="3" t="e">
        <f t="shared" si="18"/>
        <v>#VALUE!</v>
      </c>
      <c r="U20" s="3" t="e">
        <f t="shared" si="18"/>
        <v>#VALUE!</v>
      </c>
      <c r="V20" s="3" t="e">
        <f t="shared" si="18"/>
        <v>#VALUE!</v>
      </c>
      <c r="W20" s="3" t="e">
        <f t="shared" si="18"/>
        <v>#VALUE!</v>
      </c>
      <c r="X20" s="3" t="e">
        <f t="shared" si="18"/>
        <v>#VALUE!</v>
      </c>
      <c r="Y20" s="3" t="e">
        <f t="shared" si="18"/>
        <v>#VALUE!</v>
      </c>
      <c r="AA20" s="62"/>
      <c r="AB20" s="62"/>
      <c r="AM20" s="1427"/>
      <c r="AN20" s="1423"/>
      <c r="AO20" s="717" t="s">
        <v>166</v>
      </c>
      <c r="AP20" s="60"/>
      <c r="AQ20" s="85" t="e">
        <f t="shared" si="1"/>
        <v>#VALUE!</v>
      </c>
    </row>
    <row r="21" spans="2:43" ht="15" customHeight="1">
      <c r="B21" s="1427"/>
      <c r="C21" s="1419" t="s">
        <v>204</v>
      </c>
      <c r="D21" s="372" t="s">
        <v>18</v>
      </c>
      <c r="E21" s="59"/>
      <c r="F21" s="3">
        <f>IF(K2=0,0,IF(加算と減算!P13="",0,ROUNDDOWN(加算と減算!Z13/'3月'!$K$2,-1)))</f>
        <v>0</v>
      </c>
      <c r="G21" s="3">
        <f>F21</f>
        <v>0</v>
      </c>
      <c r="H21" s="3">
        <f t="shared" ref="H21:M21" si="19">G21</f>
        <v>0</v>
      </c>
      <c r="I21" s="3">
        <f t="shared" si="19"/>
        <v>0</v>
      </c>
      <c r="J21" s="3">
        <f t="shared" si="19"/>
        <v>0</v>
      </c>
      <c r="K21" s="3">
        <f t="shared" si="19"/>
        <v>0</v>
      </c>
      <c r="L21" s="3">
        <f t="shared" si="19"/>
        <v>0</v>
      </c>
      <c r="M21" s="3">
        <f t="shared" si="19"/>
        <v>0</v>
      </c>
      <c r="O21" s="76"/>
      <c r="P21" s="636"/>
      <c r="Q21" s="54"/>
      <c r="R21" s="54"/>
      <c r="S21" s="9"/>
      <c r="T21" s="9"/>
      <c r="U21" s="54"/>
      <c r="V21" s="54"/>
      <c r="W21" s="10"/>
      <c r="X21" s="10"/>
      <c r="Y21" s="10"/>
      <c r="AA21" s="62"/>
      <c r="AB21" s="62"/>
      <c r="AM21" s="1427"/>
      <c r="AN21" s="1419" t="s">
        <v>204</v>
      </c>
      <c r="AO21" s="719" t="s">
        <v>18</v>
      </c>
      <c r="AP21" s="732" t="s">
        <v>559</v>
      </c>
      <c r="AQ21" s="85">
        <f t="shared" si="1"/>
        <v>0</v>
      </c>
    </row>
    <row r="22" spans="2:43" ht="15" customHeight="1">
      <c r="B22" s="1427"/>
      <c r="C22" s="1420"/>
      <c r="D22" s="372" t="s">
        <v>62</v>
      </c>
      <c r="E22" s="59"/>
      <c r="F22" s="3">
        <f>IF(K2=0,0,ROUNDDOWN(IF(加算と減算!P14="○",加算と減算!U14,IF(加算と減算!P15="○",加算と減算!U15,0))/K2,-1))</f>
        <v>0</v>
      </c>
      <c r="G22" s="3">
        <f t="shared" ref="G22:M26" si="20">F22</f>
        <v>0</v>
      </c>
      <c r="H22" s="3">
        <f t="shared" si="20"/>
        <v>0</v>
      </c>
      <c r="I22" s="3">
        <f t="shared" si="20"/>
        <v>0</v>
      </c>
      <c r="J22" s="3">
        <f t="shared" si="20"/>
        <v>0</v>
      </c>
      <c r="K22" s="3">
        <f t="shared" si="20"/>
        <v>0</v>
      </c>
      <c r="L22" s="3">
        <f t="shared" si="20"/>
        <v>0</v>
      </c>
      <c r="M22" s="3">
        <f>L22</f>
        <v>0</v>
      </c>
      <c r="O22" s="1443" t="s">
        <v>180</v>
      </c>
      <c r="P22" s="367" t="s">
        <v>171</v>
      </c>
      <c r="Q22" s="368" t="s">
        <v>178</v>
      </c>
      <c r="R22" s="367" t="s">
        <v>179</v>
      </c>
      <c r="S22" s="4"/>
      <c r="T22" s="1443" t="s">
        <v>188</v>
      </c>
      <c r="U22" s="367" t="s">
        <v>171</v>
      </c>
      <c r="V22" s="40" t="s">
        <v>179</v>
      </c>
      <c r="AA22" s="62"/>
      <c r="AB22" s="62"/>
      <c r="AM22" s="1427"/>
      <c r="AN22" s="1420"/>
      <c r="AO22" s="719" t="s">
        <v>62</v>
      </c>
      <c r="AP22" s="732" t="s">
        <v>559</v>
      </c>
      <c r="AQ22" s="85">
        <f t="shared" si="1"/>
        <v>0</v>
      </c>
    </row>
    <row r="23" spans="2:43" ht="16.5">
      <c r="B23" s="1427"/>
      <c r="C23" s="1420"/>
      <c r="D23" s="372" t="s">
        <v>19</v>
      </c>
      <c r="E23" s="59"/>
      <c r="F23" s="3">
        <f>IF(K2=0,0,IF(加算と減算!P16="",0,ROUNDDOWN(加算と減算!U16/'3月'!$K$2,-1)))</f>
        <v>0</v>
      </c>
      <c r="G23" s="3">
        <f t="shared" si="20"/>
        <v>0</v>
      </c>
      <c r="H23" s="3">
        <f t="shared" si="20"/>
        <v>0</v>
      </c>
      <c r="I23" s="3">
        <f t="shared" si="20"/>
        <v>0</v>
      </c>
      <c r="J23" s="3">
        <f t="shared" si="20"/>
        <v>0</v>
      </c>
      <c r="K23" s="3">
        <f t="shared" si="20"/>
        <v>0</v>
      </c>
      <c r="L23" s="3">
        <f t="shared" si="20"/>
        <v>0</v>
      </c>
      <c r="M23" s="3">
        <f t="shared" si="20"/>
        <v>0</v>
      </c>
      <c r="O23" s="1447"/>
      <c r="P23" s="630">
        <f>P6</f>
        <v>0</v>
      </c>
      <c r="Q23" s="3">
        <f>児童数!AE33</f>
        <v>0</v>
      </c>
      <c r="R23" s="64">
        <f>4500*Q23</f>
        <v>0</v>
      </c>
      <c r="S23" s="4"/>
      <c r="T23" s="1447"/>
      <c r="U23" s="630">
        <f>P6</f>
        <v>0</v>
      </c>
      <c r="V23" s="65" t="e">
        <f>Y15+R23</f>
        <v>#VALUE!</v>
      </c>
      <c r="AA23" s="62"/>
      <c r="AB23" s="62"/>
      <c r="AM23" s="1427"/>
      <c r="AN23" s="1420"/>
      <c r="AO23" s="719" t="s">
        <v>19</v>
      </c>
      <c r="AP23" s="732" t="s">
        <v>559</v>
      </c>
      <c r="AQ23" s="85">
        <f t="shared" si="1"/>
        <v>0</v>
      </c>
    </row>
    <row r="24" spans="2:43" ht="16.5">
      <c r="B24" s="1427"/>
      <c r="C24" s="1420"/>
      <c r="D24" s="372" t="s">
        <v>41</v>
      </c>
      <c r="E24" s="59"/>
      <c r="F24" s="3">
        <f>IF(K2=0,0,IF(加算と減算!D17="",0,ROUNDDOWN(加算と減算!Z17/'3月'!$K$2,-1)))</f>
        <v>0</v>
      </c>
      <c r="G24" s="3">
        <f t="shared" si="20"/>
        <v>0</v>
      </c>
      <c r="H24" s="3">
        <f t="shared" si="20"/>
        <v>0</v>
      </c>
      <c r="I24" s="3">
        <f t="shared" si="20"/>
        <v>0</v>
      </c>
      <c r="J24" s="3">
        <f t="shared" si="20"/>
        <v>0</v>
      </c>
      <c r="K24" s="3">
        <f t="shared" si="20"/>
        <v>0</v>
      </c>
      <c r="L24" s="3">
        <f t="shared" si="20"/>
        <v>0</v>
      </c>
      <c r="M24" s="3">
        <f t="shared" si="20"/>
        <v>0</v>
      </c>
      <c r="O24" s="1447"/>
      <c r="P24" s="631">
        <f>P7</f>
        <v>0</v>
      </c>
      <c r="Q24" s="3">
        <f>児童数!AE47</f>
        <v>0</v>
      </c>
      <c r="R24" s="64">
        <f t="shared" ref="R24:R27" si="21">4500*Q24</f>
        <v>0</v>
      </c>
      <c r="S24" s="4"/>
      <c r="T24" s="1447"/>
      <c r="U24" s="631">
        <f>P7</f>
        <v>0</v>
      </c>
      <c r="V24" s="66" t="e">
        <f>Y16+R24</f>
        <v>#VALUE!</v>
      </c>
      <c r="AA24" s="62"/>
      <c r="AB24" s="62"/>
      <c r="AM24" s="1427"/>
      <c r="AN24" s="1420"/>
      <c r="AO24" s="719" t="s">
        <v>41</v>
      </c>
      <c r="AP24" s="732" t="s">
        <v>559</v>
      </c>
      <c r="AQ24" s="85">
        <f t="shared" si="1"/>
        <v>0</v>
      </c>
    </row>
    <row r="25" spans="2:43" ht="16.5">
      <c r="B25" s="1427"/>
      <c r="C25" s="1420"/>
      <c r="D25" s="372" t="s">
        <v>42</v>
      </c>
      <c r="E25" s="59"/>
      <c r="F25" s="3" t="str">
        <f>加算と減算!U18</f>
        <v/>
      </c>
      <c r="G25" s="3" t="str">
        <f t="shared" si="20"/>
        <v/>
      </c>
      <c r="H25" s="3" t="str">
        <f t="shared" si="20"/>
        <v/>
      </c>
      <c r="I25" s="3" t="str">
        <f t="shared" si="20"/>
        <v/>
      </c>
      <c r="J25" s="3" t="str">
        <f t="shared" si="20"/>
        <v/>
      </c>
      <c r="K25" s="3" t="str">
        <f t="shared" si="20"/>
        <v/>
      </c>
      <c r="L25" s="3" t="str">
        <f t="shared" si="20"/>
        <v/>
      </c>
      <c r="M25" s="3" t="str">
        <f t="shared" si="20"/>
        <v/>
      </c>
      <c r="O25" s="1447"/>
      <c r="P25" s="632">
        <f>P8</f>
        <v>0</v>
      </c>
      <c r="Q25" s="3">
        <f>児童数!AE61</f>
        <v>0</v>
      </c>
      <c r="R25" s="64">
        <f t="shared" si="21"/>
        <v>0</v>
      </c>
      <c r="S25" s="4"/>
      <c r="T25" s="1447"/>
      <c r="U25" s="632">
        <f>P8</f>
        <v>0</v>
      </c>
      <c r="V25" s="67" t="e">
        <f>Y17+R25</f>
        <v>#VALUE!</v>
      </c>
      <c r="AA25" s="62"/>
      <c r="AB25" s="62"/>
      <c r="AM25" s="1427"/>
      <c r="AN25" s="1420"/>
      <c r="AO25" s="719" t="s">
        <v>42</v>
      </c>
      <c r="AP25" s="731" t="s">
        <v>353</v>
      </c>
      <c r="AQ25" s="85">
        <f t="shared" si="1"/>
        <v>0</v>
      </c>
    </row>
    <row r="26" spans="2:43" ht="16.5">
      <c r="B26" s="1427"/>
      <c r="C26" s="1420"/>
      <c r="D26" s="372" t="s">
        <v>80</v>
      </c>
      <c r="E26" s="59"/>
      <c r="F26" s="3">
        <f>IF(K2=0,0,ROUNDDOWN(IF(加算と減算!P26="○",加算と減算!U26,IF(加算と減算!P27="○",加算と減算!U27,IF(加算と減算!P28="○",加算と減算!U28,0)))/K2,-1))</f>
        <v>0</v>
      </c>
      <c r="G26" s="3">
        <f t="shared" si="20"/>
        <v>0</v>
      </c>
      <c r="H26" s="3">
        <f t="shared" si="20"/>
        <v>0</v>
      </c>
      <c r="I26" s="3">
        <f t="shared" si="20"/>
        <v>0</v>
      </c>
      <c r="J26" s="3">
        <f t="shared" si="20"/>
        <v>0</v>
      </c>
      <c r="K26" s="3">
        <f t="shared" si="20"/>
        <v>0</v>
      </c>
      <c r="L26" s="3">
        <f t="shared" si="20"/>
        <v>0</v>
      </c>
      <c r="M26" s="3">
        <f t="shared" si="20"/>
        <v>0</v>
      </c>
      <c r="O26" s="1447"/>
      <c r="P26" s="633">
        <f>P9</f>
        <v>0</v>
      </c>
      <c r="Q26" s="3">
        <f>児童数!AE75</f>
        <v>0</v>
      </c>
      <c r="R26" s="64">
        <f t="shared" si="21"/>
        <v>0</v>
      </c>
      <c r="S26" s="4"/>
      <c r="T26" s="1447"/>
      <c r="U26" s="633">
        <f>P9</f>
        <v>0</v>
      </c>
      <c r="V26" s="68" t="e">
        <f>Y18+R26</f>
        <v>#VALUE!</v>
      </c>
      <c r="AA26" s="62"/>
      <c r="AB26" s="62"/>
      <c r="AM26" s="1427"/>
      <c r="AN26" s="1420"/>
      <c r="AO26" s="719" t="s">
        <v>80</v>
      </c>
      <c r="AP26" s="731" t="s">
        <v>353</v>
      </c>
      <c r="AQ26" s="85">
        <f t="shared" si="1"/>
        <v>0</v>
      </c>
    </row>
    <row r="27" spans="2:43" ht="14.25" customHeight="1">
      <c r="B27" s="1427"/>
      <c r="C27" s="1420"/>
      <c r="D27" s="372" t="s">
        <v>78</v>
      </c>
      <c r="E27" s="59"/>
      <c r="F27" s="3">
        <f>IF(加算と減算!P19="○",加算と減算!Z19,0)</f>
        <v>0</v>
      </c>
      <c r="G27" s="3">
        <f t="shared" ref="G27:G32" si="22">F27</f>
        <v>0</v>
      </c>
      <c r="H27" s="3">
        <f t="shared" ref="H27:H32" si="23">F27</f>
        <v>0</v>
      </c>
      <c r="I27" s="3">
        <f t="shared" ref="I27:I32" si="24">F27</f>
        <v>0</v>
      </c>
      <c r="J27" s="3">
        <f t="shared" ref="J27:J32" si="25">F27</f>
        <v>0</v>
      </c>
      <c r="K27" s="3">
        <f t="shared" ref="K27:K32" si="26">F27</f>
        <v>0</v>
      </c>
      <c r="L27" s="3">
        <f t="shared" ref="L27:L32" si="27">F27</f>
        <v>0</v>
      </c>
      <c r="M27" s="3">
        <f t="shared" ref="M27:M32" si="28">F27</f>
        <v>0</v>
      </c>
      <c r="O27" s="1447"/>
      <c r="P27" s="634">
        <f>P10</f>
        <v>0</v>
      </c>
      <c r="Q27" s="3">
        <f>児童数!AE89</f>
        <v>0</v>
      </c>
      <c r="R27" s="64">
        <f t="shared" si="21"/>
        <v>0</v>
      </c>
      <c r="S27" s="4"/>
      <c r="T27" s="1447"/>
      <c r="U27" s="634">
        <f>P10</f>
        <v>0</v>
      </c>
      <c r="V27" s="69" t="e">
        <f>Y19+R27</f>
        <v>#VALUE!</v>
      </c>
      <c r="AA27" s="62"/>
      <c r="AB27" s="62"/>
      <c r="AM27" s="1427"/>
      <c r="AN27" s="1420"/>
      <c r="AO27" s="719" t="s">
        <v>78</v>
      </c>
      <c r="AP27" s="731" t="s">
        <v>353</v>
      </c>
      <c r="AQ27" s="85">
        <f t="shared" si="1"/>
        <v>0</v>
      </c>
    </row>
    <row r="28" spans="2:43" ht="14.25" customHeight="1">
      <c r="B28" s="1427"/>
      <c r="C28" s="1420"/>
      <c r="D28" s="372" t="s">
        <v>432</v>
      </c>
      <c r="E28" s="59"/>
      <c r="F28" s="3">
        <f>IF(K2=0,0,IF(加算と減算!P20="",0,ROUNDDOWN(加算と減算!Z20/'3月'!$K$2,-1)))</f>
        <v>0</v>
      </c>
      <c r="G28" s="3">
        <f t="shared" si="22"/>
        <v>0</v>
      </c>
      <c r="H28" s="3">
        <f t="shared" si="23"/>
        <v>0</v>
      </c>
      <c r="I28" s="3">
        <f t="shared" si="24"/>
        <v>0</v>
      </c>
      <c r="J28" s="3">
        <f t="shared" si="25"/>
        <v>0</v>
      </c>
      <c r="K28" s="3">
        <f t="shared" si="26"/>
        <v>0</v>
      </c>
      <c r="L28" s="3">
        <f t="shared" si="27"/>
        <v>0</v>
      </c>
      <c r="M28" s="3">
        <f t="shared" si="28"/>
        <v>0</v>
      </c>
      <c r="O28" s="1448"/>
      <c r="P28" s="635" t="s">
        <v>36</v>
      </c>
      <c r="Q28" s="3">
        <f>SUM(Q23:Q27)</f>
        <v>0</v>
      </c>
      <c r="R28" s="3">
        <f>SUM(R23:R27)</f>
        <v>0</v>
      </c>
      <c r="S28" s="4"/>
      <c r="T28" s="1448"/>
      <c r="U28" s="635" t="s">
        <v>36</v>
      </c>
      <c r="V28" s="70" t="e">
        <f>SUM(V23:V27)</f>
        <v>#VALUE!</v>
      </c>
      <c r="AA28" s="62"/>
      <c r="AB28" s="62"/>
      <c r="AM28" s="1427"/>
      <c r="AN28" s="1420"/>
      <c r="AO28" s="719" t="s">
        <v>432</v>
      </c>
      <c r="AP28" s="731" t="s">
        <v>353</v>
      </c>
      <c r="AQ28" s="85">
        <f t="shared" si="1"/>
        <v>0</v>
      </c>
    </row>
    <row r="29" spans="2:43" ht="14.25" customHeight="1">
      <c r="B29" s="1427"/>
      <c r="C29" s="1420"/>
      <c r="D29" s="372" t="s">
        <v>433</v>
      </c>
      <c r="E29" s="59"/>
      <c r="F29" s="3">
        <f>IF(K2=0,0,ROUNDDOWN(IF(加算と減算!P21="○",加算と減算!Z21,IF(加算と減算!P22="○",加算と減算!Z22,IF(加算と減算!P23="○",加算と減算!Z23,0)))/K2,-1))</f>
        <v>0</v>
      </c>
      <c r="G29" s="3">
        <f t="shared" si="22"/>
        <v>0</v>
      </c>
      <c r="H29" s="3">
        <f t="shared" si="23"/>
        <v>0</v>
      </c>
      <c r="I29" s="3">
        <f t="shared" si="24"/>
        <v>0</v>
      </c>
      <c r="J29" s="3">
        <f t="shared" si="25"/>
        <v>0</v>
      </c>
      <c r="K29" s="3">
        <f t="shared" si="26"/>
        <v>0</v>
      </c>
      <c r="L29" s="3">
        <f t="shared" si="27"/>
        <v>0</v>
      </c>
      <c r="M29" s="3">
        <f t="shared" si="28"/>
        <v>0</v>
      </c>
      <c r="O29" s="637"/>
      <c r="P29" s="637"/>
      <c r="Q29" s="637"/>
      <c r="R29" s="637"/>
      <c r="S29" s="637"/>
      <c r="T29" s="637"/>
      <c r="U29" s="637"/>
      <c r="V29" s="63"/>
      <c r="AA29" s="62"/>
      <c r="AB29" s="62"/>
      <c r="AM29" s="1427"/>
      <c r="AN29" s="1420"/>
      <c r="AO29" s="719" t="s">
        <v>433</v>
      </c>
      <c r="AP29" s="731" t="s">
        <v>353</v>
      </c>
      <c r="AQ29" s="85">
        <f t="shared" si="1"/>
        <v>0</v>
      </c>
    </row>
    <row r="30" spans="2:43" ht="14.25" customHeight="1">
      <c r="B30" s="1427"/>
      <c r="C30" s="1420"/>
      <c r="D30" s="372" t="s">
        <v>434</v>
      </c>
      <c r="E30" s="59"/>
      <c r="F30" s="3">
        <f>IF(K2=0,0,IF(加算と減算!P24="",0,ROUNDDOWN(加算と減算!Z24/'3月'!$K$2,-1)))</f>
        <v>0</v>
      </c>
      <c r="G30" s="3">
        <f t="shared" si="22"/>
        <v>0</v>
      </c>
      <c r="H30" s="3">
        <f t="shared" si="23"/>
        <v>0</v>
      </c>
      <c r="I30" s="3">
        <f t="shared" si="24"/>
        <v>0</v>
      </c>
      <c r="J30" s="3">
        <f t="shared" si="25"/>
        <v>0</v>
      </c>
      <c r="K30" s="3">
        <f t="shared" si="26"/>
        <v>0</v>
      </c>
      <c r="L30" s="3">
        <f t="shared" si="27"/>
        <v>0</v>
      </c>
      <c r="M30" s="3">
        <f t="shared" si="28"/>
        <v>0</v>
      </c>
      <c r="O30" s="637"/>
      <c r="P30" s="637"/>
      <c r="Q30" s="637"/>
      <c r="R30" s="637"/>
      <c r="S30" s="637"/>
      <c r="T30" s="637"/>
      <c r="U30" s="637"/>
      <c r="V30" s="63"/>
      <c r="AA30" s="62"/>
      <c r="AB30" s="62"/>
      <c r="AM30" s="1427"/>
      <c r="AN30" s="1420"/>
      <c r="AO30" s="719" t="s">
        <v>434</v>
      </c>
      <c r="AP30" s="731" t="s">
        <v>353</v>
      </c>
      <c r="AQ30" s="85">
        <f t="shared" si="1"/>
        <v>0</v>
      </c>
    </row>
    <row r="31" spans="2:43" s="1" customFormat="1" ht="14.25" customHeight="1">
      <c r="B31" s="1427"/>
      <c r="C31" s="1420"/>
      <c r="D31" s="372" t="s">
        <v>21</v>
      </c>
      <c r="E31" s="59"/>
      <c r="F31" s="3">
        <f>IF(K2=0,0,IF(加算と減算!P25="",0,ROUNDDOWN(加算と減算!Z25/'3月'!$K$2,-1)))</f>
        <v>0</v>
      </c>
      <c r="G31" s="3">
        <f t="shared" si="22"/>
        <v>0</v>
      </c>
      <c r="H31" s="3">
        <f t="shared" si="23"/>
        <v>0</v>
      </c>
      <c r="I31" s="3">
        <f t="shared" si="24"/>
        <v>0</v>
      </c>
      <c r="J31" s="3">
        <f t="shared" si="25"/>
        <v>0</v>
      </c>
      <c r="K31" s="3">
        <f t="shared" si="26"/>
        <v>0</v>
      </c>
      <c r="L31" s="3">
        <f t="shared" si="27"/>
        <v>0</v>
      </c>
      <c r="M31" s="3">
        <f t="shared" si="28"/>
        <v>0</v>
      </c>
      <c r="N31" s="2"/>
      <c r="O31" s="637"/>
      <c r="P31" s="637"/>
      <c r="Q31" s="637"/>
      <c r="R31" s="637"/>
      <c r="S31" s="637"/>
      <c r="T31" s="637"/>
      <c r="U31" s="637"/>
      <c r="V31" s="63"/>
      <c r="W31" s="2"/>
      <c r="X31" s="2"/>
      <c r="Y31" s="2"/>
      <c r="Z31" s="2"/>
      <c r="AA31" s="62"/>
      <c r="AB31" s="62"/>
      <c r="AC31" s="2"/>
      <c r="AD31" s="2"/>
      <c r="AE31" s="2"/>
      <c r="AM31" s="1427"/>
      <c r="AN31" s="1420"/>
      <c r="AO31" s="719" t="s">
        <v>21</v>
      </c>
      <c r="AP31" s="731" t="s">
        <v>353</v>
      </c>
      <c r="AQ31" s="85">
        <f t="shared" si="1"/>
        <v>0</v>
      </c>
    </row>
    <row r="32" spans="2:43" s="1" customFormat="1" ht="14.25" customHeight="1">
      <c r="B32" s="1427"/>
      <c r="C32" s="1421"/>
      <c r="D32" s="372" t="s">
        <v>435</v>
      </c>
      <c r="E32" s="59"/>
      <c r="F32" s="3">
        <f>IF(K2=0,0,IF(加算と減算!P29="",0,ROUNDDOWN(加算と減算!Z29/'3月'!$K$2,-1)))</f>
        <v>0</v>
      </c>
      <c r="G32" s="3">
        <f t="shared" si="22"/>
        <v>0</v>
      </c>
      <c r="H32" s="3">
        <f t="shared" si="23"/>
        <v>0</v>
      </c>
      <c r="I32" s="3">
        <f t="shared" si="24"/>
        <v>0</v>
      </c>
      <c r="J32" s="3">
        <f t="shared" si="25"/>
        <v>0</v>
      </c>
      <c r="K32" s="3">
        <f t="shared" si="26"/>
        <v>0</v>
      </c>
      <c r="L32" s="3">
        <f t="shared" si="27"/>
        <v>0</v>
      </c>
      <c r="M32" s="3">
        <f t="shared" si="28"/>
        <v>0</v>
      </c>
      <c r="O32" s="637"/>
      <c r="P32" s="637"/>
      <c r="Q32" s="637"/>
      <c r="R32" s="637"/>
      <c r="S32" s="637"/>
      <c r="T32" s="637"/>
      <c r="U32" s="637"/>
      <c r="V32" s="63"/>
      <c r="W32" s="2"/>
      <c r="X32" s="2"/>
      <c r="Y32" s="2"/>
      <c r="Z32" s="2"/>
      <c r="AA32" s="62"/>
      <c r="AB32" s="62"/>
      <c r="AC32" s="2"/>
      <c r="AD32" s="2"/>
      <c r="AM32" s="1427"/>
      <c r="AN32" s="1421"/>
      <c r="AO32" s="719" t="s">
        <v>435</v>
      </c>
      <c r="AP32" s="731" t="s">
        <v>353</v>
      </c>
      <c r="AQ32" s="85">
        <f t="shared" si="1"/>
        <v>0</v>
      </c>
    </row>
    <row r="33" spans="2:43" s="1" customFormat="1" ht="15" customHeight="1" thickBot="1">
      <c r="B33" s="1428"/>
      <c r="C33" s="1410" t="s">
        <v>44</v>
      </c>
      <c r="D33" s="1411"/>
      <c r="E33" s="53"/>
      <c r="F33" s="5" t="e">
        <f>SUM(F6:F32)</f>
        <v>#VALUE!</v>
      </c>
      <c r="G33" s="5" t="e">
        <f t="shared" ref="G33:L33" si="29">SUM(G6:G32)</f>
        <v>#VALUE!</v>
      </c>
      <c r="H33" s="5" t="e">
        <f t="shared" si="29"/>
        <v>#VALUE!</v>
      </c>
      <c r="I33" s="5" t="e">
        <f>SUM(I6:I32)</f>
        <v>#VALUE!</v>
      </c>
      <c r="J33" s="5" t="e">
        <f t="shared" si="29"/>
        <v>#VALUE!</v>
      </c>
      <c r="K33" s="5" t="e">
        <f>SUM(K6:K32)</f>
        <v>#VALUE!</v>
      </c>
      <c r="L33" s="5" t="e">
        <f t="shared" si="29"/>
        <v>#VALUE!</v>
      </c>
      <c r="M33" s="5" t="e">
        <f>SUM(M6:M32)</f>
        <v>#VALUE!</v>
      </c>
      <c r="O33" s="637"/>
      <c r="P33" s="637"/>
      <c r="Q33" s="637"/>
      <c r="R33" s="637"/>
      <c r="S33" s="637"/>
      <c r="T33" s="637"/>
      <c r="U33" s="637"/>
      <c r="V33" s="63"/>
      <c r="W33" s="2"/>
      <c r="X33" s="2"/>
      <c r="Y33" s="2"/>
      <c r="Z33" s="2"/>
      <c r="AA33" s="62"/>
      <c r="AB33" s="62"/>
      <c r="AC33" s="2"/>
      <c r="AD33" s="2"/>
      <c r="AM33" s="1428"/>
      <c r="AN33" s="1410" t="s">
        <v>563</v>
      </c>
      <c r="AO33" s="1411"/>
      <c r="AP33" s="733" t="s">
        <v>376</v>
      </c>
      <c r="AQ33" s="85">
        <f>R28</f>
        <v>0</v>
      </c>
    </row>
    <row r="34" spans="2:43" ht="15.75" thickBot="1">
      <c r="B34" s="263"/>
      <c r="C34" s="58"/>
      <c r="D34" s="58"/>
      <c r="E34" s="58" t="s">
        <v>167</v>
      </c>
      <c r="F34" s="7" t="e">
        <f t="shared" ref="F34:M34" si="30">F7+F9+F12+F16+F18</f>
        <v>#VALUE!</v>
      </c>
      <c r="G34" s="7" t="e">
        <f t="shared" si="30"/>
        <v>#VALUE!</v>
      </c>
      <c r="H34" s="7" t="e">
        <f t="shared" si="30"/>
        <v>#VALUE!</v>
      </c>
      <c r="I34" s="7" t="e">
        <f t="shared" si="30"/>
        <v>#VALUE!</v>
      </c>
      <c r="J34" s="7" t="e">
        <f t="shared" si="30"/>
        <v>#VALUE!</v>
      </c>
      <c r="K34" s="7" t="e">
        <f t="shared" si="30"/>
        <v>#VALUE!</v>
      </c>
      <c r="L34" s="7" t="e">
        <f t="shared" si="30"/>
        <v>#VALUE!</v>
      </c>
      <c r="M34" s="7" t="e">
        <f t="shared" si="30"/>
        <v>#VALUE!</v>
      </c>
      <c r="N34" s="1"/>
      <c r="O34" s="637"/>
      <c r="P34" s="637"/>
      <c r="Q34" s="637"/>
      <c r="R34" s="637"/>
      <c r="S34" s="637"/>
      <c r="T34" s="637"/>
      <c r="U34" s="637"/>
      <c r="V34" s="63"/>
      <c r="AA34" s="62"/>
      <c r="AB34" s="62"/>
      <c r="AE34" s="1"/>
      <c r="AG34" s="288" t="e">
        <f>SUMPRODUCT(F34:M34,Q11:X11)</f>
        <v>#VALUE!</v>
      </c>
      <c r="AN34" s="1410" t="s">
        <v>44</v>
      </c>
      <c r="AO34" s="1411"/>
      <c r="AP34" s="53"/>
      <c r="AQ34" s="85" t="e">
        <f>SUM(AQ6:AQ33)</f>
        <v>#VALUE!</v>
      </c>
    </row>
    <row r="35" spans="2:43">
      <c r="E35" s="1020" t="s">
        <v>703</v>
      </c>
      <c r="F35" s="264" t="e">
        <f>-ROUNDUP(SUM(F6:F9,F11:F19)*$V$2/100,-1)</f>
        <v>#VALUE!</v>
      </c>
      <c r="G35" s="264" t="e">
        <f t="shared" ref="G35:L35" si="31">-ROUNDUP(SUM(G6:G9,G11:G19)*$V$2/100,-1)</f>
        <v>#VALUE!</v>
      </c>
      <c r="H35" s="264" t="e">
        <f t="shared" si="31"/>
        <v>#VALUE!</v>
      </c>
      <c r="I35" s="264" t="e">
        <f t="shared" si="31"/>
        <v>#VALUE!</v>
      </c>
      <c r="J35" s="264" t="e">
        <f t="shared" si="31"/>
        <v>#VALUE!</v>
      </c>
      <c r="K35" s="264" t="e">
        <f t="shared" si="31"/>
        <v>#VALUE!</v>
      </c>
      <c r="L35" s="264" t="e">
        <f t="shared" si="31"/>
        <v>#VALUE!</v>
      </c>
      <c r="M35" s="264" t="e">
        <f>-ROUNDUP(SUM(M6:M9,M11:M19)*$V$2/100,-1)</f>
        <v>#VALUE!</v>
      </c>
      <c r="O35" s="637"/>
      <c r="P35" s="637"/>
      <c r="Q35" s="637"/>
      <c r="R35" s="637"/>
      <c r="S35" s="637"/>
      <c r="T35" s="637"/>
      <c r="U35" s="637"/>
      <c r="V35" s="63"/>
      <c r="AA35" s="62"/>
      <c r="AB35" s="62"/>
    </row>
    <row r="36" spans="2:43" ht="31.5" customHeight="1">
      <c r="B36" s="1412" t="s">
        <v>3</v>
      </c>
      <c r="C36" s="1415"/>
      <c r="D36" s="1415"/>
      <c r="E36" s="1416" t="s">
        <v>172</v>
      </c>
      <c r="F36" s="1418" t="s">
        <v>15</v>
      </c>
      <c r="G36" s="1418"/>
      <c r="H36" s="1418"/>
      <c r="I36" s="1418"/>
      <c r="J36" s="1418" t="s">
        <v>16</v>
      </c>
      <c r="K36" s="1418"/>
      <c r="L36" s="1418"/>
      <c r="M36" s="1418"/>
      <c r="O36" s="1449" t="s">
        <v>40</v>
      </c>
      <c r="P36" s="1446" t="s">
        <v>171</v>
      </c>
      <c r="Q36" s="1440" t="s">
        <v>15</v>
      </c>
      <c r="R36" s="1440"/>
      <c r="S36" s="1440"/>
      <c r="T36" s="1440"/>
      <c r="U36" s="1440" t="s">
        <v>16</v>
      </c>
      <c r="V36" s="1440"/>
      <c r="W36" s="1440"/>
      <c r="X36" s="1440"/>
      <c r="Y36" s="1441" t="s">
        <v>177</v>
      </c>
      <c r="Z36" s="11"/>
      <c r="AA36" s="57"/>
      <c r="AB36" s="62"/>
      <c r="AM36" s="1412" t="s">
        <v>3</v>
      </c>
      <c r="AN36" s="1415"/>
      <c r="AO36" s="1415"/>
      <c r="AP36" s="1464" t="s">
        <v>172</v>
      </c>
      <c r="AQ36" s="85"/>
    </row>
    <row r="37" spans="2:43">
      <c r="B37" s="1413"/>
      <c r="C37" s="1415"/>
      <c r="D37" s="1415"/>
      <c r="E37" s="1417"/>
      <c r="F37" s="370" t="s">
        <v>6</v>
      </c>
      <c r="G37" s="370" t="s">
        <v>7</v>
      </c>
      <c r="H37" s="370" t="s">
        <v>8</v>
      </c>
      <c r="I37" s="370" t="s">
        <v>9</v>
      </c>
      <c r="J37" s="370" t="s">
        <v>6</v>
      </c>
      <c r="K37" s="370" t="s">
        <v>7</v>
      </c>
      <c r="L37" s="370" t="s">
        <v>8</v>
      </c>
      <c r="M37" s="370" t="s">
        <v>9</v>
      </c>
      <c r="O37" s="1444"/>
      <c r="P37" s="1446"/>
      <c r="Q37" s="368" t="s">
        <v>6</v>
      </c>
      <c r="R37" s="368" t="s">
        <v>7</v>
      </c>
      <c r="S37" s="368" t="s">
        <v>8</v>
      </c>
      <c r="T37" s="368" t="s">
        <v>9</v>
      </c>
      <c r="U37" s="368" t="s">
        <v>6</v>
      </c>
      <c r="V37" s="368" t="s">
        <v>7</v>
      </c>
      <c r="W37" s="368" t="s">
        <v>8</v>
      </c>
      <c r="X37" s="368" t="s">
        <v>9</v>
      </c>
      <c r="Y37" s="1442"/>
      <c r="Z37" s="11"/>
      <c r="AA37" s="57"/>
      <c r="AB37" s="57"/>
      <c r="AC37" s="1"/>
      <c r="AD37" s="1"/>
      <c r="AM37" s="1413"/>
      <c r="AN37" s="1415"/>
      <c r="AO37" s="1415"/>
      <c r="AP37" s="1465"/>
      <c r="AQ37" s="85"/>
    </row>
    <row r="38" spans="2:43">
      <c r="B38" s="1413"/>
      <c r="C38" s="1418" t="s">
        <v>17</v>
      </c>
      <c r="D38" s="1418"/>
      <c r="E38" s="53" t="s">
        <v>169</v>
      </c>
      <c r="F38" s="3">
        <f>単価表!AV23</f>
        <v>0</v>
      </c>
      <c r="G38" s="3">
        <f>単価表!AV25</f>
        <v>0</v>
      </c>
      <c r="H38" s="3">
        <f>単価表!AV27</f>
        <v>0</v>
      </c>
      <c r="I38" s="3">
        <f>単価表!AV29</f>
        <v>0</v>
      </c>
      <c r="J38" s="3">
        <f>単価表!AW23</f>
        <v>0</v>
      </c>
      <c r="K38" s="3">
        <f>単価表!AW25</f>
        <v>0</v>
      </c>
      <c r="L38" s="3">
        <f>単価表!AW27</f>
        <v>0</v>
      </c>
      <c r="M38" s="3">
        <f>単価表!AW29</f>
        <v>0</v>
      </c>
      <c r="O38" s="1444"/>
      <c r="P38" s="630">
        <f>P6</f>
        <v>0</v>
      </c>
      <c r="Q38" s="3">
        <f>児童数!R33</f>
        <v>0</v>
      </c>
      <c r="R38" s="3">
        <f>児童数!S33</f>
        <v>0</v>
      </c>
      <c r="S38" s="3">
        <f>児童数!T33</f>
        <v>0</v>
      </c>
      <c r="T38" s="3">
        <f>児童数!U33</f>
        <v>0</v>
      </c>
      <c r="U38" s="3">
        <f>児童数!W33</f>
        <v>0</v>
      </c>
      <c r="V38" s="3">
        <f>児童数!X33</f>
        <v>0</v>
      </c>
      <c r="W38" s="3">
        <f>児童数!Y33</f>
        <v>0</v>
      </c>
      <c r="X38" s="3">
        <f>児童数!Z33</f>
        <v>0</v>
      </c>
      <c r="Y38" s="64">
        <f>SUM(Q38:X38)</f>
        <v>0</v>
      </c>
      <c r="AA38" s="57"/>
      <c r="AB38" s="57"/>
      <c r="AC38" s="1"/>
      <c r="AD38" s="1"/>
      <c r="AM38" s="1413"/>
      <c r="AN38" s="1418" t="s">
        <v>17</v>
      </c>
      <c r="AO38" s="1418"/>
      <c r="AP38" s="734" t="s">
        <v>169</v>
      </c>
      <c r="AQ38" s="85">
        <f>SUMPRODUCT(F38:M38,$Q$43:$X$43)</f>
        <v>0</v>
      </c>
    </row>
    <row r="39" spans="2:43">
      <c r="B39" s="1413"/>
      <c r="C39" s="1418"/>
      <c r="D39" s="1418"/>
      <c r="E39" s="53" t="s">
        <v>167</v>
      </c>
      <c r="F39" s="3">
        <f>単価表!AX23*基本情報!G7</f>
        <v>0</v>
      </c>
      <c r="G39" s="3">
        <f>単価表!AX25*基本情報!G7</f>
        <v>0</v>
      </c>
      <c r="H39" s="3">
        <f>単価表!AX27*基本情報!G7</f>
        <v>0</v>
      </c>
      <c r="I39" s="3">
        <f>単価表!AX29*基本情報!G7</f>
        <v>0</v>
      </c>
      <c r="J39" s="3">
        <f>単価表!AY23*基本情報!G7</f>
        <v>0</v>
      </c>
      <c r="K39" s="3">
        <f>単価表!AY25*基本情報!G7</f>
        <v>0</v>
      </c>
      <c r="L39" s="3">
        <f>単価表!AY27*基本情報!G7</f>
        <v>0</v>
      </c>
      <c r="M39" s="3">
        <f>単価表!AY29*基本情報!G7</f>
        <v>0</v>
      </c>
      <c r="O39" s="1444"/>
      <c r="P39" s="631">
        <f>P7</f>
        <v>0</v>
      </c>
      <c r="Q39" s="3">
        <f>児童数!R47</f>
        <v>0</v>
      </c>
      <c r="R39" s="3">
        <f>児童数!S47</f>
        <v>0</v>
      </c>
      <c r="S39" s="3">
        <f>児童数!T47</f>
        <v>0</v>
      </c>
      <c r="T39" s="3">
        <f>児童数!U47</f>
        <v>0</v>
      </c>
      <c r="U39" s="3">
        <f>児童数!W47</f>
        <v>0</v>
      </c>
      <c r="V39" s="3">
        <f>児童数!X47</f>
        <v>0</v>
      </c>
      <c r="W39" s="3">
        <f>児童数!Y47</f>
        <v>0</v>
      </c>
      <c r="X39" s="3">
        <f>児童数!Z47</f>
        <v>0</v>
      </c>
      <c r="Y39" s="64">
        <f t="shared" ref="Y39:Y42" si="32">SUM(Q39:X39)</f>
        <v>0</v>
      </c>
      <c r="AA39" s="62"/>
      <c r="AB39" s="57"/>
      <c r="AC39" s="1"/>
      <c r="AD39" s="1"/>
      <c r="AM39" s="1413"/>
      <c r="AN39" s="1418"/>
      <c r="AO39" s="1418"/>
      <c r="AP39" s="734" t="s">
        <v>167</v>
      </c>
      <c r="AQ39" s="85">
        <f t="shared" ref="AQ39:AQ65" si="33">SUMPRODUCT(F39:M39,$Q$43:$X$43)</f>
        <v>0</v>
      </c>
    </row>
    <row r="40" spans="2:43" ht="16.5">
      <c r="B40" s="1413"/>
      <c r="C40" s="1419" t="s">
        <v>203</v>
      </c>
      <c r="D40" s="1422" t="s">
        <v>37</v>
      </c>
      <c r="E40" s="53" t="s">
        <v>169</v>
      </c>
      <c r="F40" s="6"/>
      <c r="G40" s="3">
        <f>IF(基本情報!E5="",0,G8)</f>
        <v>0</v>
      </c>
      <c r="H40" s="6"/>
      <c r="I40" s="6"/>
      <c r="J40" s="6"/>
      <c r="K40" s="3">
        <f>IF(基本情報!E5="",0,K8)</f>
        <v>0</v>
      </c>
      <c r="L40" s="6"/>
      <c r="M40" s="6"/>
      <c r="O40" s="1444"/>
      <c r="P40" s="632">
        <f>P8</f>
        <v>0</v>
      </c>
      <c r="Q40" s="3">
        <f>児童数!R61</f>
        <v>0</v>
      </c>
      <c r="R40" s="3">
        <f>児童数!S61</f>
        <v>0</v>
      </c>
      <c r="S40" s="3">
        <f>児童数!T61</f>
        <v>0</v>
      </c>
      <c r="T40" s="3">
        <f>児童数!U61</f>
        <v>0</v>
      </c>
      <c r="U40" s="3">
        <f>児童数!W61</f>
        <v>0</v>
      </c>
      <c r="V40" s="3">
        <f>児童数!X61</f>
        <v>0</v>
      </c>
      <c r="W40" s="3">
        <f>児童数!Y61</f>
        <v>0</v>
      </c>
      <c r="X40" s="3">
        <f>児童数!Z61</f>
        <v>0</v>
      </c>
      <c r="Y40" s="64">
        <f t="shared" si="32"/>
        <v>0</v>
      </c>
      <c r="AA40" s="62"/>
      <c r="AB40" s="62"/>
      <c r="AM40" s="1413"/>
      <c r="AN40" s="1419" t="s">
        <v>203</v>
      </c>
      <c r="AO40" s="1422" t="s">
        <v>37</v>
      </c>
      <c r="AP40" s="735" t="s">
        <v>559</v>
      </c>
      <c r="AQ40" s="85">
        <f t="shared" si="33"/>
        <v>0</v>
      </c>
    </row>
    <row r="41" spans="2:43">
      <c r="B41" s="1413"/>
      <c r="C41" s="1420"/>
      <c r="D41" s="1422"/>
      <c r="E41" s="53" t="s">
        <v>167</v>
      </c>
      <c r="F41" s="6"/>
      <c r="G41" s="3">
        <f>IF(基本情報!E5="",0,G9)</f>
        <v>0</v>
      </c>
      <c r="H41" s="6"/>
      <c r="I41" s="6"/>
      <c r="J41" s="6"/>
      <c r="K41" s="3">
        <f>IF(基本情報!E5="",0,K9)</f>
        <v>0</v>
      </c>
      <c r="L41" s="6"/>
      <c r="M41" s="6"/>
      <c r="O41" s="1444"/>
      <c r="P41" s="633">
        <f>P9</f>
        <v>0</v>
      </c>
      <c r="Q41" s="3">
        <f>児童数!R75</f>
        <v>0</v>
      </c>
      <c r="R41" s="3">
        <f>児童数!S75</f>
        <v>0</v>
      </c>
      <c r="S41" s="3">
        <f>児童数!T75</f>
        <v>0</v>
      </c>
      <c r="T41" s="3">
        <f>児童数!U75</f>
        <v>0</v>
      </c>
      <c r="U41" s="3">
        <f>児童数!W75</f>
        <v>0</v>
      </c>
      <c r="V41" s="3">
        <f>児童数!X75</f>
        <v>0</v>
      </c>
      <c r="W41" s="3">
        <f>児童数!Y75</f>
        <v>0</v>
      </c>
      <c r="X41" s="3">
        <f>児童数!Z75</f>
        <v>0</v>
      </c>
      <c r="Y41" s="64">
        <f t="shared" si="32"/>
        <v>0</v>
      </c>
      <c r="AA41" s="62"/>
      <c r="AB41" s="62"/>
      <c r="AM41" s="1413"/>
      <c r="AN41" s="1420"/>
      <c r="AO41" s="1422"/>
      <c r="AP41" s="734" t="s">
        <v>167</v>
      </c>
      <c r="AQ41" s="85">
        <f t="shared" si="33"/>
        <v>0</v>
      </c>
    </row>
    <row r="42" spans="2:43">
      <c r="B42" s="1413"/>
      <c r="C42" s="1420"/>
      <c r="D42" s="383" t="s">
        <v>69</v>
      </c>
      <c r="E42" s="60"/>
      <c r="F42" s="3">
        <f>IF(基本情報!E5="",0,F10)</f>
        <v>0</v>
      </c>
      <c r="G42" s="3">
        <f>$F42</f>
        <v>0</v>
      </c>
      <c r="H42" s="3">
        <f t="shared" ref="H42:M42" si="34">$F42</f>
        <v>0</v>
      </c>
      <c r="I42" s="3">
        <f t="shared" si="34"/>
        <v>0</v>
      </c>
      <c r="J42" s="3">
        <f t="shared" si="34"/>
        <v>0</v>
      </c>
      <c r="K42" s="3">
        <f t="shared" si="34"/>
        <v>0</v>
      </c>
      <c r="L42" s="3">
        <f t="shared" si="34"/>
        <v>0</v>
      </c>
      <c r="M42" s="3">
        <f t="shared" si="34"/>
        <v>0</v>
      </c>
      <c r="O42" s="1444"/>
      <c r="P42" s="634">
        <f>P10</f>
        <v>0</v>
      </c>
      <c r="Q42" s="3">
        <f>児童数!R89</f>
        <v>0</v>
      </c>
      <c r="R42" s="3">
        <f>児童数!S89</f>
        <v>0</v>
      </c>
      <c r="S42" s="3">
        <f>児童数!T89</f>
        <v>0</v>
      </c>
      <c r="T42" s="3">
        <f>児童数!U89</f>
        <v>0</v>
      </c>
      <c r="U42" s="3">
        <f>児童数!W89</f>
        <v>0</v>
      </c>
      <c r="V42" s="3">
        <f>児童数!X89</f>
        <v>0</v>
      </c>
      <c r="W42" s="3">
        <f>児童数!Y89</f>
        <v>0</v>
      </c>
      <c r="X42" s="3">
        <f>児童数!Z89</f>
        <v>0</v>
      </c>
      <c r="Y42" s="64">
        <f t="shared" si="32"/>
        <v>0</v>
      </c>
      <c r="AA42" s="62"/>
      <c r="AB42" s="62"/>
      <c r="AM42" s="1413"/>
      <c r="AN42" s="1420"/>
      <c r="AO42" s="383" t="s">
        <v>69</v>
      </c>
      <c r="AP42" s="736"/>
      <c r="AQ42" s="85">
        <f t="shared" si="33"/>
        <v>0</v>
      </c>
    </row>
    <row r="43" spans="2:43">
      <c r="B43" s="1413"/>
      <c r="C43" s="1420"/>
      <c r="D43" s="1422" t="s">
        <v>161</v>
      </c>
      <c r="E43" s="53" t="s">
        <v>169</v>
      </c>
      <c r="F43" s="3">
        <f>IF(基本情報!E5="",0,F11)</f>
        <v>0</v>
      </c>
      <c r="G43" s="3">
        <f>F43</f>
        <v>0</v>
      </c>
      <c r="H43" s="3">
        <f>IF(基本情報!E5="",0,H11)</f>
        <v>0</v>
      </c>
      <c r="I43" s="3">
        <f>H43</f>
        <v>0</v>
      </c>
      <c r="J43" s="3">
        <f>F43</f>
        <v>0</v>
      </c>
      <c r="K43" s="3">
        <f>F43</f>
        <v>0</v>
      </c>
      <c r="L43" s="3">
        <f>H43</f>
        <v>0</v>
      </c>
      <c r="M43" s="3">
        <f>H43</f>
        <v>0</v>
      </c>
      <c r="O43" s="1445"/>
      <c r="P43" s="635" t="s">
        <v>36</v>
      </c>
      <c r="Q43" s="3">
        <f>SUM(Q38:Q42)</f>
        <v>0</v>
      </c>
      <c r="R43" s="3">
        <f t="shared" ref="R43:Y43" si="35">SUM(R38:R42)</f>
        <v>0</v>
      </c>
      <c r="S43" s="3">
        <f t="shared" si="35"/>
        <v>0</v>
      </c>
      <c r="T43" s="3">
        <f t="shared" si="35"/>
        <v>0</v>
      </c>
      <c r="U43" s="3">
        <f t="shared" si="35"/>
        <v>0</v>
      </c>
      <c r="V43" s="3">
        <f t="shared" si="35"/>
        <v>0</v>
      </c>
      <c r="W43" s="3">
        <f t="shared" si="35"/>
        <v>0</v>
      </c>
      <c r="X43" s="3">
        <f t="shared" si="35"/>
        <v>0</v>
      </c>
      <c r="Y43" s="3">
        <f t="shared" si="35"/>
        <v>0</v>
      </c>
      <c r="Z43" s="55" t="s">
        <v>176</v>
      </c>
      <c r="AA43" s="71" t="str">
        <f>IF(SUM(Q43:X43)=I2,"OK",SUM(Q43:X43)-G33)</f>
        <v>OK</v>
      </c>
      <c r="AM43" s="1413"/>
      <c r="AN43" s="1420"/>
      <c r="AO43" s="1422" t="s">
        <v>161</v>
      </c>
      <c r="AP43" s="734" t="s">
        <v>169</v>
      </c>
      <c r="AQ43" s="85">
        <f t="shared" si="33"/>
        <v>0</v>
      </c>
    </row>
    <row r="44" spans="2:43">
      <c r="B44" s="1413"/>
      <c r="C44" s="1420"/>
      <c r="D44" s="1422"/>
      <c r="E44" s="53" t="s">
        <v>167</v>
      </c>
      <c r="F44" s="3">
        <f>IF(基本情報!E5="",0,F12)</f>
        <v>0</v>
      </c>
      <c r="G44" s="3">
        <f t="shared" ref="G44:M48" si="36">$F44</f>
        <v>0</v>
      </c>
      <c r="H44" s="3">
        <f t="shared" si="36"/>
        <v>0</v>
      </c>
      <c r="I44" s="3">
        <f t="shared" si="36"/>
        <v>0</v>
      </c>
      <c r="J44" s="3">
        <f t="shared" si="36"/>
        <v>0</v>
      </c>
      <c r="K44" s="3">
        <f t="shared" si="36"/>
        <v>0</v>
      </c>
      <c r="L44" s="3">
        <f t="shared" si="36"/>
        <v>0</v>
      </c>
      <c r="M44" s="3">
        <f t="shared" si="36"/>
        <v>0</v>
      </c>
      <c r="O44" s="58"/>
      <c r="P44" s="58"/>
      <c r="Q44" s="10"/>
      <c r="R44" s="10"/>
      <c r="S44" s="10"/>
      <c r="T44" s="10"/>
      <c r="U44" s="10"/>
      <c r="V44" s="10"/>
      <c r="W44" s="10"/>
      <c r="X44" s="10"/>
      <c r="Y44" s="11"/>
      <c r="Z44" s="11"/>
      <c r="AM44" s="1413"/>
      <c r="AN44" s="1420"/>
      <c r="AO44" s="1422"/>
      <c r="AP44" s="734" t="s">
        <v>167</v>
      </c>
      <c r="AQ44" s="85">
        <f t="shared" si="33"/>
        <v>0</v>
      </c>
    </row>
    <row r="45" spans="2:43" ht="16.5">
      <c r="B45" s="1413"/>
      <c r="C45" s="1420"/>
      <c r="D45" s="366" t="s">
        <v>162</v>
      </c>
      <c r="E45" s="59"/>
      <c r="F45" s="3">
        <f>IF(基本情報!E5="",0,F13)</f>
        <v>0</v>
      </c>
      <c r="G45" s="3">
        <f t="shared" si="36"/>
        <v>0</v>
      </c>
      <c r="H45" s="3">
        <f t="shared" si="36"/>
        <v>0</v>
      </c>
      <c r="I45" s="3">
        <f t="shared" si="36"/>
        <v>0</v>
      </c>
      <c r="J45" s="3">
        <f t="shared" si="36"/>
        <v>0</v>
      </c>
      <c r="K45" s="3">
        <f t="shared" si="36"/>
        <v>0</v>
      </c>
      <c r="L45" s="3">
        <f t="shared" si="36"/>
        <v>0</v>
      </c>
      <c r="M45" s="3">
        <f t="shared" si="36"/>
        <v>0</v>
      </c>
      <c r="O45" s="1443" t="s">
        <v>189</v>
      </c>
      <c r="P45" s="1446" t="s">
        <v>171</v>
      </c>
      <c r="Q45" s="1440" t="s">
        <v>15</v>
      </c>
      <c r="R45" s="1440"/>
      <c r="S45" s="1440"/>
      <c r="T45" s="1440"/>
      <c r="U45" s="1440" t="s">
        <v>16</v>
      </c>
      <c r="V45" s="1440"/>
      <c r="W45" s="1440"/>
      <c r="X45" s="1440"/>
      <c r="Y45" s="1441" t="s">
        <v>177</v>
      </c>
      <c r="AM45" s="1413"/>
      <c r="AN45" s="1420"/>
      <c r="AO45" s="720" t="s">
        <v>162</v>
      </c>
      <c r="AP45" s="737" t="s">
        <v>353</v>
      </c>
      <c r="AQ45" s="85">
        <f t="shared" si="33"/>
        <v>0</v>
      </c>
    </row>
    <row r="46" spans="2:43" ht="16.5">
      <c r="B46" s="1413"/>
      <c r="C46" s="1420"/>
      <c r="D46" s="366" t="s">
        <v>54</v>
      </c>
      <c r="E46" s="59"/>
      <c r="F46" s="3">
        <f>IF(基本情報!E5="",0,F14)</f>
        <v>0</v>
      </c>
      <c r="G46" s="3">
        <f t="shared" si="36"/>
        <v>0</v>
      </c>
      <c r="H46" s="3">
        <f t="shared" si="36"/>
        <v>0</v>
      </c>
      <c r="I46" s="3">
        <f t="shared" si="36"/>
        <v>0</v>
      </c>
      <c r="J46" s="3">
        <f t="shared" si="36"/>
        <v>0</v>
      </c>
      <c r="K46" s="3">
        <f t="shared" si="36"/>
        <v>0</v>
      </c>
      <c r="L46" s="3">
        <f t="shared" si="36"/>
        <v>0</v>
      </c>
      <c r="M46" s="3">
        <f t="shared" si="36"/>
        <v>0</v>
      </c>
      <c r="O46" s="1444"/>
      <c r="P46" s="1446"/>
      <c r="Q46" s="368" t="s">
        <v>6</v>
      </c>
      <c r="R46" s="368" t="s">
        <v>7</v>
      </c>
      <c r="S46" s="368" t="s">
        <v>8</v>
      </c>
      <c r="T46" s="368" t="s">
        <v>9</v>
      </c>
      <c r="U46" s="368" t="s">
        <v>6</v>
      </c>
      <c r="V46" s="368" t="s">
        <v>7</v>
      </c>
      <c r="W46" s="368" t="s">
        <v>8</v>
      </c>
      <c r="X46" s="368" t="s">
        <v>9</v>
      </c>
      <c r="Y46" s="1442"/>
      <c r="AM46" s="1413"/>
      <c r="AN46" s="1420"/>
      <c r="AO46" s="720" t="s">
        <v>54</v>
      </c>
      <c r="AP46" s="737" t="s">
        <v>353</v>
      </c>
      <c r="AQ46" s="85">
        <f t="shared" si="33"/>
        <v>0</v>
      </c>
    </row>
    <row r="47" spans="2:43" ht="15" customHeight="1">
      <c r="B47" s="1413"/>
      <c r="C47" s="1420"/>
      <c r="D47" s="1422" t="s">
        <v>38</v>
      </c>
      <c r="E47" s="53" t="s">
        <v>169</v>
      </c>
      <c r="F47" s="3">
        <f>IF(基本情報!E5="",0,F15)</f>
        <v>0</v>
      </c>
      <c r="G47" s="3">
        <f t="shared" si="36"/>
        <v>0</v>
      </c>
      <c r="H47" s="3">
        <f t="shared" si="36"/>
        <v>0</v>
      </c>
      <c r="I47" s="3">
        <f t="shared" si="36"/>
        <v>0</v>
      </c>
      <c r="J47" s="3">
        <f t="shared" si="36"/>
        <v>0</v>
      </c>
      <c r="K47" s="3">
        <f t="shared" si="36"/>
        <v>0</v>
      </c>
      <c r="L47" s="3">
        <f t="shared" si="36"/>
        <v>0</v>
      </c>
      <c r="M47" s="3">
        <f t="shared" si="36"/>
        <v>0</v>
      </c>
      <c r="O47" s="1444"/>
      <c r="P47" s="630">
        <f>P38</f>
        <v>0</v>
      </c>
      <c r="Q47" s="3">
        <f t="shared" ref="Q47:X47" si="37">F66*Q38</f>
        <v>0</v>
      </c>
      <c r="R47" s="3">
        <f t="shared" si="37"/>
        <v>0</v>
      </c>
      <c r="S47" s="3">
        <f t="shared" si="37"/>
        <v>0</v>
      </c>
      <c r="T47" s="3">
        <f t="shared" si="37"/>
        <v>0</v>
      </c>
      <c r="U47" s="3">
        <f t="shared" si="37"/>
        <v>0</v>
      </c>
      <c r="V47" s="3">
        <f t="shared" si="37"/>
        <v>0</v>
      </c>
      <c r="W47" s="3">
        <f t="shared" si="37"/>
        <v>0</v>
      </c>
      <c r="X47" s="3">
        <f t="shared" si="37"/>
        <v>0</v>
      </c>
      <c r="Y47" s="3">
        <f>SUM(Q47:X47)</f>
        <v>0</v>
      </c>
      <c r="AM47" s="1413"/>
      <c r="AN47" s="1420"/>
      <c r="AO47" s="1422" t="s">
        <v>38</v>
      </c>
      <c r="AP47" s="735" t="s">
        <v>559</v>
      </c>
      <c r="AQ47" s="85">
        <f t="shared" si="33"/>
        <v>0</v>
      </c>
    </row>
    <row r="48" spans="2:43" ht="15" customHeight="1">
      <c r="B48" s="1413"/>
      <c r="C48" s="1421"/>
      <c r="D48" s="1422"/>
      <c r="E48" s="53" t="s">
        <v>167</v>
      </c>
      <c r="F48" s="3">
        <f>IF(基本情報!E5="",0,F16)</f>
        <v>0</v>
      </c>
      <c r="G48" s="3">
        <f t="shared" si="36"/>
        <v>0</v>
      </c>
      <c r="H48" s="3">
        <f t="shared" si="36"/>
        <v>0</v>
      </c>
      <c r="I48" s="3">
        <f t="shared" si="36"/>
        <v>0</v>
      </c>
      <c r="J48" s="3">
        <f t="shared" si="36"/>
        <v>0</v>
      </c>
      <c r="K48" s="3">
        <f t="shared" si="36"/>
        <v>0</v>
      </c>
      <c r="L48" s="3">
        <f t="shared" si="36"/>
        <v>0</v>
      </c>
      <c r="M48" s="3">
        <f t="shared" si="36"/>
        <v>0</v>
      </c>
      <c r="O48" s="1444"/>
      <c r="P48" s="631">
        <f>P39</f>
        <v>0</v>
      </c>
      <c r="Q48" s="3">
        <f t="shared" ref="Q48:X48" si="38">F66*Q39</f>
        <v>0</v>
      </c>
      <c r="R48" s="3">
        <f t="shared" si="38"/>
        <v>0</v>
      </c>
      <c r="S48" s="3">
        <f t="shared" si="38"/>
        <v>0</v>
      </c>
      <c r="T48" s="3">
        <f t="shared" si="38"/>
        <v>0</v>
      </c>
      <c r="U48" s="3">
        <f t="shared" si="38"/>
        <v>0</v>
      </c>
      <c r="V48" s="3">
        <f t="shared" si="38"/>
        <v>0</v>
      </c>
      <c r="W48" s="3">
        <f t="shared" si="38"/>
        <v>0</v>
      </c>
      <c r="X48" s="3">
        <f t="shared" si="38"/>
        <v>0</v>
      </c>
      <c r="Y48" s="3">
        <f t="shared" ref="Y48:Y51" si="39">SUM(Q48:X48)</f>
        <v>0</v>
      </c>
      <c r="AM48" s="1413"/>
      <c r="AN48" s="1421"/>
      <c r="AO48" s="1422"/>
      <c r="AP48" s="734" t="s">
        <v>167</v>
      </c>
      <c r="AQ48" s="85">
        <f t="shared" si="33"/>
        <v>0</v>
      </c>
    </row>
    <row r="49" spans="2:43">
      <c r="B49" s="1413"/>
      <c r="C49" s="1423" t="s">
        <v>205</v>
      </c>
      <c r="D49" s="371" t="s">
        <v>164</v>
      </c>
      <c r="E49" s="60"/>
      <c r="F49" s="3">
        <f>-ROUNDDOWN((F38+F39)*$P$2%,-1)</f>
        <v>0</v>
      </c>
      <c r="G49" s="3">
        <f t="shared" ref="G49:M49" si="40">-ROUNDDOWN((G38+G39)*$P$2%,-1)</f>
        <v>0</v>
      </c>
      <c r="H49" s="3">
        <f t="shared" si="40"/>
        <v>0</v>
      </c>
      <c r="I49" s="3">
        <f t="shared" si="40"/>
        <v>0</v>
      </c>
      <c r="J49" s="3">
        <f t="shared" si="40"/>
        <v>0</v>
      </c>
      <c r="K49" s="3">
        <f t="shared" si="40"/>
        <v>0</v>
      </c>
      <c r="L49" s="3">
        <f t="shared" si="40"/>
        <v>0</v>
      </c>
      <c r="M49" s="3">
        <f t="shared" si="40"/>
        <v>0</v>
      </c>
      <c r="O49" s="1444"/>
      <c r="P49" s="632">
        <f>P40</f>
        <v>0</v>
      </c>
      <c r="Q49" s="3">
        <f t="shared" ref="Q49:X49" si="41">F66*Q40</f>
        <v>0</v>
      </c>
      <c r="R49" s="3">
        <f t="shared" si="41"/>
        <v>0</v>
      </c>
      <c r="S49" s="3">
        <f t="shared" si="41"/>
        <v>0</v>
      </c>
      <c r="T49" s="3">
        <f t="shared" si="41"/>
        <v>0</v>
      </c>
      <c r="U49" s="3">
        <f t="shared" si="41"/>
        <v>0</v>
      </c>
      <c r="V49" s="3">
        <f t="shared" si="41"/>
        <v>0</v>
      </c>
      <c r="W49" s="3">
        <f t="shared" si="41"/>
        <v>0</v>
      </c>
      <c r="X49" s="3">
        <f t="shared" si="41"/>
        <v>0</v>
      </c>
      <c r="Y49" s="3">
        <f t="shared" si="39"/>
        <v>0</v>
      </c>
      <c r="AM49" s="1413"/>
      <c r="AN49" s="1423" t="s">
        <v>205</v>
      </c>
      <c r="AO49" s="717" t="s">
        <v>164</v>
      </c>
      <c r="AP49" s="738"/>
      <c r="AQ49" s="85">
        <f t="shared" si="33"/>
        <v>0</v>
      </c>
    </row>
    <row r="50" spans="2:43">
      <c r="B50" s="1413"/>
      <c r="C50" s="1423"/>
      <c r="D50" s="1424" t="s">
        <v>43</v>
      </c>
      <c r="E50" s="53" t="s">
        <v>169</v>
      </c>
      <c r="F50" s="74">
        <f>IF(基本情報!E5="",0,-IF(加算と減算!P32="○",単価表!AZ23,0))</f>
        <v>0</v>
      </c>
      <c r="G50" s="74">
        <f>F50</f>
        <v>0</v>
      </c>
      <c r="H50" s="74">
        <f>F50</f>
        <v>0</v>
      </c>
      <c r="I50" s="74">
        <f>F50</f>
        <v>0</v>
      </c>
      <c r="J50" s="74">
        <f>F50</f>
        <v>0</v>
      </c>
      <c r="K50" s="74">
        <f>F50</f>
        <v>0</v>
      </c>
      <c r="L50" s="74">
        <f>F50</f>
        <v>0</v>
      </c>
      <c r="M50" s="74">
        <f>F50</f>
        <v>0</v>
      </c>
      <c r="O50" s="1444"/>
      <c r="P50" s="633">
        <f>P41</f>
        <v>0</v>
      </c>
      <c r="Q50" s="3">
        <f t="shared" ref="Q50:X50" si="42">F66*Q41</f>
        <v>0</v>
      </c>
      <c r="R50" s="3">
        <f t="shared" si="42"/>
        <v>0</v>
      </c>
      <c r="S50" s="3">
        <f t="shared" si="42"/>
        <v>0</v>
      </c>
      <c r="T50" s="3">
        <f t="shared" si="42"/>
        <v>0</v>
      </c>
      <c r="U50" s="3">
        <f t="shared" si="42"/>
        <v>0</v>
      </c>
      <c r="V50" s="3">
        <f t="shared" si="42"/>
        <v>0</v>
      </c>
      <c r="W50" s="3">
        <f t="shared" si="42"/>
        <v>0</v>
      </c>
      <c r="X50" s="3">
        <f t="shared" si="42"/>
        <v>0</v>
      </c>
      <c r="Y50" s="3">
        <f t="shared" si="39"/>
        <v>0</v>
      </c>
      <c r="AM50" s="1413"/>
      <c r="AN50" s="1423"/>
      <c r="AO50" s="1424" t="s">
        <v>43</v>
      </c>
      <c r="AP50" s="734" t="s">
        <v>169</v>
      </c>
      <c r="AQ50" s="85">
        <f t="shared" si="33"/>
        <v>0</v>
      </c>
    </row>
    <row r="51" spans="2:43">
      <c r="B51" s="1413"/>
      <c r="C51" s="1423"/>
      <c r="D51" s="1424"/>
      <c r="E51" s="53" t="s">
        <v>167</v>
      </c>
      <c r="F51" s="74">
        <f>IF(基本情報!E5="",0,-IF(加算と減算!P32="○",単価表!BA23*基本情報!G7,0))</f>
        <v>0</v>
      </c>
      <c r="G51" s="74">
        <f>F51</f>
        <v>0</v>
      </c>
      <c r="H51" s="74">
        <f>F51</f>
        <v>0</v>
      </c>
      <c r="I51" s="74">
        <f>F51</f>
        <v>0</v>
      </c>
      <c r="J51" s="74">
        <f>F51</f>
        <v>0</v>
      </c>
      <c r="K51" s="74">
        <f>F51</f>
        <v>0</v>
      </c>
      <c r="L51" s="74">
        <f>F51</f>
        <v>0</v>
      </c>
      <c r="M51" s="74">
        <f>F51</f>
        <v>0</v>
      </c>
      <c r="O51" s="1444"/>
      <c r="P51" s="634">
        <f>P42</f>
        <v>0</v>
      </c>
      <c r="Q51" s="3">
        <f t="shared" ref="Q51:X51" si="43">F66*Q42</f>
        <v>0</v>
      </c>
      <c r="R51" s="3">
        <f t="shared" si="43"/>
        <v>0</v>
      </c>
      <c r="S51" s="3">
        <f t="shared" si="43"/>
        <v>0</v>
      </c>
      <c r="T51" s="3">
        <f t="shared" si="43"/>
        <v>0</v>
      </c>
      <c r="U51" s="3">
        <f t="shared" si="43"/>
        <v>0</v>
      </c>
      <c r="V51" s="3">
        <f t="shared" si="43"/>
        <v>0</v>
      </c>
      <c r="W51" s="3">
        <f t="shared" si="43"/>
        <v>0</v>
      </c>
      <c r="X51" s="3">
        <f t="shared" si="43"/>
        <v>0</v>
      </c>
      <c r="Y51" s="3">
        <f t="shared" si="39"/>
        <v>0</v>
      </c>
      <c r="AM51" s="1413"/>
      <c r="AN51" s="1423"/>
      <c r="AO51" s="1424"/>
      <c r="AP51" s="734" t="s">
        <v>167</v>
      </c>
      <c r="AQ51" s="85">
        <f t="shared" si="33"/>
        <v>0</v>
      </c>
    </row>
    <row r="52" spans="2:43">
      <c r="B52" s="1413"/>
      <c r="C52" s="1423"/>
      <c r="D52" s="371" t="s">
        <v>165</v>
      </c>
      <c r="E52" s="60"/>
      <c r="F52" s="74">
        <f>IF(基本情報!$E$5="",0,-ROUNDDOWN((F38+F39+F43+F44+F40+F41)*$T$2/100,-1))</f>
        <v>0</v>
      </c>
      <c r="G52" s="74">
        <f>IF(基本情報!$E$5="",0,-ROUNDDOWN((G38+G39+G43+G44+G40+G41)*$T$2/100,-1))</f>
        <v>0</v>
      </c>
      <c r="H52" s="74">
        <f>IF(基本情報!$E$5="",0,-ROUNDDOWN((H38+H39+H43+H44+H40+H41)*$T$2/100,-1))</f>
        <v>0</v>
      </c>
      <c r="I52" s="74">
        <f>IF(基本情報!$E$5="",0,-ROUNDDOWN((I38+I39+I43+I44+I40+I41)*$T$2/100,-1))</f>
        <v>0</v>
      </c>
      <c r="J52" s="74">
        <f>IF(基本情報!$E$5="",0,-ROUNDDOWN((J38+J39+J43+J44+J40+J41)*$T$2/100,-1))</f>
        <v>0</v>
      </c>
      <c r="K52" s="74">
        <f>IF(基本情報!$E$5="",0,-ROUNDDOWN((K38+K39+K43+K44+K40+K41)*$T$2/100,-1))</f>
        <v>0</v>
      </c>
      <c r="L52" s="74">
        <f>IF(基本情報!$E$5="",0,-ROUNDDOWN((L38+L39+L43+L44+L40+L41)*$T$2/100,-1))</f>
        <v>0</v>
      </c>
      <c r="M52" s="74">
        <f>IF(基本情報!$E$5="",0,-ROUNDDOWN((M38+M39+M43+M44+M40+M41)*$T$2/100,-1))</f>
        <v>0</v>
      </c>
      <c r="O52" s="1445"/>
      <c r="P52" s="635" t="s">
        <v>36</v>
      </c>
      <c r="Q52" s="3">
        <f>SUM(Q47:Q51)</f>
        <v>0</v>
      </c>
      <c r="R52" s="3">
        <f t="shared" ref="R52:Y52" si="44">SUM(R47:R51)</f>
        <v>0</v>
      </c>
      <c r="S52" s="3">
        <f t="shared" si="44"/>
        <v>0</v>
      </c>
      <c r="T52" s="3">
        <f t="shared" si="44"/>
        <v>0</v>
      </c>
      <c r="U52" s="3">
        <f t="shared" si="44"/>
        <v>0</v>
      </c>
      <c r="V52" s="3">
        <f t="shared" si="44"/>
        <v>0</v>
      </c>
      <c r="W52" s="3">
        <f t="shared" si="44"/>
        <v>0</v>
      </c>
      <c r="X52" s="3">
        <f t="shared" si="44"/>
        <v>0</v>
      </c>
      <c r="Y52" s="3">
        <f t="shared" si="44"/>
        <v>0</v>
      </c>
      <c r="AM52" s="1413"/>
      <c r="AN52" s="1423"/>
      <c r="AO52" s="717" t="s">
        <v>165</v>
      </c>
      <c r="AP52" s="738"/>
      <c r="AQ52" s="85">
        <f t="shared" si="33"/>
        <v>0</v>
      </c>
    </row>
    <row r="53" spans="2:43">
      <c r="B53" s="1413"/>
      <c r="C53" s="1423"/>
      <c r="D53" s="371" t="s">
        <v>166</v>
      </c>
      <c r="E53" s="60"/>
      <c r="F53" s="74">
        <f>IF(基本情報!E5="",0,-ROUNDUP(SUM(F38:F52)*$W$2/100,-1))</f>
        <v>0</v>
      </c>
      <c r="G53" s="74">
        <f t="shared" ref="G53:M53" si="45">-ROUNDUP(SUM(G38:G52)*$W$2/100,-1)</f>
        <v>0</v>
      </c>
      <c r="H53" s="74">
        <f t="shared" si="45"/>
        <v>0</v>
      </c>
      <c r="I53" s="74">
        <f t="shared" si="45"/>
        <v>0</v>
      </c>
      <c r="J53" s="74">
        <f t="shared" si="45"/>
        <v>0</v>
      </c>
      <c r="K53" s="74">
        <f t="shared" si="45"/>
        <v>0</v>
      </c>
      <c r="L53" s="74">
        <f t="shared" si="45"/>
        <v>0</v>
      </c>
      <c r="M53" s="74">
        <f t="shared" si="45"/>
        <v>0</v>
      </c>
      <c r="O53" s="8"/>
      <c r="P53" s="58"/>
      <c r="Q53" s="7"/>
      <c r="R53" s="7"/>
      <c r="S53" s="7"/>
      <c r="T53" s="7"/>
      <c r="U53" s="7"/>
      <c r="V53" s="7"/>
      <c r="W53" s="7"/>
      <c r="X53" s="7"/>
      <c r="Y53" s="4"/>
      <c r="Z53" s="4"/>
      <c r="AM53" s="1413"/>
      <c r="AN53" s="1423"/>
      <c r="AO53" s="717" t="s">
        <v>166</v>
      </c>
      <c r="AP53" s="738"/>
      <c r="AQ53" s="85">
        <f t="shared" si="33"/>
        <v>0</v>
      </c>
    </row>
    <row r="54" spans="2:43" ht="16.5">
      <c r="B54" s="1413"/>
      <c r="C54" s="1419" t="s">
        <v>204</v>
      </c>
      <c r="D54" s="372" t="s">
        <v>18</v>
      </c>
      <c r="E54" s="59"/>
      <c r="F54" s="3">
        <f>IF(基本情報!E5="",0,F21)</f>
        <v>0</v>
      </c>
      <c r="G54" s="3">
        <f>$F54</f>
        <v>0</v>
      </c>
      <c r="H54" s="3">
        <f t="shared" ref="H54:M54" si="46">$F54</f>
        <v>0</v>
      </c>
      <c r="I54" s="3">
        <f t="shared" si="46"/>
        <v>0</v>
      </c>
      <c r="J54" s="3">
        <f t="shared" si="46"/>
        <v>0</v>
      </c>
      <c r="K54" s="3">
        <f t="shared" si="46"/>
        <v>0</v>
      </c>
      <c r="L54" s="3">
        <f t="shared" si="46"/>
        <v>0</v>
      </c>
      <c r="M54" s="3">
        <f t="shared" si="46"/>
        <v>0</v>
      </c>
      <c r="O54" s="1443" t="s">
        <v>180</v>
      </c>
      <c r="P54" s="367" t="s">
        <v>171</v>
      </c>
      <c r="Q54" s="61" t="s">
        <v>178</v>
      </c>
      <c r="R54" s="40" t="s">
        <v>179</v>
      </c>
      <c r="S54" s="4"/>
      <c r="T54" s="1443" t="s">
        <v>190</v>
      </c>
      <c r="U54" s="367" t="s">
        <v>171</v>
      </c>
      <c r="V54" s="40" t="s">
        <v>179</v>
      </c>
      <c r="X54" s="1431" t="s">
        <v>186</v>
      </c>
      <c r="Y54" s="1431"/>
      <c r="AM54" s="1413"/>
      <c r="AN54" s="1419" t="s">
        <v>204</v>
      </c>
      <c r="AO54" s="719" t="s">
        <v>18</v>
      </c>
      <c r="AP54" s="735" t="s">
        <v>559</v>
      </c>
      <c r="AQ54" s="85">
        <f t="shared" si="33"/>
        <v>0</v>
      </c>
    </row>
    <row r="55" spans="2:43" ht="16.5">
      <c r="B55" s="1413"/>
      <c r="C55" s="1420"/>
      <c r="D55" s="372" t="s">
        <v>62</v>
      </c>
      <c r="E55" s="59"/>
      <c r="F55" s="3">
        <f>IF(基本情報!E5="",0,F22)</f>
        <v>0</v>
      </c>
      <c r="G55" s="3">
        <f t="shared" ref="G55:M59" si="47">$F55</f>
        <v>0</v>
      </c>
      <c r="H55" s="3">
        <f t="shared" si="47"/>
        <v>0</v>
      </c>
      <c r="I55" s="3">
        <f t="shared" si="47"/>
        <v>0</v>
      </c>
      <c r="J55" s="3">
        <f t="shared" si="47"/>
        <v>0</v>
      </c>
      <c r="K55" s="3">
        <f t="shared" si="47"/>
        <v>0</v>
      </c>
      <c r="L55" s="3">
        <f t="shared" si="47"/>
        <v>0</v>
      </c>
      <c r="M55" s="3">
        <f t="shared" si="47"/>
        <v>0</v>
      </c>
      <c r="O55" s="1444"/>
      <c r="P55" s="630">
        <f>P38</f>
        <v>0</v>
      </c>
      <c r="Q55" s="3">
        <f>児童数!AF33</f>
        <v>0</v>
      </c>
      <c r="R55" s="64">
        <f>4500*Q55</f>
        <v>0</v>
      </c>
      <c r="S55" s="4"/>
      <c r="T55" s="1444"/>
      <c r="U55" s="630">
        <f>P38</f>
        <v>0</v>
      </c>
      <c r="V55" s="65">
        <f>Y47+R55</f>
        <v>0</v>
      </c>
      <c r="X55" s="630">
        <f>P38</f>
        <v>0</v>
      </c>
      <c r="Y55" s="65" t="e">
        <f>V23+V55</f>
        <v>#VALUE!</v>
      </c>
      <c r="AM55" s="1413"/>
      <c r="AN55" s="1420"/>
      <c r="AO55" s="719" t="s">
        <v>62</v>
      </c>
      <c r="AP55" s="735" t="s">
        <v>559</v>
      </c>
      <c r="AQ55" s="85">
        <f t="shared" si="33"/>
        <v>0</v>
      </c>
    </row>
    <row r="56" spans="2:43" ht="16.5">
      <c r="B56" s="1413"/>
      <c r="C56" s="1420"/>
      <c r="D56" s="372" t="s">
        <v>19</v>
      </c>
      <c r="E56" s="59"/>
      <c r="F56" s="3">
        <f>IF(基本情報!E5="",0,F23)</f>
        <v>0</v>
      </c>
      <c r="G56" s="3">
        <f t="shared" si="47"/>
        <v>0</v>
      </c>
      <c r="H56" s="3">
        <f t="shared" si="47"/>
        <v>0</v>
      </c>
      <c r="I56" s="3">
        <f t="shared" si="47"/>
        <v>0</v>
      </c>
      <c r="J56" s="3">
        <f t="shared" si="47"/>
        <v>0</v>
      </c>
      <c r="K56" s="3">
        <f t="shared" si="47"/>
        <v>0</v>
      </c>
      <c r="L56" s="3">
        <f t="shared" si="47"/>
        <v>0</v>
      </c>
      <c r="M56" s="3">
        <f t="shared" si="47"/>
        <v>0</v>
      </c>
      <c r="O56" s="1444"/>
      <c r="P56" s="631">
        <f>P39</f>
        <v>0</v>
      </c>
      <c r="Q56" s="3">
        <f>児童数!AF47</f>
        <v>0</v>
      </c>
      <c r="R56" s="64">
        <f t="shared" ref="R56:R59" si="48">4500*Q56</f>
        <v>0</v>
      </c>
      <c r="S56" s="4"/>
      <c r="T56" s="1444"/>
      <c r="U56" s="631">
        <f>P39</f>
        <v>0</v>
      </c>
      <c r="V56" s="66">
        <f>Y48+R56</f>
        <v>0</v>
      </c>
      <c r="X56" s="631">
        <f>P39</f>
        <v>0</v>
      </c>
      <c r="Y56" s="66" t="e">
        <f>V24+V56</f>
        <v>#VALUE!</v>
      </c>
      <c r="AM56" s="1413"/>
      <c r="AN56" s="1420"/>
      <c r="AO56" s="719" t="s">
        <v>19</v>
      </c>
      <c r="AP56" s="735" t="s">
        <v>559</v>
      </c>
      <c r="AQ56" s="85">
        <f t="shared" si="33"/>
        <v>0</v>
      </c>
    </row>
    <row r="57" spans="2:43" ht="16.5">
      <c r="B57" s="1413"/>
      <c r="C57" s="1420"/>
      <c r="D57" s="372" t="s">
        <v>41</v>
      </c>
      <c r="E57" s="59"/>
      <c r="F57" s="3">
        <f>IF(基本情報!E5="",0,F24)</f>
        <v>0</v>
      </c>
      <c r="G57" s="3">
        <f t="shared" si="47"/>
        <v>0</v>
      </c>
      <c r="H57" s="3">
        <f t="shared" si="47"/>
        <v>0</v>
      </c>
      <c r="I57" s="3">
        <f t="shared" si="47"/>
        <v>0</v>
      </c>
      <c r="J57" s="3">
        <f t="shared" si="47"/>
        <v>0</v>
      </c>
      <c r="K57" s="3">
        <f t="shared" si="47"/>
        <v>0</v>
      </c>
      <c r="L57" s="3">
        <f t="shared" si="47"/>
        <v>0</v>
      </c>
      <c r="M57" s="3">
        <f t="shared" si="47"/>
        <v>0</v>
      </c>
      <c r="O57" s="1444"/>
      <c r="P57" s="632">
        <f>P40</f>
        <v>0</v>
      </c>
      <c r="Q57" s="3">
        <f>児童数!AF61</f>
        <v>0</v>
      </c>
      <c r="R57" s="64">
        <f t="shared" si="48"/>
        <v>0</v>
      </c>
      <c r="S57" s="4"/>
      <c r="T57" s="1444"/>
      <c r="U57" s="632">
        <f>P40</f>
        <v>0</v>
      </c>
      <c r="V57" s="67">
        <f>Y49+R57</f>
        <v>0</v>
      </c>
      <c r="X57" s="632">
        <f>P40</f>
        <v>0</v>
      </c>
      <c r="Y57" s="67" t="e">
        <f>V25+V57</f>
        <v>#VALUE!</v>
      </c>
      <c r="AM57" s="1413"/>
      <c r="AN57" s="1420"/>
      <c r="AO57" s="719" t="s">
        <v>41</v>
      </c>
      <c r="AP57" s="735" t="s">
        <v>559</v>
      </c>
      <c r="AQ57" s="85">
        <f t="shared" si="33"/>
        <v>0</v>
      </c>
    </row>
    <row r="58" spans="2:43" ht="16.5">
      <c r="B58" s="1413"/>
      <c r="C58" s="1420"/>
      <c r="D58" s="372" t="s">
        <v>42</v>
      </c>
      <c r="E58" s="59"/>
      <c r="F58" s="3">
        <f>IF(基本情報!E5="",0,F25)</f>
        <v>0</v>
      </c>
      <c r="G58" s="3">
        <f t="shared" si="47"/>
        <v>0</v>
      </c>
      <c r="H58" s="3">
        <f t="shared" si="47"/>
        <v>0</v>
      </c>
      <c r="I58" s="3">
        <f t="shared" si="47"/>
        <v>0</v>
      </c>
      <c r="J58" s="3">
        <f t="shared" si="47"/>
        <v>0</v>
      </c>
      <c r="K58" s="3">
        <f t="shared" si="47"/>
        <v>0</v>
      </c>
      <c r="L58" s="3">
        <f t="shared" si="47"/>
        <v>0</v>
      </c>
      <c r="M58" s="3">
        <f t="shared" si="47"/>
        <v>0</v>
      </c>
      <c r="O58" s="1444"/>
      <c r="P58" s="633">
        <f>P41</f>
        <v>0</v>
      </c>
      <c r="Q58" s="3">
        <f>児童数!AF75</f>
        <v>0</v>
      </c>
      <c r="R58" s="64">
        <f t="shared" si="48"/>
        <v>0</v>
      </c>
      <c r="S58" s="4"/>
      <c r="T58" s="1444"/>
      <c r="U58" s="633">
        <f>P41</f>
        <v>0</v>
      </c>
      <c r="V58" s="68">
        <f>Y50+R58</f>
        <v>0</v>
      </c>
      <c r="X58" s="633">
        <f>P41</f>
        <v>0</v>
      </c>
      <c r="Y58" s="68" t="e">
        <f>V26+V58</f>
        <v>#VALUE!</v>
      </c>
      <c r="AM58" s="1413"/>
      <c r="AN58" s="1420"/>
      <c r="AO58" s="719" t="s">
        <v>42</v>
      </c>
      <c r="AP58" s="737" t="s">
        <v>353</v>
      </c>
      <c r="AQ58" s="85">
        <f t="shared" si="33"/>
        <v>0</v>
      </c>
    </row>
    <row r="59" spans="2:43" ht="16.5">
      <c r="B59" s="1413"/>
      <c r="C59" s="1420"/>
      <c r="D59" s="372" t="s">
        <v>80</v>
      </c>
      <c r="E59" s="59"/>
      <c r="F59" s="3">
        <f>IF(基本情報!E5="",0,F26)</f>
        <v>0</v>
      </c>
      <c r="G59" s="3">
        <f t="shared" si="47"/>
        <v>0</v>
      </c>
      <c r="H59" s="3">
        <f t="shared" si="47"/>
        <v>0</v>
      </c>
      <c r="I59" s="3">
        <f t="shared" si="47"/>
        <v>0</v>
      </c>
      <c r="J59" s="3">
        <f t="shared" si="47"/>
        <v>0</v>
      </c>
      <c r="K59" s="3">
        <f t="shared" si="47"/>
        <v>0</v>
      </c>
      <c r="L59" s="3">
        <f t="shared" si="47"/>
        <v>0</v>
      </c>
      <c r="M59" s="3">
        <f t="shared" si="47"/>
        <v>0</v>
      </c>
      <c r="O59" s="1444"/>
      <c r="P59" s="634">
        <f>P42</f>
        <v>0</v>
      </c>
      <c r="Q59" s="3">
        <f>児童数!AF89</f>
        <v>0</v>
      </c>
      <c r="R59" s="64">
        <f t="shared" si="48"/>
        <v>0</v>
      </c>
      <c r="S59" s="4"/>
      <c r="T59" s="1444"/>
      <c r="U59" s="634">
        <f>P42</f>
        <v>0</v>
      </c>
      <c r="V59" s="69">
        <f>Y51+R59</f>
        <v>0</v>
      </c>
      <c r="X59" s="634">
        <f>P42</f>
        <v>0</v>
      </c>
      <c r="Y59" s="69" t="e">
        <f>V27+V59</f>
        <v>#VALUE!</v>
      </c>
      <c r="AM59" s="1413"/>
      <c r="AN59" s="1420"/>
      <c r="AO59" s="719" t="s">
        <v>80</v>
      </c>
      <c r="AP59" s="737" t="s">
        <v>353</v>
      </c>
      <c r="AQ59" s="85">
        <f t="shared" si="33"/>
        <v>0</v>
      </c>
    </row>
    <row r="60" spans="2:43" ht="16.5">
      <c r="B60" s="1413"/>
      <c r="C60" s="1420"/>
      <c r="D60" s="372" t="s">
        <v>78</v>
      </c>
      <c r="E60" s="59"/>
      <c r="F60" s="3">
        <f>IF(基本情報!E5="",0,F27)</f>
        <v>0</v>
      </c>
      <c r="G60" s="3">
        <f t="shared" ref="G60:G65" si="49">F60</f>
        <v>0</v>
      </c>
      <c r="H60" s="3">
        <f t="shared" ref="H60:H65" si="50">F60</f>
        <v>0</v>
      </c>
      <c r="I60" s="3">
        <f t="shared" ref="I60:I65" si="51">F60</f>
        <v>0</v>
      </c>
      <c r="J60" s="3">
        <f t="shared" ref="J60:J65" si="52">F60</f>
        <v>0</v>
      </c>
      <c r="K60" s="3">
        <f t="shared" ref="K60:K65" si="53">F60</f>
        <v>0</v>
      </c>
      <c r="L60" s="3">
        <f t="shared" ref="L60:L65" si="54">F60</f>
        <v>0</v>
      </c>
      <c r="M60" s="3">
        <f t="shared" ref="M60:M65" si="55">F60</f>
        <v>0</v>
      </c>
      <c r="O60" s="1445"/>
      <c r="P60" s="635" t="s">
        <v>36</v>
      </c>
      <c r="Q60" s="3">
        <f>SUM(Q55:Q59)</f>
        <v>0</v>
      </c>
      <c r="R60" s="3">
        <f>SUM(R55:R59)</f>
        <v>0</v>
      </c>
      <c r="S60" s="4"/>
      <c r="T60" s="1445"/>
      <c r="U60" s="635" t="s">
        <v>36</v>
      </c>
      <c r="V60" s="70">
        <f>SUM(V55:V59)</f>
        <v>0</v>
      </c>
      <c r="X60" s="635" t="s">
        <v>36</v>
      </c>
      <c r="Y60" s="70" t="e">
        <f>SUM(Y55:Y59)</f>
        <v>#VALUE!</v>
      </c>
      <c r="AM60" s="1413"/>
      <c r="AN60" s="1420"/>
      <c r="AO60" s="719" t="s">
        <v>78</v>
      </c>
      <c r="AP60" s="737" t="s">
        <v>353</v>
      </c>
      <c r="AQ60" s="85">
        <f t="shared" si="33"/>
        <v>0</v>
      </c>
    </row>
    <row r="61" spans="2:43" ht="16.5">
      <c r="B61" s="1413"/>
      <c r="C61" s="1420"/>
      <c r="D61" s="372" t="s">
        <v>432</v>
      </c>
      <c r="E61" s="59"/>
      <c r="F61" s="3">
        <f>IF(基本情報!E5="",0,F28)</f>
        <v>0</v>
      </c>
      <c r="G61" s="3">
        <f t="shared" si="49"/>
        <v>0</v>
      </c>
      <c r="H61" s="3">
        <f t="shared" si="50"/>
        <v>0</v>
      </c>
      <c r="I61" s="3">
        <f t="shared" si="51"/>
        <v>0</v>
      </c>
      <c r="J61" s="3">
        <f t="shared" si="52"/>
        <v>0</v>
      </c>
      <c r="K61" s="3">
        <f t="shared" si="53"/>
        <v>0</v>
      </c>
      <c r="L61" s="3">
        <f t="shared" si="54"/>
        <v>0</v>
      </c>
      <c r="M61" s="3">
        <f t="shared" si="55"/>
        <v>0</v>
      </c>
      <c r="AM61" s="1413"/>
      <c r="AN61" s="1420"/>
      <c r="AO61" s="719" t="s">
        <v>432</v>
      </c>
      <c r="AP61" s="737" t="s">
        <v>353</v>
      </c>
      <c r="AQ61" s="85">
        <f t="shared" si="33"/>
        <v>0</v>
      </c>
    </row>
    <row r="62" spans="2:43" ht="30">
      <c r="B62" s="1413"/>
      <c r="C62" s="1420"/>
      <c r="D62" s="372" t="s">
        <v>433</v>
      </c>
      <c r="E62" s="59"/>
      <c r="F62" s="3">
        <f>IF(基本情報!E5="",0,F29)</f>
        <v>0</v>
      </c>
      <c r="G62" s="3">
        <f t="shared" si="49"/>
        <v>0</v>
      </c>
      <c r="H62" s="3">
        <f t="shared" si="50"/>
        <v>0</v>
      </c>
      <c r="I62" s="3">
        <f t="shared" si="51"/>
        <v>0</v>
      </c>
      <c r="J62" s="3">
        <f t="shared" si="52"/>
        <v>0</v>
      </c>
      <c r="K62" s="3">
        <f t="shared" si="53"/>
        <v>0</v>
      </c>
      <c r="L62" s="3">
        <f t="shared" si="54"/>
        <v>0</v>
      </c>
      <c r="M62" s="3">
        <f t="shared" si="55"/>
        <v>0</v>
      </c>
      <c r="O62" s="1430" t="s">
        <v>428</v>
      </c>
      <c r="P62" s="1430"/>
      <c r="X62" s="1430" t="s">
        <v>427</v>
      </c>
      <c r="Y62" s="1430"/>
      <c r="AM62" s="1413"/>
      <c r="AN62" s="1420"/>
      <c r="AO62" s="719" t="s">
        <v>433</v>
      </c>
      <c r="AP62" s="737" t="s">
        <v>353</v>
      </c>
      <c r="AQ62" s="85">
        <f t="shared" si="33"/>
        <v>0</v>
      </c>
    </row>
    <row r="63" spans="2:43" ht="30">
      <c r="B63" s="1413"/>
      <c r="C63" s="1420"/>
      <c r="D63" s="372" t="s">
        <v>434</v>
      </c>
      <c r="E63" s="59"/>
      <c r="F63" s="3">
        <f>IF(基本情報!E5="",0,F30)</f>
        <v>0</v>
      </c>
      <c r="G63" s="3">
        <f t="shared" si="49"/>
        <v>0</v>
      </c>
      <c r="H63" s="3">
        <f t="shared" si="50"/>
        <v>0</v>
      </c>
      <c r="I63" s="3">
        <f t="shared" si="51"/>
        <v>0</v>
      </c>
      <c r="J63" s="3">
        <f t="shared" si="52"/>
        <v>0</v>
      </c>
      <c r="K63" s="3">
        <f t="shared" si="53"/>
        <v>0</v>
      </c>
      <c r="L63" s="3">
        <f t="shared" si="54"/>
        <v>0</v>
      </c>
      <c r="M63" s="3">
        <f t="shared" si="55"/>
        <v>0</v>
      </c>
      <c r="O63" s="83" t="s">
        <v>429</v>
      </c>
      <c r="P63" s="83" t="s">
        <v>206</v>
      </c>
      <c r="Q63" s="83" t="s">
        <v>207</v>
      </c>
      <c r="R63" s="83" t="s">
        <v>448</v>
      </c>
      <c r="S63" s="83" t="s">
        <v>214</v>
      </c>
      <c r="T63" s="83" t="s">
        <v>215</v>
      </c>
      <c r="U63" s="83" t="s">
        <v>216</v>
      </c>
      <c r="V63" s="282" t="s">
        <v>455</v>
      </c>
      <c r="W63" s="261"/>
      <c r="X63" s="83" t="s">
        <v>429</v>
      </c>
      <c r="Y63" s="83" t="s">
        <v>206</v>
      </c>
      <c r="Z63" s="83" t="s">
        <v>207</v>
      </c>
      <c r="AA63" s="83" t="s">
        <v>448</v>
      </c>
      <c r="AB63" s="83" t="s">
        <v>218</v>
      </c>
      <c r="AC63" s="83" t="s">
        <v>215</v>
      </c>
      <c r="AD63" s="280" t="s">
        <v>453</v>
      </c>
      <c r="AE63" s="282" t="s">
        <v>455</v>
      </c>
      <c r="AM63" s="1413"/>
      <c r="AN63" s="1420"/>
      <c r="AO63" s="719" t="s">
        <v>434</v>
      </c>
      <c r="AP63" s="737" t="s">
        <v>353</v>
      </c>
      <c r="AQ63" s="85">
        <f t="shared" si="33"/>
        <v>0</v>
      </c>
    </row>
    <row r="64" spans="2:43" ht="16.5">
      <c r="B64" s="1413"/>
      <c r="C64" s="1420"/>
      <c r="D64" s="372" t="s">
        <v>21</v>
      </c>
      <c r="E64" s="59"/>
      <c r="F64" s="3">
        <f>IF(基本情報!E5="",0,F31)</f>
        <v>0</v>
      </c>
      <c r="G64" s="3">
        <f t="shared" si="49"/>
        <v>0</v>
      </c>
      <c r="H64" s="3">
        <f t="shared" si="50"/>
        <v>0</v>
      </c>
      <c r="I64" s="3">
        <f t="shared" si="51"/>
        <v>0</v>
      </c>
      <c r="J64" s="3">
        <f t="shared" si="52"/>
        <v>0</v>
      </c>
      <c r="K64" s="3">
        <f t="shared" si="53"/>
        <v>0</v>
      </c>
      <c r="L64" s="3">
        <f t="shared" si="54"/>
        <v>0</v>
      </c>
      <c r="M64" s="3">
        <f t="shared" si="55"/>
        <v>0</v>
      </c>
      <c r="O64" s="61" t="str">
        <f>IF(月途中入退所情報!$D8=$B$2,月途中入退所情報!F8,"-")</f>
        <v>-</v>
      </c>
      <c r="P64" s="61" t="str">
        <f>IF(月途中入退所情報!$D8=$B$2,月途中入退所情報!G8,"-")</f>
        <v>-</v>
      </c>
      <c r="Q64" s="61" t="str">
        <f>IF(月途中入退所情報!$D8=$B$2,月途中入退所情報!H8,"-")</f>
        <v>-</v>
      </c>
      <c r="R64" s="61" t="str">
        <f>IF(月途中入退所情報!$D8=$B$2,月途中入退所情報!I8,"-")</f>
        <v>-</v>
      </c>
      <c r="S64" s="61" t="str">
        <f>IF(月途中入退所情報!$D8=$B$2,月途中入退所情報!J8,"-")</f>
        <v>-</v>
      </c>
      <c r="T64" s="84">
        <f>IF($Q64="標準時間",HLOOKUP($P64,$F$5:$I$33,29,FALSE)-SUM($F$10,$F$21:$F$24,$F$26:$F$32)-HLOOKUP($P64,$F$5:$I$33,16,FALSE)+HLOOKUP($P64,$F$5:$I$35,31,FALSE),IF($Q64="短時間",HLOOKUP($P64,$J$5:$M$33,29,FALSE)-SUM($F$10,$F$21:$F$24,$F$26:$F$32)-HLOOKUP($P64,$J$5:$M$33,16,FALSE)+HLOOKUP($P64,$J$5:$M$35,31,FALSE),0))+IF(R64="○",加算と減算!$AH$3,0)</f>
        <v>0</v>
      </c>
      <c r="U64" s="85">
        <f>IFERROR(ROUNDDOWN(T64*S64/25,-1),0)</f>
        <v>0</v>
      </c>
      <c r="V64" s="262">
        <f>IFERROR(ROUNDDOWN(IF($Q64="標準時間",HLOOKUP($P64,$F$5:$I$34,30,FALSE),IF($Q64="短時間",HLOOKUP($P64,$J$5:$M$34,30,FALSE),0))*S64/25,-1),0)</f>
        <v>0</v>
      </c>
      <c r="W64" s="262"/>
      <c r="X64" s="61" t="str">
        <f>IF(月途中入退所情報!$N8=$B$2,月途中入退所情報!$P8,"-")</f>
        <v>-</v>
      </c>
      <c r="Y64" s="61" t="str">
        <f>IF(月途中入退所情報!$N8=$B$2,月途中入退所情報!$Q8,"-")</f>
        <v>-</v>
      </c>
      <c r="Z64" s="61" t="str">
        <f>IF(月途中入退所情報!$N8=$B$2,月途中入退所情報!$R8,"-")</f>
        <v>-</v>
      </c>
      <c r="AA64" s="61" t="str">
        <f>IF(月途中入退所情報!$N8=$B$2,月途中入退所情報!$S8,"-")</f>
        <v>-</v>
      </c>
      <c r="AB64" s="61" t="str">
        <f>IF(月途中入退所情報!$N8=$B$2,月途中入退所情報!$T8,"-")</f>
        <v>-</v>
      </c>
      <c r="AC64" s="84">
        <f>IF($Z64="標準時間",HLOOKUP($Y64,$F$5:$I$33,29,FALSE)-SUM($F$10,$F$21:$F$24,$F$26:$F$32)-HLOOKUP($Y64,$F$5:$I$33,16,FALSE)+HLOOKUP($Y64,$F$5:$I$35,31,FALSE),IF($Z64="短時間",HLOOKUP($Y64,$J$5:$M$33,29,FALSE)-SUM($F$10,$F$21:$F$24,$F$26:$F$32)-HLOOKUP($Y64,$J$5:$M$33,16,FALSE)+HLOOKUP($Y64,$J$5:$M$35,31,FALSE),0))+IF(AA64="○",加算と減算!$AH$3,0)</f>
        <v>0</v>
      </c>
      <c r="AD64" s="85">
        <f t="shared" ref="AD64:AD83" si="56">IFERROR(-ROUNDUP(AC64*AB64/25,-1),0)</f>
        <v>0</v>
      </c>
      <c r="AE64" s="262">
        <f t="shared" ref="AE64:AE83" si="57">IFERROR(-ROUNDUP(IF($Z64="標準時間",HLOOKUP($Y64,$F$5:$I$34,30,FALSE),IF($Z64="短時間",HLOOKUP($Y64,$J$5:$M$34,30,FALSE),0))*AB64/25,-1),0)</f>
        <v>0</v>
      </c>
      <c r="AM64" s="1413"/>
      <c r="AN64" s="1420"/>
      <c r="AO64" s="719" t="s">
        <v>21</v>
      </c>
      <c r="AP64" s="737" t="s">
        <v>353</v>
      </c>
      <c r="AQ64" s="85">
        <f t="shared" si="33"/>
        <v>0</v>
      </c>
    </row>
    <row r="65" spans="2:43" ht="16.5">
      <c r="B65" s="1413"/>
      <c r="C65" s="1421"/>
      <c r="D65" s="372" t="s">
        <v>435</v>
      </c>
      <c r="E65" s="59"/>
      <c r="F65" s="3">
        <f>IF(基本情報!E5="",0,F32)</f>
        <v>0</v>
      </c>
      <c r="G65" s="3">
        <f t="shared" si="49"/>
        <v>0</v>
      </c>
      <c r="H65" s="3">
        <f t="shared" si="50"/>
        <v>0</v>
      </c>
      <c r="I65" s="3">
        <f t="shared" si="51"/>
        <v>0</v>
      </c>
      <c r="J65" s="3">
        <f t="shared" si="52"/>
        <v>0</v>
      </c>
      <c r="K65" s="3">
        <f t="shared" si="53"/>
        <v>0</v>
      </c>
      <c r="L65" s="3">
        <f t="shared" si="54"/>
        <v>0</v>
      </c>
      <c r="M65" s="3">
        <f t="shared" si="55"/>
        <v>0</v>
      </c>
      <c r="O65" s="61" t="str">
        <f>IF(月途中入退所情報!$D9=$B$2,月途中入退所情報!F9,"-")</f>
        <v>-</v>
      </c>
      <c r="P65" s="61" t="str">
        <f>IF(月途中入退所情報!$D9=$B$2,月途中入退所情報!G9,"-")</f>
        <v>-</v>
      </c>
      <c r="Q65" s="61" t="str">
        <f>IF(月途中入退所情報!$D9=$B$2,月途中入退所情報!H9,"-")</f>
        <v>-</v>
      </c>
      <c r="R65" s="61" t="str">
        <f>IF(月途中入退所情報!$D9=$B$2,月途中入退所情報!I9,"-")</f>
        <v>-</v>
      </c>
      <c r="S65" s="61" t="str">
        <f>IF(月途中入退所情報!$D9=$B$2,月途中入退所情報!J9,"-")</f>
        <v>-</v>
      </c>
      <c r="T65" s="84">
        <f>IF($Q65="標準時間",HLOOKUP($P65,$F$5:$I$33,29,FALSE)-SUM($F$10,$F$21:$F$24,$F$26:$F$32)-HLOOKUP($P65,$F$5:$I$33,16,FALSE)+HLOOKUP($P65,$F$5:$I$35,31,FALSE),IF($Q65="短時間",HLOOKUP($P65,$J$5:$M$33,29,FALSE)-SUM($F$10,$F$21:$F$24,$F$26:$F$32)-HLOOKUP($P65,$J$5:$M$33,16,FALSE)+HLOOKUP($P65,$J$5:$M$35,31,FALSE),0))+IF(R65="○",加算と減算!$AH$3,0)</f>
        <v>0</v>
      </c>
      <c r="U65" s="85">
        <f t="shared" ref="U65:U83" si="58">IFERROR(ROUNDDOWN(T65*S65/25,-1),0)</f>
        <v>0</v>
      </c>
      <c r="V65" s="262">
        <f t="shared" ref="V65:V83" si="59">IFERROR(ROUNDDOWN(IF($Q65="標準時間",HLOOKUP($P65,$F$5:$I$34,30,FALSE),IF($Q65="短時間",HLOOKUP($P65,$J$5:$M$34,30,FALSE),0))*S65/25,-1),0)</f>
        <v>0</v>
      </c>
      <c r="W65" s="262"/>
      <c r="X65" s="61" t="str">
        <f>IF(月途中入退所情報!$N9=$B$2,月途中入退所情報!$P9,"-")</f>
        <v>-</v>
      </c>
      <c r="Y65" s="61" t="str">
        <f>IF(月途中入退所情報!$N9=$B$2,月途中入退所情報!$Q9,"-")</f>
        <v>-</v>
      </c>
      <c r="Z65" s="61" t="str">
        <f>IF(月途中入退所情報!$N9=$B$2,月途中入退所情報!$R9,"-")</f>
        <v>-</v>
      </c>
      <c r="AA65" s="61" t="str">
        <f>IF(月途中入退所情報!$N9=$B$2,月途中入退所情報!$S9,"-")</f>
        <v>-</v>
      </c>
      <c r="AB65" s="61" t="str">
        <f>IF(月途中入退所情報!$N9=$B$2,月途中入退所情報!$T9,"-")</f>
        <v>-</v>
      </c>
      <c r="AC65" s="84">
        <f>IF($Z65="標準時間",HLOOKUP($Y65,$F$5:$I$33,29,FALSE)-SUM($F$10,$F$21:$F$24,$F$26:$F$32)-HLOOKUP($Y65,$F$5:$I$33,16,FALSE)+HLOOKUP($Y65,$F$5:$I$35,31,FALSE),IF($Z65="短時間",HLOOKUP($Y65,$J$5:$M$33,29,FALSE)-SUM($F$10,$F$21:$F$24,$F$26:$F$32)-HLOOKUP($Y65,$J$5:$M$33,16,FALSE)+HLOOKUP($Y65,$J$5:$M$35,31,FALSE),0))+IF(AA65="○",加算と減算!$AH$3,0)</f>
        <v>0</v>
      </c>
      <c r="AD65" s="85">
        <f t="shared" si="56"/>
        <v>0</v>
      </c>
      <c r="AE65" s="262">
        <f t="shared" si="57"/>
        <v>0</v>
      </c>
      <c r="AM65" s="1413"/>
      <c r="AN65" s="1421"/>
      <c r="AO65" s="719" t="s">
        <v>435</v>
      </c>
      <c r="AP65" s="737" t="s">
        <v>353</v>
      </c>
      <c r="AQ65" s="85">
        <f t="shared" si="33"/>
        <v>0</v>
      </c>
    </row>
    <row r="66" spans="2:43" ht="17.25" thickBot="1">
      <c r="B66" s="1414"/>
      <c r="C66" s="1410" t="s">
        <v>44</v>
      </c>
      <c r="D66" s="1411"/>
      <c r="E66" s="53"/>
      <c r="F66" s="5">
        <f t="shared" ref="F66:M66" si="60">SUM(F38:F65)</f>
        <v>0</v>
      </c>
      <c r="G66" s="5">
        <f t="shared" si="60"/>
        <v>0</v>
      </c>
      <c r="H66" s="5">
        <f t="shared" si="60"/>
        <v>0</v>
      </c>
      <c r="I66" s="5">
        <f t="shared" si="60"/>
        <v>0</v>
      </c>
      <c r="J66" s="5">
        <f t="shared" si="60"/>
        <v>0</v>
      </c>
      <c r="K66" s="5">
        <f t="shared" si="60"/>
        <v>0</v>
      </c>
      <c r="L66" s="5">
        <f t="shared" si="60"/>
        <v>0</v>
      </c>
      <c r="M66" s="5">
        <f t="shared" si="60"/>
        <v>0</v>
      </c>
      <c r="O66" s="61" t="str">
        <f>IF(月途中入退所情報!$D10=$B$2,月途中入退所情報!F10,"-")</f>
        <v>-</v>
      </c>
      <c r="P66" s="61" t="str">
        <f>IF(月途中入退所情報!$D10=$B$2,月途中入退所情報!G10,"-")</f>
        <v>-</v>
      </c>
      <c r="Q66" s="61" t="str">
        <f>IF(月途中入退所情報!$D10=$B$2,月途中入退所情報!H10,"-")</f>
        <v>-</v>
      </c>
      <c r="R66" s="61" t="str">
        <f>IF(月途中入退所情報!$D10=$B$2,月途中入退所情報!I10,"-")</f>
        <v>-</v>
      </c>
      <c r="S66" s="61" t="str">
        <f>IF(月途中入退所情報!$D10=$B$2,月途中入退所情報!J10,"-")</f>
        <v>-</v>
      </c>
      <c r="T66" s="84">
        <f>IF($Q66="標準時間",HLOOKUP($P66,$F$5:$I$33,29,FALSE)-SUM($F$10,$F$21:$F$24,$F$26:$F$32)-HLOOKUP($P66,$F$5:$I$33,16,FALSE)+HLOOKUP($P66,$F$5:$I$35,31,FALSE),IF($Q66="短時間",HLOOKUP($P66,$J$5:$M$33,29,FALSE)-SUM($F$10,$F$21:$F$24,$F$26:$F$32)-HLOOKUP($P66,$J$5:$M$33,16,FALSE)+HLOOKUP($P66,$J$5:$M$35,31,FALSE),0))+IF(R66="○",加算と減算!$AH$3,0)</f>
        <v>0</v>
      </c>
      <c r="U66" s="85">
        <f t="shared" si="58"/>
        <v>0</v>
      </c>
      <c r="V66" s="262">
        <f t="shared" si="59"/>
        <v>0</v>
      </c>
      <c r="W66" s="262"/>
      <c r="X66" s="61" t="str">
        <f>IF(月途中入退所情報!$N10=$B$2,月途中入退所情報!$P10,"-")</f>
        <v>-</v>
      </c>
      <c r="Y66" s="61" t="str">
        <f>IF(月途中入退所情報!$N10=$B$2,月途中入退所情報!$Q10,"-")</f>
        <v>-</v>
      </c>
      <c r="Z66" s="61" t="str">
        <f>IF(月途中入退所情報!$N10=$B$2,月途中入退所情報!$R10,"-")</f>
        <v>-</v>
      </c>
      <c r="AA66" s="61" t="str">
        <f>IF(月途中入退所情報!$N10=$B$2,月途中入退所情報!$S10,"-")</f>
        <v>-</v>
      </c>
      <c r="AB66" s="61" t="str">
        <f>IF(月途中入退所情報!$N10=$B$2,月途中入退所情報!$T10,"-")</f>
        <v>-</v>
      </c>
      <c r="AC66" s="84">
        <f>IF($Z66="標準時間",HLOOKUP($Y66,$F$5:$I$33,29,FALSE)-SUM($F$10,$F$21:$F$24,$F$26:$F$32)-HLOOKUP($Y66,$F$5:$I$33,16,FALSE)+HLOOKUP($Y66,$F$5:$I$35,31,FALSE),IF($Z66="短時間",HLOOKUP($Y66,$J$5:$M$33,29,FALSE)-SUM($F$10,$F$21:$F$24,$F$26:$F$32)-HLOOKUP($Y66,$J$5:$M$33,16,FALSE)+HLOOKUP($Y66,$J$5:$M$35,31,FALSE),0))+IF(AA66="○",加算と減算!$AH$3,0)</f>
        <v>0</v>
      </c>
      <c r="AD66" s="85">
        <f t="shared" si="56"/>
        <v>0</v>
      </c>
      <c r="AE66" s="262">
        <f t="shared" si="57"/>
        <v>0</v>
      </c>
      <c r="AM66" s="1414"/>
      <c r="AN66" s="1410" t="s">
        <v>563</v>
      </c>
      <c r="AO66" s="1411"/>
      <c r="AP66" s="739" t="s">
        <v>376</v>
      </c>
      <c r="AQ66" s="85">
        <f>R60</f>
        <v>0</v>
      </c>
    </row>
    <row r="67" spans="2:43" ht="15.75" thickBot="1">
      <c r="C67" s="57"/>
      <c r="D67" s="57"/>
      <c r="E67" s="58" t="s">
        <v>167</v>
      </c>
      <c r="F67" s="7">
        <f t="shared" ref="F67:M67" si="61">F39+F41+F44+F48+F51</f>
        <v>0</v>
      </c>
      <c r="G67" s="7">
        <f t="shared" si="61"/>
        <v>0</v>
      </c>
      <c r="H67" s="7">
        <f t="shared" si="61"/>
        <v>0</v>
      </c>
      <c r="I67" s="7">
        <f t="shared" si="61"/>
        <v>0</v>
      </c>
      <c r="J67" s="7">
        <f t="shared" si="61"/>
        <v>0</v>
      </c>
      <c r="K67" s="7">
        <f t="shared" si="61"/>
        <v>0</v>
      </c>
      <c r="L67" s="7">
        <f t="shared" si="61"/>
        <v>0</v>
      </c>
      <c r="M67" s="7">
        <f t="shared" si="61"/>
        <v>0</v>
      </c>
      <c r="O67" s="61" t="str">
        <f>IF(月途中入退所情報!$D11=$B$2,月途中入退所情報!F11,"-")</f>
        <v>-</v>
      </c>
      <c r="P67" s="61" t="str">
        <f>IF(月途中入退所情報!$D11=$B$2,月途中入退所情報!G11,"-")</f>
        <v>-</v>
      </c>
      <c r="Q67" s="61" t="str">
        <f>IF(月途中入退所情報!$D11=$B$2,月途中入退所情報!H11,"-")</f>
        <v>-</v>
      </c>
      <c r="R67" s="61" t="str">
        <f>IF(月途中入退所情報!$D11=$B$2,月途中入退所情報!I11,"-")</f>
        <v>-</v>
      </c>
      <c r="S67" s="61" t="str">
        <f>IF(月途中入退所情報!$D11=$B$2,月途中入退所情報!J11,"-")</f>
        <v>-</v>
      </c>
      <c r="T67" s="84">
        <f>IF($Q67="標準時間",HLOOKUP($P67,$F$5:$I$33,29,FALSE)-SUM($F$10,$F$21:$F$24,$F$26:$F$32)-HLOOKUP($P67,$F$5:$I$33,16,FALSE)+HLOOKUP($P67,$F$5:$I$35,31,FALSE),IF($Q67="短時間",HLOOKUP($P67,$J$5:$M$33,29,FALSE)-SUM($F$10,$F$21:$F$24,$F$26:$F$32)-HLOOKUP($P67,$J$5:$M$33,16,FALSE)+HLOOKUP($P67,$J$5:$M$35,31,FALSE),0))+IF(R67="○",加算と減算!$AH$3,0)</f>
        <v>0</v>
      </c>
      <c r="U67" s="85">
        <f t="shared" si="58"/>
        <v>0</v>
      </c>
      <c r="V67" s="262">
        <f t="shared" si="59"/>
        <v>0</v>
      </c>
      <c r="W67" s="262"/>
      <c r="X67" s="61" t="str">
        <f>IF(月途中入退所情報!$N11=$B$2,月途中入退所情報!$P11,"-")</f>
        <v>-</v>
      </c>
      <c r="Y67" s="61" t="str">
        <f>IF(月途中入退所情報!$N11=$B$2,月途中入退所情報!$Q11,"-")</f>
        <v>-</v>
      </c>
      <c r="Z67" s="61" t="str">
        <f>IF(月途中入退所情報!$N11=$B$2,月途中入退所情報!$R11,"-")</f>
        <v>-</v>
      </c>
      <c r="AA67" s="61" t="str">
        <f>IF(月途中入退所情報!$N11=$B$2,月途中入退所情報!$S11,"-")</f>
        <v>-</v>
      </c>
      <c r="AB67" s="61" t="str">
        <f>IF(月途中入退所情報!$N11=$B$2,月途中入退所情報!$T11,"-")</f>
        <v>-</v>
      </c>
      <c r="AC67" s="84">
        <f>IF($Z67="標準時間",HLOOKUP($Y67,$F$5:$I$33,29,FALSE)-SUM($F$10,$F$21:$F$24,$F$26:$F$32)-HLOOKUP($Y67,$F$5:$I$33,16,FALSE)+HLOOKUP($Y67,$F$5:$I$35,31,FALSE),IF($Z67="短時間",HLOOKUP($Y67,$J$5:$M$33,29,FALSE)-SUM($F$10,$F$21:$F$24,$F$26:$F$32)-HLOOKUP($Y67,$J$5:$M$33,16,FALSE)+HLOOKUP($Y67,$J$5:$M$35,31,FALSE),0))+IF(AA67="○",加算と減算!$AH$3,0)</f>
        <v>0</v>
      </c>
      <c r="AD67" s="85">
        <f t="shared" si="56"/>
        <v>0</v>
      </c>
      <c r="AE67" s="262">
        <f t="shared" si="57"/>
        <v>0</v>
      </c>
      <c r="AG67" s="288">
        <f>ROUNDUP(SUMPRODUCT(F67:M67,Q43:X43)*90%,-1)</f>
        <v>0</v>
      </c>
      <c r="AN67" s="1410" t="s">
        <v>44</v>
      </c>
      <c r="AO67" s="1411"/>
      <c r="AQ67" s="85">
        <f>SUM(AQ38:AQ66)</f>
        <v>0</v>
      </c>
    </row>
    <row r="68" spans="2:43">
      <c r="E68" s="1020" t="s">
        <v>703</v>
      </c>
      <c r="F68" s="264">
        <f>-ROUNDUP(SUM(F38:F41,F43:F52)*$W$2/100,-1)</f>
        <v>0</v>
      </c>
      <c r="G68" s="264">
        <f t="shared" ref="G68:L68" si="62">-ROUNDUP(SUM(G38:G41,G43:G52)*$W$2/100,-1)</f>
        <v>0</v>
      </c>
      <c r="H68" s="264">
        <f t="shared" si="62"/>
        <v>0</v>
      </c>
      <c r="I68" s="264">
        <f t="shared" si="62"/>
        <v>0</v>
      </c>
      <c r="J68" s="264">
        <f t="shared" si="62"/>
        <v>0</v>
      </c>
      <c r="K68" s="264">
        <f t="shared" si="62"/>
        <v>0</v>
      </c>
      <c r="L68" s="264">
        <f t="shared" si="62"/>
        <v>0</v>
      </c>
      <c r="M68" s="264">
        <f>-ROUNDUP(SUM(M38:M41,M43:M52)*$W$2/100,-1)</f>
        <v>0</v>
      </c>
      <c r="O68" s="61" t="str">
        <f>IF(月途中入退所情報!$D12=$B$2,月途中入退所情報!F12,"-")</f>
        <v>-</v>
      </c>
      <c r="P68" s="61" t="str">
        <f>IF(月途中入退所情報!$D12=$B$2,月途中入退所情報!G12,"-")</f>
        <v>-</v>
      </c>
      <c r="Q68" s="61" t="str">
        <f>IF(月途中入退所情報!$D12=$B$2,月途中入退所情報!H12,"-")</f>
        <v>-</v>
      </c>
      <c r="R68" s="61" t="str">
        <f>IF(月途中入退所情報!$D12=$B$2,月途中入退所情報!I12,"-")</f>
        <v>-</v>
      </c>
      <c r="S68" s="61" t="str">
        <f>IF(月途中入退所情報!$D12=$B$2,月途中入退所情報!J12,"-")</f>
        <v>-</v>
      </c>
      <c r="T68" s="84">
        <f>IF($Q68="標準時間",HLOOKUP($P68,$F$5:$I$33,29,FALSE)-SUM($F$10,$F$21:$F$24,$F$26:$F$32)-HLOOKUP($P68,$F$5:$I$33,16,FALSE)+HLOOKUP($P68,$F$5:$I$35,31,FALSE),IF($Q68="短時間",HLOOKUP($P68,$J$5:$M$33,29,FALSE)-SUM($F$10,$F$21:$F$24,$F$26:$F$32)-HLOOKUP($P68,$J$5:$M$33,16,FALSE)+HLOOKUP($P68,$J$5:$M$35,31,FALSE),0))+IF(R68="○",加算と減算!$AH$3,0)</f>
        <v>0</v>
      </c>
      <c r="U68" s="85">
        <f t="shared" si="58"/>
        <v>0</v>
      </c>
      <c r="V68" s="262">
        <f t="shared" si="59"/>
        <v>0</v>
      </c>
      <c r="W68" s="262"/>
      <c r="X68" s="61" t="str">
        <f>IF(月途中入退所情報!$N12=$B$2,月途中入退所情報!$P12,"-")</f>
        <v>-</v>
      </c>
      <c r="Y68" s="61" t="str">
        <f>IF(月途中入退所情報!$N12=$B$2,月途中入退所情報!$Q12,"-")</f>
        <v>-</v>
      </c>
      <c r="Z68" s="61" t="str">
        <f>IF(月途中入退所情報!$N12=$B$2,月途中入退所情報!$R12,"-")</f>
        <v>-</v>
      </c>
      <c r="AA68" s="61" t="str">
        <f>IF(月途中入退所情報!$N12=$B$2,月途中入退所情報!$S12,"-")</f>
        <v>-</v>
      </c>
      <c r="AB68" s="61" t="str">
        <f>IF(月途中入退所情報!$N12=$B$2,月途中入退所情報!$T12,"-")</f>
        <v>-</v>
      </c>
      <c r="AC68" s="84">
        <f>IF($Z68="標準時間",HLOOKUP($Y68,$F$5:$I$33,29,FALSE)-SUM($F$10,$F$21:$F$24,$F$26:$F$32)-HLOOKUP($Y68,$F$5:$I$33,16,FALSE)+HLOOKUP($Y68,$F$5:$I$35,31,FALSE),IF($Z68="短時間",HLOOKUP($Y68,$J$5:$M$33,29,FALSE)-SUM($F$10,$F$21:$F$24,$F$26:$F$32)-HLOOKUP($Y68,$J$5:$M$33,16,FALSE)+HLOOKUP($Y68,$J$5:$M$35,31,FALSE),0))+IF(AA68="○",加算と減算!$AH$3,0)</f>
        <v>0</v>
      </c>
      <c r="AD68" s="85">
        <f t="shared" si="56"/>
        <v>0</v>
      </c>
      <c r="AE68" s="262">
        <f t="shared" si="57"/>
        <v>0</v>
      </c>
    </row>
    <row r="69" spans="2:43" ht="15.75" thickBot="1">
      <c r="O69" s="61" t="str">
        <f>IF(月途中入退所情報!$D13=$B$2,月途中入退所情報!F13,"-")</f>
        <v>-</v>
      </c>
      <c r="P69" s="61" t="str">
        <f>IF(月途中入退所情報!$D13=$B$2,月途中入退所情報!G13,"-")</f>
        <v>-</v>
      </c>
      <c r="Q69" s="61" t="str">
        <f>IF(月途中入退所情報!$D13=$B$2,月途中入退所情報!H13,"-")</f>
        <v>-</v>
      </c>
      <c r="R69" s="61" t="str">
        <f>IF(月途中入退所情報!$D13=$B$2,月途中入退所情報!I13,"-")</f>
        <v>-</v>
      </c>
      <c r="S69" s="61" t="str">
        <f>IF(月途中入退所情報!$D13=$B$2,月途中入退所情報!J13,"-")</f>
        <v>-</v>
      </c>
      <c r="T69" s="84">
        <f>IF($Q69="標準時間",HLOOKUP($P69,$F$5:$I$33,29,FALSE)-SUM($F$10,$F$21:$F$24,$F$26:$F$32)-HLOOKUP($P69,$F$5:$I$33,16,FALSE)+HLOOKUP($P69,$F$5:$I$35,31,FALSE),IF($Q69="短時間",HLOOKUP($P69,$J$5:$M$33,29,FALSE)-SUM($F$10,$F$21:$F$24,$F$26:$F$32)-HLOOKUP($P69,$J$5:$M$33,16,FALSE)+HLOOKUP($P69,$J$5:$M$35,31,FALSE),0))+IF(R69="○",加算と減算!$AH$3,0)</f>
        <v>0</v>
      </c>
      <c r="U69" s="85">
        <f t="shared" si="58"/>
        <v>0</v>
      </c>
      <c r="V69" s="262">
        <f t="shared" si="59"/>
        <v>0</v>
      </c>
      <c r="W69" s="262"/>
      <c r="X69" s="61" t="str">
        <f>IF(月途中入退所情報!$N13=$B$2,月途中入退所情報!$P13,"-")</f>
        <v>-</v>
      </c>
      <c r="Y69" s="61" t="str">
        <f>IF(月途中入退所情報!$N13=$B$2,月途中入退所情報!$Q13,"-")</f>
        <v>-</v>
      </c>
      <c r="Z69" s="61" t="str">
        <f>IF(月途中入退所情報!$N13=$B$2,月途中入退所情報!$R13,"-")</f>
        <v>-</v>
      </c>
      <c r="AA69" s="61" t="str">
        <f>IF(月途中入退所情報!$N13=$B$2,月途中入退所情報!$S13,"-")</f>
        <v>-</v>
      </c>
      <c r="AB69" s="61" t="str">
        <f>IF(月途中入退所情報!$N13=$B$2,月途中入退所情報!$T13,"-")</f>
        <v>-</v>
      </c>
      <c r="AC69" s="84">
        <f>IF($Z69="標準時間",HLOOKUP($Y69,$F$5:$I$33,29,FALSE)-SUM($F$10,$F$21:$F$24,$F$26:$F$32)-HLOOKUP($Y69,$F$5:$I$33,16,FALSE)+HLOOKUP($Y69,$F$5:$I$35,31,FALSE),IF($Z69="短時間",HLOOKUP($Y69,$J$5:$M$33,29,FALSE)-SUM($F$10,$F$21:$F$24,$F$26:$F$32)-HLOOKUP($Y69,$J$5:$M$33,16,FALSE)+HLOOKUP($Y69,$J$5:$M$35,31,FALSE),0))+IF(AA69="○",加算と減算!$AH$3,0)</f>
        <v>0</v>
      </c>
      <c r="AD69" s="85">
        <f t="shared" si="56"/>
        <v>0</v>
      </c>
      <c r="AE69" s="262">
        <f t="shared" si="57"/>
        <v>0</v>
      </c>
    </row>
    <row r="70" spans="2:43" ht="15.75" thickBot="1">
      <c r="C70" s="310" t="s">
        <v>479</v>
      </c>
      <c r="D70" s="311"/>
      <c r="E70" s="312"/>
      <c r="F70" s="313"/>
      <c r="G70" s="313"/>
      <c r="H70" s="313"/>
      <c r="I70" s="313"/>
      <c r="J70" s="313"/>
      <c r="K70" s="313"/>
      <c r="L70" s="313"/>
      <c r="M70" s="314"/>
      <c r="O70" s="61" t="str">
        <f>IF(月途中入退所情報!$D14=$B$2,月途中入退所情報!F14,"-")</f>
        <v>-</v>
      </c>
      <c r="P70" s="61" t="str">
        <f>IF(月途中入退所情報!$D14=$B$2,月途中入退所情報!G14,"-")</f>
        <v>-</v>
      </c>
      <c r="Q70" s="61" t="str">
        <f>IF(月途中入退所情報!$D14=$B$2,月途中入退所情報!H14,"-")</f>
        <v>-</v>
      </c>
      <c r="R70" s="61" t="str">
        <f>IF(月途中入退所情報!$D14=$B$2,月途中入退所情報!I14,"-")</f>
        <v>-</v>
      </c>
      <c r="S70" s="61" t="str">
        <f>IF(月途中入退所情報!$D14=$B$2,月途中入退所情報!J14,"-")</f>
        <v>-</v>
      </c>
      <c r="T70" s="84">
        <f>IF($Q70="標準時間",HLOOKUP($P70,$F$5:$I$33,29,FALSE)-SUM($F$10,$F$21:$F$24,$F$26:$F$32)-HLOOKUP($P70,$F$5:$I$33,16,FALSE)+HLOOKUP($P70,$F$5:$I$35,31,FALSE),IF($Q70="短時間",HLOOKUP($P70,$J$5:$M$33,29,FALSE)-SUM($F$10,$F$21:$F$24,$F$26:$F$32)-HLOOKUP($P70,$J$5:$M$33,16,FALSE)+HLOOKUP($P70,$J$5:$M$35,31,FALSE),0))+IF(R70="○",加算と減算!$AH$3,0)</f>
        <v>0</v>
      </c>
      <c r="U70" s="85">
        <f t="shared" si="58"/>
        <v>0</v>
      </c>
      <c r="V70" s="262">
        <f t="shared" si="59"/>
        <v>0</v>
      </c>
      <c r="W70" s="262"/>
      <c r="X70" s="61" t="str">
        <f>IF(月途中入退所情報!$N14=$B$2,月途中入退所情報!$P14,"-")</f>
        <v>-</v>
      </c>
      <c r="Y70" s="61" t="str">
        <f>IF(月途中入退所情報!$N14=$B$2,月途中入退所情報!$Q14,"-")</f>
        <v>-</v>
      </c>
      <c r="Z70" s="61" t="str">
        <f>IF(月途中入退所情報!$N14=$B$2,月途中入退所情報!$R14,"-")</f>
        <v>-</v>
      </c>
      <c r="AA70" s="61" t="str">
        <f>IF(月途中入退所情報!$N14=$B$2,月途中入退所情報!$S14,"-")</f>
        <v>-</v>
      </c>
      <c r="AB70" s="61" t="str">
        <f>IF(月途中入退所情報!$N14=$B$2,月途中入退所情報!$T14,"-")</f>
        <v>-</v>
      </c>
      <c r="AC70" s="84">
        <f>IF($Z70="標準時間",HLOOKUP($Y70,$F$5:$I$33,29,FALSE)-SUM($F$10,$F$21:$F$24,$F$26:$F$32)-HLOOKUP($Y70,$F$5:$I$33,16,FALSE)+HLOOKUP($Y70,$F$5:$I$35,31,FALSE),IF($Z70="短時間",HLOOKUP($Y70,$J$5:$M$33,29,FALSE)-SUM($F$10,$F$21:$F$24,$F$26:$F$32)-HLOOKUP($Y70,$J$5:$M$33,16,FALSE)+HLOOKUP($Y70,$J$5:$M$35,31,FALSE),0))+IF(AA70="○",加算と減算!$AH$3,0)</f>
        <v>0</v>
      </c>
      <c r="AD70" s="85">
        <f t="shared" si="56"/>
        <v>0</v>
      </c>
      <c r="AE70" s="262">
        <f t="shared" si="57"/>
        <v>0</v>
      </c>
    </row>
    <row r="71" spans="2:43">
      <c r="C71" s="307"/>
      <c r="D71" s="308"/>
      <c r="E71" s="309"/>
      <c r="F71" s="1417" t="s">
        <v>15</v>
      </c>
      <c r="G71" s="1417"/>
      <c r="H71" s="1417"/>
      <c r="I71" s="1417"/>
      <c r="J71" s="1417" t="s">
        <v>16</v>
      </c>
      <c r="K71" s="1417"/>
      <c r="L71" s="1417"/>
      <c r="M71" s="1417"/>
      <c r="O71" s="61" t="str">
        <f>IF(月途中入退所情報!$D15=$B$2,月途中入退所情報!F15,"-")</f>
        <v>-</v>
      </c>
      <c r="P71" s="61" t="str">
        <f>IF(月途中入退所情報!$D15=$B$2,月途中入退所情報!G15,"-")</f>
        <v>-</v>
      </c>
      <c r="Q71" s="61" t="str">
        <f>IF(月途中入退所情報!$D15=$B$2,月途中入退所情報!H15,"-")</f>
        <v>-</v>
      </c>
      <c r="R71" s="61" t="str">
        <f>IF(月途中入退所情報!$D15=$B$2,月途中入退所情報!I15,"-")</f>
        <v>-</v>
      </c>
      <c r="S71" s="61" t="str">
        <f>IF(月途中入退所情報!$D15=$B$2,月途中入退所情報!J15,"-")</f>
        <v>-</v>
      </c>
      <c r="T71" s="84">
        <f>IF($Q71="標準時間",HLOOKUP($P71,$F$5:$I$33,29,FALSE)-SUM($F$10,$F$21:$F$24,$F$26:$F$32)-HLOOKUP($P71,$F$5:$I$33,16,FALSE)+HLOOKUP($P71,$F$5:$I$35,31,FALSE),IF($Q71="短時間",HLOOKUP($P71,$J$5:$M$33,29,FALSE)-SUM($F$10,$F$21:$F$24,$F$26:$F$32)-HLOOKUP($P71,$J$5:$M$33,16,FALSE)+HLOOKUP($P71,$J$5:$M$35,31,FALSE),0))+IF(R71="○",加算と減算!$AH$3,0)</f>
        <v>0</v>
      </c>
      <c r="U71" s="85">
        <f t="shared" si="58"/>
        <v>0</v>
      </c>
      <c r="V71" s="262">
        <f t="shared" si="59"/>
        <v>0</v>
      </c>
      <c r="W71" s="262"/>
      <c r="X71" s="61" t="str">
        <f>IF(月途中入退所情報!$N15=$B$2,月途中入退所情報!$P15,"-")</f>
        <v>-</v>
      </c>
      <c r="Y71" s="61" t="str">
        <f>IF(月途中入退所情報!$N15=$B$2,月途中入退所情報!$Q15,"-")</f>
        <v>-</v>
      </c>
      <c r="Z71" s="61" t="str">
        <f>IF(月途中入退所情報!$N15=$B$2,月途中入退所情報!$R15,"-")</f>
        <v>-</v>
      </c>
      <c r="AA71" s="61" t="str">
        <f>IF(月途中入退所情報!$N15=$B$2,月途中入退所情報!$S15,"-")</f>
        <v>-</v>
      </c>
      <c r="AB71" s="61" t="str">
        <f>IF(月途中入退所情報!$N15=$B$2,月途中入退所情報!$T15,"-")</f>
        <v>-</v>
      </c>
      <c r="AC71" s="84">
        <f>IF($Z71="標準時間",HLOOKUP($Y71,$F$5:$I$33,29,FALSE)-SUM($F$10,$F$21:$F$24,$F$26:$F$32)-HLOOKUP($Y71,$F$5:$I$33,16,FALSE)+HLOOKUP($Y71,$F$5:$I$35,31,FALSE),IF($Z71="短時間",HLOOKUP($Y71,$J$5:$M$33,29,FALSE)-SUM($F$10,$F$21:$F$24,$F$26:$F$32)-HLOOKUP($Y71,$J$5:$M$33,16,FALSE)+HLOOKUP($Y71,$J$5:$M$35,31,FALSE),0))+IF(AA71="○",加算と減算!$AH$3,0)</f>
        <v>0</v>
      </c>
      <c r="AD71" s="85">
        <f t="shared" si="56"/>
        <v>0</v>
      </c>
      <c r="AE71" s="262">
        <f t="shared" si="57"/>
        <v>0</v>
      </c>
    </row>
    <row r="72" spans="2:43">
      <c r="C72" s="307"/>
      <c r="D72" s="308"/>
      <c r="E72" s="309"/>
      <c r="F72" s="369" t="s">
        <v>6</v>
      </c>
      <c r="G72" s="369" t="s">
        <v>7</v>
      </c>
      <c r="H72" s="369" t="s">
        <v>8</v>
      </c>
      <c r="I72" s="369" t="s">
        <v>9</v>
      </c>
      <c r="J72" s="369" t="s">
        <v>6</v>
      </c>
      <c r="K72" s="369" t="s">
        <v>7</v>
      </c>
      <c r="L72" s="369" t="s">
        <v>8</v>
      </c>
      <c r="M72" s="369" t="s">
        <v>9</v>
      </c>
      <c r="O72" s="61" t="str">
        <f>IF(月途中入退所情報!$D16=$B$2,月途中入退所情報!F16,"-")</f>
        <v>-</v>
      </c>
      <c r="P72" s="61" t="str">
        <f>IF(月途中入退所情報!$D16=$B$2,月途中入退所情報!G16,"-")</f>
        <v>-</v>
      </c>
      <c r="Q72" s="61" t="str">
        <f>IF(月途中入退所情報!$D16=$B$2,月途中入退所情報!H16,"-")</f>
        <v>-</v>
      </c>
      <c r="R72" s="61" t="str">
        <f>IF(月途中入退所情報!$D16=$B$2,月途中入退所情報!I16,"-")</f>
        <v>-</v>
      </c>
      <c r="S72" s="61" t="str">
        <f>IF(月途中入退所情報!$D16=$B$2,月途中入退所情報!J16,"-")</f>
        <v>-</v>
      </c>
      <c r="T72" s="84">
        <f>IF($Q72="標準時間",HLOOKUP($P72,$F$5:$I$33,29,FALSE)-SUM($F$10,$F$21:$F$24,$F$26:$F$32)-HLOOKUP($P72,$F$5:$I$33,16,FALSE)+HLOOKUP($P72,$F$5:$I$35,31,FALSE),IF($Q72="短時間",HLOOKUP($P72,$J$5:$M$33,29,FALSE)-SUM($F$10,$F$21:$F$24,$F$26:$F$32)-HLOOKUP($P72,$J$5:$M$33,16,FALSE)+HLOOKUP($P72,$J$5:$M$35,31,FALSE),0))+IF(R72="○",加算と減算!$AH$3,0)</f>
        <v>0</v>
      </c>
      <c r="U72" s="85">
        <f t="shared" si="58"/>
        <v>0</v>
      </c>
      <c r="V72" s="262">
        <f t="shared" si="59"/>
        <v>0</v>
      </c>
      <c r="W72" s="262"/>
      <c r="X72" s="61" t="str">
        <f>IF(月途中入退所情報!$N16=$B$2,月途中入退所情報!$P16,"-")</f>
        <v>-</v>
      </c>
      <c r="Y72" s="61" t="str">
        <f>IF(月途中入退所情報!$N16=$B$2,月途中入退所情報!$Q16,"-")</f>
        <v>-</v>
      </c>
      <c r="Z72" s="61" t="str">
        <f>IF(月途中入退所情報!$N16=$B$2,月途中入退所情報!$R16,"-")</f>
        <v>-</v>
      </c>
      <c r="AA72" s="61" t="str">
        <f>IF(月途中入退所情報!$N16=$B$2,月途中入退所情報!$S16,"-")</f>
        <v>-</v>
      </c>
      <c r="AB72" s="61" t="str">
        <f>IF(月途中入退所情報!$N16=$B$2,月途中入退所情報!$T16,"-")</f>
        <v>-</v>
      </c>
      <c r="AC72" s="84">
        <f>IF($Z72="標準時間",HLOOKUP($Y72,$F$5:$I$33,29,FALSE)-SUM($F$10,$F$21:$F$24,$F$26:$F$32)-HLOOKUP($Y72,$F$5:$I$33,16,FALSE)+HLOOKUP($Y72,$F$5:$I$35,31,FALSE),IF($Z72="短時間",HLOOKUP($Y72,$J$5:$M$33,29,FALSE)-SUM($F$10,$F$21:$F$24,$F$26:$F$32)-HLOOKUP($Y72,$J$5:$M$33,16,FALSE)+HLOOKUP($Y72,$J$5:$M$35,31,FALSE),0))+IF(AA72="○",加算と減算!$AH$3,0)</f>
        <v>0</v>
      </c>
      <c r="AD72" s="85">
        <f t="shared" si="56"/>
        <v>0</v>
      </c>
      <c r="AE72" s="262">
        <f t="shared" si="57"/>
        <v>0</v>
      </c>
    </row>
    <row r="73" spans="2:43">
      <c r="C73" s="307"/>
      <c r="D73" s="1432" t="s">
        <v>482</v>
      </c>
      <c r="E73" s="320" t="s">
        <v>480</v>
      </c>
      <c r="F73" s="85" t="e">
        <f>-ROUNDDOWN((F9+F12+F7)*$S$2%,-1)</f>
        <v>#VALUE!</v>
      </c>
      <c r="G73" s="85" t="e">
        <f t="shared" ref="G73:M73" si="63">-ROUNDDOWN((G9+G12+G7)*$S$2%,-1)</f>
        <v>#VALUE!</v>
      </c>
      <c r="H73" s="85" t="e">
        <f t="shared" si="63"/>
        <v>#VALUE!</v>
      </c>
      <c r="I73" s="85" t="e">
        <f t="shared" si="63"/>
        <v>#VALUE!</v>
      </c>
      <c r="J73" s="85" t="e">
        <f t="shared" si="63"/>
        <v>#VALUE!</v>
      </c>
      <c r="K73" s="85" t="e">
        <f t="shared" si="63"/>
        <v>#VALUE!</v>
      </c>
      <c r="L73" s="85" t="e">
        <f t="shared" si="63"/>
        <v>#VALUE!</v>
      </c>
      <c r="M73" s="85" t="e">
        <f t="shared" si="63"/>
        <v>#VALUE!</v>
      </c>
      <c r="O73" s="61" t="str">
        <f>IF(月途中入退所情報!$D17=$B$2,月途中入退所情報!F17,"-")</f>
        <v>-</v>
      </c>
      <c r="P73" s="61" t="str">
        <f>IF(月途中入退所情報!$D17=$B$2,月途中入退所情報!G17,"-")</f>
        <v>-</v>
      </c>
      <c r="Q73" s="61" t="str">
        <f>IF(月途中入退所情報!$D17=$B$2,月途中入退所情報!H17,"-")</f>
        <v>-</v>
      </c>
      <c r="R73" s="61" t="str">
        <f>IF(月途中入退所情報!$D17=$B$2,月途中入退所情報!I17,"-")</f>
        <v>-</v>
      </c>
      <c r="S73" s="61" t="str">
        <f>IF(月途中入退所情報!$D17=$B$2,月途中入退所情報!J17,"-")</f>
        <v>-</v>
      </c>
      <c r="T73" s="84">
        <f>IF($Q73="標準時間",HLOOKUP($P73,$F$5:$I$33,29,FALSE)-SUM($F$10,$F$21:$F$24,$F$26:$F$32)-HLOOKUP($P73,$F$5:$I$33,16,FALSE)+HLOOKUP($P73,$F$5:$I$35,31,FALSE),IF($Q73="短時間",HLOOKUP($P73,$J$5:$M$33,29,FALSE)-SUM($F$10,$F$21:$F$24,$F$26:$F$32)-HLOOKUP($P73,$J$5:$M$33,16,FALSE)+HLOOKUP($P73,$J$5:$M$35,31,FALSE),0))+IF(R73="○",加算と減算!$AH$3,0)</f>
        <v>0</v>
      </c>
      <c r="U73" s="85">
        <f t="shared" si="58"/>
        <v>0</v>
      </c>
      <c r="V73" s="262">
        <f t="shared" si="59"/>
        <v>0</v>
      </c>
      <c r="W73" s="262"/>
      <c r="X73" s="61" t="str">
        <f>IF(月途中入退所情報!$N17=$B$2,月途中入退所情報!$P17,"-")</f>
        <v>-</v>
      </c>
      <c r="Y73" s="61" t="str">
        <f>IF(月途中入退所情報!$N17=$B$2,月途中入退所情報!$Q17,"-")</f>
        <v>-</v>
      </c>
      <c r="Z73" s="61" t="str">
        <f>IF(月途中入退所情報!$N17=$B$2,月途中入退所情報!$R17,"-")</f>
        <v>-</v>
      </c>
      <c r="AA73" s="61" t="str">
        <f>IF(月途中入退所情報!$N17=$B$2,月途中入退所情報!$S17,"-")</f>
        <v>-</v>
      </c>
      <c r="AB73" s="61" t="str">
        <f>IF(月途中入退所情報!$N17=$B$2,月途中入退所情報!$T17,"-")</f>
        <v>-</v>
      </c>
      <c r="AC73" s="84">
        <f>IF($Z73="標準時間",HLOOKUP($Y73,$F$5:$I$33,29,FALSE)-SUM($F$10,$F$21:$F$24,$F$26:$F$32)-HLOOKUP($Y73,$F$5:$I$33,16,FALSE)+HLOOKUP($Y73,$F$5:$I$35,31,FALSE),IF($Z73="短時間",HLOOKUP($Y73,$J$5:$M$33,29,FALSE)-SUM($F$10,$F$21:$F$24,$F$26:$F$32)-HLOOKUP($Y73,$J$5:$M$33,16,FALSE)+HLOOKUP($Y73,$J$5:$M$35,31,FALSE),0))+IF(AA73="○",加算と減算!$AH$3,0)</f>
        <v>0</v>
      </c>
      <c r="AD73" s="85">
        <f t="shared" si="56"/>
        <v>0</v>
      </c>
      <c r="AE73" s="262">
        <f t="shared" si="57"/>
        <v>0</v>
      </c>
    </row>
    <row r="74" spans="2:43">
      <c r="C74" s="307"/>
      <c r="D74" s="1432"/>
      <c r="E74" s="320" t="s">
        <v>481</v>
      </c>
      <c r="F74" s="85" t="e">
        <f>F73*Q11</f>
        <v>#VALUE!</v>
      </c>
      <c r="G74" s="85" t="e">
        <f t="shared" ref="G74:M74" si="64">G73*R11</f>
        <v>#VALUE!</v>
      </c>
      <c r="H74" s="85" t="e">
        <f t="shared" si="64"/>
        <v>#VALUE!</v>
      </c>
      <c r="I74" s="85" t="e">
        <f t="shared" si="64"/>
        <v>#VALUE!</v>
      </c>
      <c r="J74" s="85" t="e">
        <f t="shared" si="64"/>
        <v>#VALUE!</v>
      </c>
      <c r="K74" s="85" t="e">
        <f t="shared" si="64"/>
        <v>#VALUE!</v>
      </c>
      <c r="L74" s="85" t="e">
        <f t="shared" si="64"/>
        <v>#VALUE!</v>
      </c>
      <c r="M74" s="85" t="e">
        <f t="shared" si="64"/>
        <v>#VALUE!</v>
      </c>
      <c r="O74" s="61" t="str">
        <f>IF(月途中入退所情報!$D18=$B$2,月途中入退所情報!F18,"-")</f>
        <v>-</v>
      </c>
      <c r="P74" s="61" t="str">
        <f>IF(月途中入退所情報!$D18=$B$2,月途中入退所情報!G18,"-")</f>
        <v>-</v>
      </c>
      <c r="Q74" s="61" t="str">
        <f>IF(月途中入退所情報!$D18=$B$2,月途中入退所情報!H18,"-")</f>
        <v>-</v>
      </c>
      <c r="R74" s="61" t="str">
        <f>IF(月途中入退所情報!$D18=$B$2,月途中入退所情報!I18,"-")</f>
        <v>-</v>
      </c>
      <c r="S74" s="61" t="str">
        <f>IF(月途中入退所情報!$D18=$B$2,月途中入退所情報!J18,"-")</f>
        <v>-</v>
      </c>
      <c r="T74" s="84">
        <f>IF($Q74="標準時間",HLOOKUP($P74,$F$5:$I$33,29,FALSE)-SUM($F$10,$F$21:$F$24,$F$26:$F$32)-HLOOKUP($P74,$F$5:$I$33,16,FALSE)+HLOOKUP($P74,$F$5:$I$35,31,FALSE),IF($Q74="短時間",HLOOKUP($P74,$J$5:$M$33,29,FALSE)-SUM($F$10,$F$21:$F$24,$F$26:$F$32)-HLOOKUP($P74,$J$5:$M$33,16,FALSE)+HLOOKUP($P74,$J$5:$M$35,31,FALSE),0))+IF(R74="○",加算と減算!$AH$3,0)</f>
        <v>0</v>
      </c>
      <c r="U74" s="85">
        <f t="shared" si="58"/>
        <v>0</v>
      </c>
      <c r="V74" s="262">
        <f t="shared" si="59"/>
        <v>0</v>
      </c>
      <c r="W74" s="262"/>
      <c r="X74" s="61" t="str">
        <f>IF(月途中入退所情報!$N18=$B$2,月途中入退所情報!$P18,"-")</f>
        <v>-</v>
      </c>
      <c r="Y74" s="61" t="str">
        <f>IF(月途中入退所情報!$N18=$B$2,月途中入退所情報!$Q18,"-")</f>
        <v>-</v>
      </c>
      <c r="Z74" s="61" t="str">
        <f>IF(月途中入退所情報!$N18=$B$2,月途中入退所情報!$R18,"-")</f>
        <v>-</v>
      </c>
      <c r="AA74" s="61" t="str">
        <f>IF(月途中入退所情報!$N18=$B$2,月途中入退所情報!$S18,"-")</f>
        <v>-</v>
      </c>
      <c r="AB74" s="61" t="str">
        <f>IF(月途中入退所情報!$N18=$B$2,月途中入退所情報!$T18,"-")</f>
        <v>-</v>
      </c>
      <c r="AC74" s="84">
        <f>IF($Z74="標準時間",HLOOKUP($Y74,$F$5:$I$33,29,FALSE)-SUM($F$10,$F$21:$F$24,$F$26:$F$32)-HLOOKUP($Y74,$F$5:$I$33,16,FALSE)+HLOOKUP($Y74,$F$5:$I$35,31,FALSE),IF($Z74="短時間",HLOOKUP($Y74,$J$5:$M$33,29,FALSE)-SUM($F$10,$F$21:$F$24,$F$26:$F$32)-HLOOKUP($Y74,$J$5:$M$33,16,FALSE)+HLOOKUP($Y74,$J$5:$M$35,31,FALSE),0))+IF(AA74="○",加算と減算!$AH$3,0)</f>
        <v>0</v>
      </c>
      <c r="AD74" s="85">
        <f t="shared" si="56"/>
        <v>0</v>
      </c>
      <c r="AE74" s="262">
        <f t="shared" si="57"/>
        <v>0</v>
      </c>
    </row>
    <row r="75" spans="2:43">
      <c r="C75" s="307"/>
      <c r="D75" s="317"/>
      <c r="E75" s="315"/>
      <c r="F75" s="316"/>
      <c r="G75" s="316"/>
      <c r="H75" s="316"/>
      <c r="I75" s="316"/>
      <c r="J75" s="316"/>
      <c r="K75" s="316"/>
      <c r="L75" s="316"/>
      <c r="M75" s="316"/>
      <c r="O75" s="61" t="str">
        <f>IF(月途中入退所情報!$D19=$B$2,月途中入退所情報!F19,"-")</f>
        <v>-</v>
      </c>
      <c r="P75" s="61" t="str">
        <f>IF(月途中入退所情報!$D19=$B$2,月途中入退所情報!G19,"-")</f>
        <v>-</v>
      </c>
      <c r="Q75" s="61" t="str">
        <f>IF(月途中入退所情報!$D19=$B$2,月途中入退所情報!H19,"-")</f>
        <v>-</v>
      </c>
      <c r="R75" s="61" t="str">
        <f>IF(月途中入退所情報!$D19=$B$2,月途中入退所情報!I19,"-")</f>
        <v>-</v>
      </c>
      <c r="S75" s="61" t="str">
        <f>IF(月途中入退所情報!$D19=$B$2,月途中入退所情報!J19,"-")</f>
        <v>-</v>
      </c>
      <c r="T75" s="84">
        <f>IF($Q75="標準時間",HLOOKUP($P75,$F$5:$I$33,29,FALSE)-SUM($F$10,$F$21:$F$24,$F$26:$F$32)-HLOOKUP($P75,$F$5:$I$33,16,FALSE)+HLOOKUP($P75,$F$5:$I$35,31,FALSE),IF($Q75="短時間",HLOOKUP($P75,$J$5:$M$33,29,FALSE)-SUM($F$10,$F$21:$F$24,$F$26:$F$32)-HLOOKUP($P75,$J$5:$M$33,16,FALSE)+HLOOKUP($P75,$J$5:$M$35,31,FALSE),0))+IF(R75="○",加算と減算!$AH$3,0)</f>
        <v>0</v>
      </c>
      <c r="U75" s="85">
        <f t="shared" si="58"/>
        <v>0</v>
      </c>
      <c r="V75" s="262">
        <f t="shared" si="59"/>
        <v>0</v>
      </c>
      <c r="W75" s="262"/>
      <c r="X75" s="61" t="str">
        <f>IF(月途中入退所情報!$N19=$B$2,月途中入退所情報!$P19,"-")</f>
        <v>-</v>
      </c>
      <c r="Y75" s="61" t="str">
        <f>IF(月途中入退所情報!$N19=$B$2,月途中入退所情報!$Q19,"-")</f>
        <v>-</v>
      </c>
      <c r="Z75" s="61" t="str">
        <f>IF(月途中入退所情報!$N19=$B$2,月途中入退所情報!$R19,"-")</f>
        <v>-</v>
      </c>
      <c r="AA75" s="61" t="str">
        <f>IF(月途中入退所情報!$N19=$B$2,月途中入退所情報!$S19,"-")</f>
        <v>-</v>
      </c>
      <c r="AB75" s="61" t="str">
        <f>IF(月途中入退所情報!$N19=$B$2,月途中入退所情報!$T19,"-")</f>
        <v>-</v>
      </c>
      <c r="AC75" s="84">
        <f>IF($Z75="標準時間",HLOOKUP($Y75,$F$5:$I$33,29,FALSE)-SUM($F$10,$F$21:$F$24,$F$26:$F$32)-HLOOKUP($Y75,$F$5:$I$33,16,FALSE)+HLOOKUP($Y75,$F$5:$I$35,31,FALSE),IF($Z75="短時間",HLOOKUP($Y75,$J$5:$M$33,29,FALSE)-SUM($F$10,$F$21:$F$24,$F$26:$F$32)-HLOOKUP($Y75,$J$5:$M$33,16,FALSE)+HLOOKUP($Y75,$J$5:$M$35,31,FALSE),0))+IF(AA75="○",加算と減算!$AH$3,0)</f>
        <v>0</v>
      </c>
      <c r="AD75" s="85">
        <f t="shared" si="56"/>
        <v>0</v>
      </c>
      <c r="AE75" s="262">
        <f t="shared" si="57"/>
        <v>0</v>
      </c>
    </row>
    <row r="76" spans="2:43">
      <c r="C76" s="307"/>
      <c r="D76" s="308"/>
      <c r="E76" s="309"/>
      <c r="F76" s="369" t="s">
        <v>6</v>
      </c>
      <c r="G76" s="369" t="s">
        <v>7</v>
      </c>
      <c r="H76" s="369" t="s">
        <v>8</v>
      </c>
      <c r="I76" s="369" t="s">
        <v>9</v>
      </c>
      <c r="J76" s="369" t="s">
        <v>6</v>
      </c>
      <c r="K76" s="369" t="s">
        <v>7</v>
      </c>
      <c r="L76" s="369" t="s">
        <v>8</v>
      </c>
      <c r="M76" s="369" t="s">
        <v>9</v>
      </c>
      <c r="O76" s="61" t="str">
        <f>IF(月途中入退所情報!$D20=$B$2,月途中入退所情報!F20,"-")</f>
        <v>-</v>
      </c>
      <c r="P76" s="61" t="str">
        <f>IF(月途中入退所情報!$D20=$B$2,月途中入退所情報!G20,"-")</f>
        <v>-</v>
      </c>
      <c r="Q76" s="61" t="str">
        <f>IF(月途中入退所情報!$D20=$B$2,月途中入退所情報!H20,"-")</f>
        <v>-</v>
      </c>
      <c r="R76" s="61" t="str">
        <f>IF(月途中入退所情報!$D20=$B$2,月途中入退所情報!I20,"-")</f>
        <v>-</v>
      </c>
      <c r="S76" s="61" t="str">
        <f>IF(月途中入退所情報!$D20=$B$2,月途中入退所情報!J20,"-")</f>
        <v>-</v>
      </c>
      <c r="T76" s="84">
        <f>IF($Q76="標準時間",HLOOKUP($P76,$F$5:$I$33,29,FALSE)-SUM($F$10,$F$21:$F$24,$F$26:$F$32)-HLOOKUP($P76,$F$5:$I$33,16,FALSE)+HLOOKUP($P76,$F$5:$I$35,31,FALSE),IF($Q76="短時間",HLOOKUP($P76,$J$5:$M$33,29,FALSE)-SUM($F$10,$F$21:$F$24,$F$26:$F$32)-HLOOKUP($P76,$J$5:$M$33,16,FALSE)+HLOOKUP($P76,$J$5:$M$35,31,FALSE),0))+IF(R76="○",加算と減算!$AH$3,0)</f>
        <v>0</v>
      </c>
      <c r="U76" s="85">
        <f t="shared" si="58"/>
        <v>0</v>
      </c>
      <c r="V76" s="262">
        <f t="shared" si="59"/>
        <v>0</v>
      </c>
      <c r="W76" s="262"/>
      <c r="X76" s="61" t="str">
        <f>IF(月途中入退所情報!$N20=$B$2,月途中入退所情報!$P20,"-")</f>
        <v>-</v>
      </c>
      <c r="Y76" s="61" t="str">
        <f>IF(月途中入退所情報!$N20=$B$2,月途中入退所情報!$Q20,"-")</f>
        <v>-</v>
      </c>
      <c r="Z76" s="61" t="str">
        <f>IF(月途中入退所情報!$N20=$B$2,月途中入退所情報!$R20,"-")</f>
        <v>-</v>
      </c>
      <c r="AA76" s="61" t="str">
        <f>IF(月途中入退所情報!$N20=$B$2,月途中入退所情報!$S20,"-")</f>
        <v>-</v>
      </c>
      <c r="AB76" s="61" t="str">
        <f>IF(月途中入退所情報!$N20=$B$2,月途中入退所情報!$T20,"-")</f>
        <v>-</v>
      </c>
      <c r="AC76" s="84">
        <f>IF($Z76="標準時間",HLOOKUP($Y76,$F$5:$I$33,29,FALSE)-SUM($F$10,$F$21:$F$24,$F$26:$F$32)-HLOOKUP($Y76,$F$5:$I$33,16,FALSE)+HLOOKUP($Y76,$F$5:$I$35,31,FALSE),IF($Z76="短時間",HLOOKUP($Y76,$J$5:$M$33,29,FALSE)-SUM($F$10,$F$21:$F$24,$F$26:$F$32)-HLOOKUP($Y76,$J$5:$M$33,16,FALSE)+HLOOKUP($Y76,$J$5:$M$35,31,FALSE),0))+IF(AA76="○",加算と減算!$AH$3,0)</f>
        <v>0</v>
      </c>
      <c r="AD76" s="85">
        <f t="shared" si="56"/>
        <v>0</v>
      </c>
      <c r="AE76" s="262">
        <f t="shared" si="57"/>
        <v>0</v>
      </c>
    </row>
    <row r="77" spans="2:43">
      <c r="C77" s="307"/>
      <c r="D77" s="1432" t="s">
        <v>483</v>
      </c>
      <c r="E77" s="320" t="s">
        <v>480</v>
      </c>
      <c r="F77" s="85">
        <f>-ROUNDDOWN((F39+F41+F44)*$T$2%,-1)</f>
        <v>0</v>
      </c>
      <c r="G77" s="85">
        <f t="shared" ref="G77:M77" si="65">-ROUNDDOWN((G39+G41+G44)*$T$2%,-1)</f>
        <v>0</v>
      </c>
      <c r="H77" s="85">
        <f t="shared" si="65"/>
        <v>0</v>
      </c>
      <c r="I77" s="85">
        <f t="shared" si="65"/>
        <v>0</v>
      </c>
      <c r="J77" s="85">
        <f t="shared" si="65"/>
        <v>0</v>
      </c>
      <c r="K77" s="85">
        <f t="shared" si="65"/>
        <v>0</v>
      </c>
      <c r="L77" s="85">
        <f t="shared" si="65"/>
        <v>0</v>
      </c>
      <c r="M77" s="85">
        <f t="shared" si="65"/>
        <v>0</v>
      </c>
      <c r="O77" s="61" t="str">
        <f>IF(月途中入退所情報!$D21=$B$2,月途中入退所情報!F21,"-")</f>
        <v>-</v>
      </c>
      <c r="P77" s="61" t="str">
        <f>IF(月途中入退所情報!$D21=$B$2,月途中入退所情報!G21,"-")</f>
        <v>-</v>
      </c>
      <c r="Q77" s="61" t="str">
        <f>IF(月途中入退所情報!$D21=$B$2,月途中入退所情報!H21,"-")</f>
        <v>-</v>
      </c>
      <c r="R77" s="61" t="str">
        <f>IF(月途中入退所情報!$D21=$B$2,月途中入退所情報!I21,"-")</f>
        <v>-</v>
      </c>
      <c r="S77" s="61" t="str">
        <f>IF(月途中入退所情報!$D21=$B$2,月途中入退所情報!J21,"-")</f>
        <v>-</v>
      </c>
      <c r="T77" s="84">
        <f>IF($Q77="標準時間",HLOOKUP($P77,$F$5:$I$33,29,FALSE)-SUM($F$10,$F$21:$F$24,$F$26:$F$32)-HLOOKUP($P77,$F$5:$I$33,16,FALSE)+HLOOKUP($P77,$F$5:$I$35,31,FALSE),IF($Q77="短時間",HLOOKUP($P77,$J$5:$M$33,29,FALSE)-SUM($F$10,$F$21:$F$24,$F$26:$F$32)-HLOOKUP($P77,$J$5:$M$33,16,FALSE)+HLOOKUP($P77,$J$5:$M$35,31,FALSE),0))+IF(R77="○",加算と減算!$AH$3,0)</f>
        <v>0</v>
      </c>
      <c r="U77" s="85">
        <f t="shared" si="58"/>
        <v>0</v>
      </c>
      <c r="V77" s="262">
        <f t="shared" si="59"/>
        <v>0</v>
      </c>
      <c r="W77" s="262"/>
      <c r="X77" s="61" t="str">
        <f>IF(月途中入退所情報!$N21=$B$2,月途中入退所情報!$P21,"-")</f>
        <v>-</v>
      </c>
      <c r="Y77" s="61" t="str">
        <f>IF(月途中入退所情報!$N21=$B$2,月途中入退所情報!$Q21,"-")</f>
        <v>-</v>
      </c>
      <c r="Z77" s="61" t="str">
        <f>IF(月途中入退所情報!$N21=$B$2,月途中入退所情報!$R21,"-")</f>
        <v>-</v>
      </c>
      <c r="AA77" s="61" t="str">
        <f>IF(月途中入退所情報!$N21=$B$2,月途中入退所情報!$S21,"-")</f>
        <v>-</v>
      </c>
      <c r="AB77" s="61" t="str">
        <f>IF(月途中入退所情報!$N21=$B$2,月途中入退所情報!$T21,"-")</f>
        <v>-</v>
      </c>
      <c r="AC77" s="84">
        <f>IF($Z77="標準時間",HLOOKUP($Y77,$F$5:$I$33,29,FALSE)-SUM($F$10,$F$21:$F$24,$F$26:$F$32)-HLOOKUP($Y77,$F$5:$I$33,16,FALSE)+HLOOKUP($Y77,$F$5:$I$35,31,FALSE),IF($Z77="短時間",HLOOKUP($Y77,$J$5:$M$33,29,FALSE)-SUM($F$10,$F$21:$F$24,$F$26:$F$32)-HLOOKUP($Y77,$J$5:$M$33,16,FALSE)+HLOOKUP($Y77,$J$5:$M$35,31,FALSE),0))+IF(AA77="○",加算と減算!$AH$3,0)</f>
        <v>0</v>
      </c>
      <c r="AD77" s="85">
        <f t="shared" si="56"/>
        <v>0</v>
      </c>
      <c r="AE77" s="262">
        <f t="shared" si="57"/>
        <v>0</v>
      </c>
    </row>
    <row r="78" spans="2:43">
      <c r="C78" s="307"/>
      <c r="D78" s="1432"/>
      <c r="E78" s="320" t="s">
        <v>481</v>
      </c>
      <c r="F78" s="85">
        <f>F77*Q43</f>
        <v>0</v>
      </c>
      <c r="G78" s="85">
        <f t="shared" ref="G78:M78" si="66">G77*R43</f>
        <v>0</v>
      </c>
      <c r="H78" s="85">
        <f t="shared" si="66"/>
        <v>0</v>
      </c>
      <c r="I78" s="85">
        <f t="shared" si="66"/>
        <v>0</v>
      </c>
      <c r="J78" s="85">
        <f t="shared" si="66"/>
        <v>0</v>
      </c>
      <c r="K78" s="85">
        <f t="shared" si="66"/>
        <v>0</v>
      </c>
      <c r="L78" s="85">
        <f t="shared" si="66"/>
        <v>0</v>
      </c>
      <c r="M78" s="85">
        <f t="shared" si="66"/>
        <v>0</v>
      </c>
      <c r="O78" s="61" t="str">
        <f>IF(月途中入退所情報!$D22=$B$2,月途中入退所情報!F22,"-")</f>
        <v>-</v>
      </c>
      <c r="P78" s="61" t="str">
        <f>IF(月途中入退所情報!$D22=$B$2,月途中入退所情報!G22,"-")</f>
        <v>-</v>
      </c>
      <c r="Q78" s="61" t="str">
        <f>IF(月途中入退所情報!$D22=$B$2,月途中入退所情報!H22,"-")</f>
        <v>-</v>
      </c>
      <c r="R78" s="61" t="str">
        <f>IF(月途中入退所情報!$D22=$B$2,月途中入退所情報!I22,"-")</f>
        <v>-</v>
      </c>
      <c r="S78" s="61" t="str">
        <f>IF(月途中入退所情報!$D22=$B$2,月途中入退所情報!J22,"-")</f>
        <v>-</v>
      </c>
      <c r="T78" s="84">
        <f>IF($Q78="標準時間",HLOOKUP($P78,$F$5:$I$33,29,FALSE)-SUM($F$10,$F$21:$F$24,$F$26:$F$32)-HLOOKUP($P78,$F$5:$I$33,16,FALSE)+HLOOKUP($P78,$F$5:$I$35,31,FALSE),IF($Q78="短時間",HLOOKUP($P78,$J$5:$M$33,29,FALSE)-SUM($F$10,$F$21:$F$24,$F$26:$F$32)-HLOOKUP($P78,$J$5:$M$33,16,FALSE)+HLOOKUP($P78,$J$5:$M$35,31,FALSE),0))+IF(R78="○",加算と減算!$AH$3,0)</f>
        <v>0</v>
      </c>
      <c r="U78" s="85">
        <f t="shared" si="58"/>
        <v>0</v>
      </c>
      <c r="V78" s="262">
        <f t="shared" si="59"/>
        <v>0</v>
      </c>
      <c r="W78" s="262"/>
      <c r="X78" s="61" t="str">
        <f>IF(月途中入退所情報!$N22=$B$2,月途中入退所情報!$P22,"-")</f>
        <v>-</v>
      </c>
      <c r="Y78" s="61" t="str">
        <f>IF(月途中入退所情報!$N22=$B$2,月途中入退所情報!$Q22,"-")</f>
        <v>-</v>
      </c>
      <c r="Z78" s="61" t="str">
        <f>IF(月途中入退所情報!$N22=$B$2,月途中入退所情報!$R22,"-")</f>
        <v>-</v>
      </c>
      <c r="AA78" s="61" t="str">
        <f>IF(月途中入退所情報!$N22=$B$2,月途中入退所情報!$S22,"-")</f>
        <v>-</v>
      </c>
      <c r="AB78" s="61" t="str">
        <f>IF(月途中入退所情報!$N22=$B$2,月途中入退所情報!$T22,"-")</f>
        <v>-</v>
      </c>
      <c r="AC78" s="84">
        <f>IF($Z78="標準時間",HLOOKUP($Y78,$F$5:$I$33,29,FALSE)-SUM($F$10,$F$21:$F$24,$F$26:$F$32)-HLOOKUP($Y78,$F$5:$I$33,16,FALSE)+HLOOKUP($Y78,$F$5:$I$35,31,FALSE),IF($Z78="短時間",HLOOKUP($Y78,$J$5:$M$33,29,FALSE)-SUM($F$10,$F$21:$F$24,$F$26:$F$32)-HLOOKUP($Y78,$J$5:$M$33,16,FALSE)+HLOOKUP($Y78,$J$5:$M$35,31,FALSE),0))+IF(AA78="○",加算と減算!$AH$3,0)</f>
        <v>0</v>
      </c>
      <c r="AD78" s="85">
        <f t="shared" si="56"/>
        <v>0</v>
      </c>
      <c r="AE78" s="262">
        <f t="shared" si="57"/>
        <v>0</v>
      </c>
    </row>
    <row r="79" spans="2:43" ht="15.75" thickBot="1">
      <c r="C79" s="307"/>
      <c r="D79" s="317"/>
      <c r="E79" s="315"/>
      <c r="F79" s="316"/>
      <c r="G79" s="316"/>
      <c r="H79" s="316"/>
      <c r="I79" s="316"/>
      <c r="J79" s="316"/>
      <c r="K79" s="316"/>
      <c r="L79" s="316"/>
      <c r="M79" s="316"/>
      <c r="O79" s="61" t="str">
        <f>IF(月途中入退所情報!$D23=$B$2,月途中入退所情報!F23,"-")</f>
        <v>-</v>
      </c>
      <c r="P79" s="61" t="str">
        <f>IF(月途中入退所情報!$D23=$B$2,月途中入退所情報!G23,"-")</f>
        <v>-</v>
      </c>
      <c r="Q79" s="61" t="str">
        <f>IF(月途中入退所情報!$D23=$B$2,月途中入退所情報!H23,"-")</f>
        <v>-</v>
      </c>
      <c r="R79" s="61" t="str">
        <f>IF(月途中入退所情報!$D23=$B$2,月途中入退所情報!I23,"-")</f>
        <v>-</v>
      </c>
      <c r="S79" s="61" t="str">
        <f>IF(月途中入退所情報!$D23=$B$2,月途中入退所情報!J23,"-")</f>
        <v>-</v>
      </c>
      <c r="T79" s="84">
        <f>IF($Q79="標準時間",HLOOKUP($P79,$F$5:$I$33,29,FALSE)-SUM($F$10,$F$21:$F$24,$F$26:$F$32)-HLOOKUP($P79,$F$5:$I$33,16,FALSE)+HLOOKUP($P79,$F$5:$I$35,31,FALSE),IF($Q79="短時間",HLOOKUP($P79,$J$5:$M$33,29,FALSE)-SUM($F$10,$F$21:$F$24,$F$26:$F$32)-HLOOKUP($P79,$J$5:$M$33,16,FALSE)+HLOOKUP($P79,$J$5:$M$35,31,FALSE),0))+IF(R79="○",加算と減算!$AH$3,0)</f>
        <v>0</v>
      </c>
      <c r="U79" s="85">
        <f t="shared" si="58"/>
        <v>0</v>
      </c>
      <c r="V79" s="262">
        <f t="shared" si="59"/>
        <v>0</v>
      </c>
      <c r="W79" s="262"/>
      <c r="X79" s="61" t="str">
        <f>IF(月途中入退所情報!$N23=$B$2,月途中入退所情報!$P23,"-")</f>
        <v>-</v>
      </c>
      <c r="Y79" s="61" t="str">
        <f>IF(月途中入退所情報!$N23=$B$2,月途中入退所情報!$Q23,"-")</f>
        <v>-</v>
      </c>
      <c r="Z79" s="61" t="str">
        <f>IF(月途中入退所情報!$N23=$B$2,月途中入退所情報!$R23,"-")</f>
        <v>-</v>
      </c>
      <c r="AA79" s="61" t="str">
        <f>IF(月途中入退所情報!$N23=$B$2,月途中入退所情報!$S23,"-")</f>
        <v>-</v>
      </c>
      <c r="AB79" s="61" t="str">
        <f>IF(月途中入退所情報!$N23=$B$2,月途中入退所情報!$T23,"-")</f>
        <v>-</v>
      </c>
      <c r="AC79" s="84">
        <f>IF($Z79="標準時間",HLOOKUP($Y79,$F$5:$I$33,29,FALSE)-SUM($F$10,$F$21:$F$24,$F$26:$F$32)-HLOOKUP($Y79,$F$5:$I$33,16,FALSE)+HLOOKUP($Y79,$F$5:$I$35,31,FALSE),IF($Z79="短時間",HLOOKUP($Y79,$J$5:$M$33,29,FALSE)-SUM($F$10,$F$21:$F$24,$F$26:$F$32)-HLOOKUP($Y79,$J$5:$M$33,16,FALSE)+HLOOKUP($Y79,$J$5:$M$35,31,FALSE),0))+IF(AA79="○",加算と減算!$AH$3,0)</f>
        <v>0</v>
      </c>
      <c r="AD79" s="85">
        <f t="shared" si="56"/>
        <v>0</v>
      </c>
      <c r="AE79" s="262">
        <f t="shared" si="57"/>
        <v>0</v>
      </c>
    </row>
    <row r="80" spans="2:43" ht="15.75" thickBot="1">
      <c r="D80" s="1433" t="s">
        <v>484</v>
      </c>
      <c r="E80" s="1434"/>
      <c r="F80" s="321" t="e">
        <f>F74+F78</f>
        <v>#VALUE!</v>
      </c>
      <c r="G80" s="321" t="e">
        <f t="shared" ref="G80:M80" si="67">G74+G78</f>
        <v>#VALUE!</v>
      </c>
      <c r="H80" s="321" t="e">
        <f t="shared" si="67"/>
        <v>#VALUE!</v>
      </c>
      <c r="I80" s="321" t="e">
        <f t="shared" si="67"/>
        <v>#VALUE!</v>
      </c>
      <c r="J80" s="321" t="e">
        <f t="shared" si="67"/>
        <v>#VALUE!</v>
      </c>
      <c r="K80" s="321" t="e">
        <f t="shared" si="67"/>
        <v>#VALUE!</v>
      </c>
      <c r="L80" s="321" t="e">
        <f t="shared" si="67"/>
        <v>#VALUE!</v>
      </c>
      <c r="M80" s="322" t="e">
        <f t="shared" si="67"/>
        <v>#VALUE!</v>
      </c>
      <c r="O80" s="61" t="str">
        <f>IF(月途中入退所情報!$D24=$B$2,月途中入退所情報!F24,"-")</f>
        <v>-</v>
      </c>
      <c r="P80" s="61" t="str">
        <f>IF(月途中入退所情報!$D24=$B$2,月途中入退所情報!G24,"-")</f>
        <v>-</v>
      </c>
      <c r="Q80" s="61" t="str">
        <f>IF(月途中入退所情報!$D24=$B$2,月途中入退所情報!H24,"-")</f>
        <v>-</v>
      </c>
      <c r="R80" s="61" t="str">
        <f>IF(月途中入退所情報!$D24=$B$2,月途中入退所情報!I24,"-")</f>
        <v>-</v>
      </c>
      <c r="S80" s="61" t="str">
        <f>IF(月途中入退所情報!$D24=$B$2,月途中入退所情報!J24,"-")</f>
        <v>-</v>
      </c>
      <c r="T80" s="84">
        <f>IF($Q80="標準時間",HLOOKUP($P80,$F$5:$I$33,29,FALSE)-SUM($F$10,$F$21:$F$24,$F$26:$F$32)-HLOOKUP($P80,$F$5:$I$33,16,FALSE)+HLOOKUP($P80,$F$5:$I$35,31,FALSE),IF($Q80="短時間",HLOOKUP($P80,$J$5:$M$33,29,FALSE)-SUM($F$10,$F$21:$F$24,$F$26:$F$32)-HLOOKUP($P80,$J$5:$M$33,16,FALSE)+HLOOKUP($P80,$J$5:$M$35,31,FALSE),0))+IF(R80="○",加算と減算!$AH$3,0)</f>
        <v>0</v>
      </c>
      <c r="U80" s="85">
        <f t="shared" si="58"/>
        <v>0</v>
      </c>
      <c r="V80" s="262">
        <f t="shared" si="59"/>
        <v>0</v>
      </c>
      <c r="W80" s="262"/>
      <c r="X80" s="61" t="str">
        <f>IF(月途中入退所情報!$N24=$B$2,月途中入退所情報!$P24,"-")</f>
        <v>-</v>
      </c>
      <c r="Y80" s="61" t="str">
        <f>IF(月途中入退所情報!$N24=$B$2,月途中入退所情報!$Q24,"-")</f>
        <v>-</v>
      </c>
      <c r="Z80" s="61" t="str">
        <f>IF(月途中入退所情報!$N24=$B$2,月途中入退所情報!$R24,"-")</f>
        <v>-</v>
      </c>
      <c r="AA80" s="61" t="str">
        <f>IF(月途中入退所情報!$N24=$B$2,月途中入退所情報!$S24,"-")</f>
        <v>-</v>
      </c>
      <c r="AB80" s="61" t="str">
        <f>IF(月途中入退所情報!$N24=$B$2,月途中入退所情報!$T24,"-")</f>
        <v>-</v>
      </c>
      <c r="AC80" s="84">
        <f>IF($Z80="標準時間",HLOOKUP($Y80,$F$5:$I$33,29,FALSE)-SUM($F$10,$F$21:$F$24,$F$26:$F$32)-HLOOKUP($Y80,$F$5:$I$33,16,FALSE)+HLOOKUP($Y80,$F$5:$I$35,31,FALSE),IF($Z80="短時間",HLOOKUP($Y80,$J$5:$M$33,29,FALSE)-SUM($F$10,$F$21:$F$24,$F$26:$F$32)-HLOOKUP($Y80,$J$5:$M$33,16,FALSE)+HLOOKUP($Y80,$J$5:$M$35,31,FALSE),0))+IF(AA80="○",加算と減算!$AH$3,0)</f>
        <v>0</v>
      </c>
      <c r="AD80" s="85">
        <f t="shared" si="56"/>
        <v>0</v>
      </c>
      <c r="AE80" s="262">
        <f t="shared" si="57"/>
        <v>0</v>
      </c>
    </row>
    <row r="81" spans="4:31" ht="15.75" thickBot="1">
      <c r="D81" s="1435"/>
      <c r="E81" s="1436"/>
      <c r="F81" s="1437" t="e">
        <f>SUM(F80:M80)</f>
        <v>#VALUE!</v>
      </c>
      <c r="G81" s="1438"/>
      <c r="H81" s="1438"/>
      <c r="I81" s="1438"/>
      <c r="J81" s="1438"/>
      <c r="K81" s="1438"/>
      <c r="L81" s="1438"/>
      <c r="M81" s="1439"/>
      <c r="O81" s="61" t="str">
        <f>IF(月途中入退所情報!$D25=$B$2,月途中入退所情報!F25,"-")</f>
        <v>-</v>
      </c>
      <c r="P81" s="61" t="str">
        <f>IF(月途中入退所情報!$D25=$B$2,月途中入退所情報!G25,"-")</f>
        <v>-</v>
      </c>
      <c r="Q81" s="61" t="str">
        <f>IF(月途中入退所情報!$D25=$B$2,月途中入退所情報!H25,"-")</f>
        <v>-</v>
      </c>
      <c r="R81" s="61" t="str">
        <f>IF(月途中入退所情報!$D25=$B$2,月途中入退所情報!I25,"-")</f>
        <v>-</v>
      </c>
      <c r="S81" s="61" t="str">
        <f>IF(月途中入退所情報!$D25=$B$2,月途中入退所情報!J25,"-")</f>
        <v>-</v>
      </c>
      <c r="T81" s="84">
        <f>IF($Q81="標準時間",HLOOKUP($P81,$F$5:$I$33,29,FALSE)-SUM($F$10,$F$21:$F$24,$F$26:$F$32)-HLOOKUP($P81,$F$5:$I$33,16,FALSE)+HLOOKUP($P81,$F$5:$I$35,31,FALSE),IF($Q81="短時間",HLOOKUP($P81,$J$5:$M$33,29,FALSE)-SUM($F$10,$F$21:$F$24,$F$26:$F$32)-HLOOKUP($P81,$J$5:$M$33,16,FALSE)+HLOOKUP($P81,$J$5:$M$35,31,FALSE),0))+IF(R81="○",加算と減算!$AH$3,0)</f>
        <v>0</v>
      </c>
      <c r="U81" s="85">
        <f t="shared" si="58"/>
        <v>0</v>
      </c>
      <c r="V81" s="262">
        <f t="shared" si="59"/>
        <v>0</v>
      </c>
      <c r="W81" s="262"/>
      <c r="X81" s="61" t="str">
        <f>IF(月途中入退所情報!$N25=$B$2,月途中入退所情報!$P25,"-")</f>
        <v>-</v>
      </c>
      <c r="Y81" s="61" t="str">
        <f>IF(月途中入退所情報!$N25=$B$2,月途中入退所情報!$Q25,"-")</f>
        <v>-</v>
      </c>
      <c r="Z81" s="61" t="str">
        <f>IF(月途中入退所情報!$N25=$B$2,月途中入退所情報!$R25,"-")</f>
        <v>-</v>
      </c>
      <c r="AA81" s="61" t="str">
        <f>IF(月途中入退所情報!$N25=$B$2,月途中入退所情報!$S25,"-")</f>
        <v>-</v>
      </c>
      <c r="AB81" s="61" t="str">
        <f>IF(月途中入退所情報!$N25=$B$2,月途中入退所情報!$T25,"-")</f>
        <v>-</v>
      </c>
      <c r="AC81" s="84">
        <f>IF($Z81="標準時間",HLOOKUP($Y81,$F$5:$I$33,29,FALSE)-SUM($F$10,$F$21:$F$24,$F$26:$F$32)-HLOOKUP($Y81,$F$5:$I$33,16,FALSE)+HLOOKUP($Y81,$F$5:$I$35,31,FALSE),IF($Z81="短時間",HLOOKUP($Y81,$J$5:$M$33,29,FALSE)-SUM($F$10,$F$21:$F$24,$F$26:$F$32)-HLOOKUP($Y81,$J$5:$M$33,16,FALSE)+HLOOKUP($Y81,$J$5:$M$35,31,FALSE),0))+IF(AA81="○",加算と減算!$AH$3,0)</f>
        <v>0</v>
      </c>
      <c r="AD81" s="85">
        <f t="shared" si="56"/>
        <v>0</v>
      </c>
      <c r="AE81" s="262">
        <f t="shared" si="57"/>
        <v>0</v>
      </c>
    </row>
    <row r="82" spans="4:31">
      <c r="O82" s="61" t="str">
        <f>IF(月途中入退所情報!$D26=$B$2,月途中入退所情報!F26,"-")</f>
        <v>-</v>
      </c>
      <c r="P82" s="61" t="str">
        <f>IF(月途中入退所情報!$D26=$B$2,月途中入退所情報!G26,"-")</f>
        <v>-</v>
      </c>
      <c r="Q82" s="61" t="str">
        <f>IF(月途中入退所情報!$D26=$B$2,月途中入退所情報!H26,"-")</f>
        <v>-</v>
      </c>
      <c r="R82" s="61" t="str">
        <f>IF(月途中入退所情報!$D26=$B$2,月途中入退所情報!I26,"-")</f>
        <v>-</v>
      </c>
      <c r="S82" s="61" t="str">
        <f>IF(月途中入退所情報!$D26=$B$2,月途中入退所情報!J26,"-")</f>
        <v>-</v>
      </c>
      <c r="T82" s="84">
        <f>IF($Q82="標準時間",HLOOKUP($P82,$F$5:$I$33,29,FALSE)-SUM($F$10,$F$21:$F$24,$F$26:$F$32)-HLOOKUP($P82,$F$5:$I$33,16,FALSE)+HLOOKUP($P82,$F$5:$I$35,31,FALSE),IF($Q82="短時間",HLOOKUP($P82,$J$5:$M$33,29,FALSE)-SUM($F$10,$F$21:$F$24,$F$26:$F$32)-HLOOKUP($P82,$J$5:$M$33,16,FALSE)+HLOOKUP($P82,$J$5:$M$35,31,FALSE),0))+IF(R82="○",加算と減算!$AH$3,0)</f>
        <v>0</v>
      </c>
      <c r="U82" s="85">
        <f t="shared" si="58"/>
        <v>0</v>
      </c>
      <c r="V82" s="262">
        <f t="shared" si="59"/>
        <v>0</v>
      </c>
      <c r="W82" s="262"/>
      <c r="X82" s="61" t="str">
        <f>IF(月途中入退所情報!$N26=$B$2,月途中入退所情報!$P26,"-")</f>
        <v>-</v>
      </c>
      <c r="Y82" s="61" t="str">
        <f>IF(月途中入退所情報!$N26=$B$2,月途中入退所情報!$Q26,"-")</f>
        <v>-</v>
      </c>
      <c r="Z82" s="61" t="str">
        <f>IF(月途中入退所情報!$N26=$B$2,月途中入退所情報!$R26,"-")</f>
        <v>-</v>
      </c>
      <c r="AA82" s="61" t="str">
        <f>IF(月途中入退所情報!$N26=$B$2,月途中入退所情報!$S26,"-")</f>
        <v>-</v>
      </c>
      <c r="AB82" s="61" t="str">
        <f>IF(月途中入退所情報!$N26=$B$2,月途中入退所情報!$T26,"-")</f>
        <v>-</v>
      </c>
      <c r="AC82" s="84">
        <f>IF($Z82="標準時間",HLOOKUP($Y82,$F$5:$I$33,29,FALSE)-SUM($F$10,$F$21:$F$24,$F$26:$F$32)-HLOOKUP($Y82,$F$5:$I$33,16,FALSE)+HLOOKUP($Y82,$F$5:$I$35,31,FALSE),IF($Z82="短時間",HLOOKUP($Y82,$J$5:$M$33,29,FALSE)-SUM($F$10,$F$21:$F$24,$F$26:$F$32)-HLOOKUP($Y82,$J$5:$M$33,16,FALSE)+HLOOKUP($Y82,$J$5:$M$35,31,FALSE),0))+IF(AA82="○",加算と減算!$AH$3,0)</f>
        <v>0</v>
      </c>
      <c r="AD82" s="85">
        <f t="shared" si="56"/>
        <v>0</v>
      </c>
      <c r="AE82" s="262">
        <f t="shared" si="57"/>
        <v>0</v>
      </c>
    </row>
    <row r="83" spans="4:31">
      <c r="O83" s="61" t="str">
        <f>IF(月途中入退所情報!$D27=$B$2,月途中入退所情報!F27,"-")</f>
        <v>-</v>
      </c>
      <c r="P83" s="61" t="str">
        <f>IF(月途中入退所情報!$D27=$B$2,月途中入退所情報!G27,"-")</f>
        <v>-</v>
      </c>
      <c r="Q83" s="61" t="str">
        <f>IF(月途中入退所情報!$D27=$B$2,月途中入退所情報!H27,"-")</f>
        <v>-</v>
      </c>
      <c r="R83" s="61" t="str">
        <f>IF(月途中入退所情報!$D27=$B$2,月途中入退所情報!I27,"-")</f>
        <v>-</v>
      </c>
      <c r="S83" s="61" t="str">
        <f>IF(月途中入退所情報!$D27=$B$2,月途中入退所情報!J27,"-")</f>
        <v>-</v>
      </c>
      <c r="T83" s="84">
        <f>IF($Q83="標準時間",HLOOKUP($P83,$F$5:$I$33,29,FALSE)-SUM($F$10,$F$21:$F$24,$F$26:$F$32)-HLOOKUP($P83,$F$5:$I$33,16,FALSE)+HLOOKUP($P83,$F$5:$I$35,31,FALSE),IF($Q83="短時間",HLOOKUP($P83,$J$5:$M$33,29,FALSE)-SUM($F$10,$F$21:$F$24,$F$26:$F$32)-HLOOKUP($P83,$J$5:$M$33,16,FALSE)+HLOOKUP($P83,$J$5:$M$35,31,FALSE),0))+IF(R83="○",加算と減算!$AH$3,0)</f>
        <v>0</v>
      </c>
      <c r="U83" s="85">
        <f t="shared" si="58"/>
        <v>0</v>
      </c>
      <c r="V83" s="262">
        <f t="shared" si="59"/>
        <v>0</v>
      </c>
      <c r="W83" s="262"/>
      <c r="X83" s="61" t="str">
        <f>IF(月途中入退所情報!$N27=$B$2,月途中入退所情報!$P27,"-")</f>
        <v>-</v>
      </c>
      <c r="Y83" s="61" t="str">
        <f>IF(月途中入退所情報!$N27=$B$2,月途中入退所情報!$Q27,"-")</f>
        <v>-</v>
      </c>
      <c r="Z83" s="61" t="str">
        <f>IF(月途中入退所情報!$N27=$B$2,月途中入退所情報!$R27,"-")</f>
        <v>-</v>
      </c>
      <c r="AA83" s="61" t="str">
        <f>IF(月途中入退所情報!$N27=$B$2,月途中入退所情報!$S27,"-")</f>
        <v>-</v>
      </c>
      <c r="AB83" s="61" t="str">
        <f>IF(月途中入退所情報!$N27=$B$2,月途中入退所情報!$T27,"-")</f>
        <v>-</v>
      </c>
      <c r="AC83" s="84">
        <f>IF($Z83="標準時間",HLOOKUP($Y83,$F$5:$I$33,29,FALSE)-SUM($F$10,$F$21:$F$24,$F$26:$F$32)-HLOOKUP($Y83,$F$5:$I$33,16,FALSE)+HLOOKUP($Y83,$F$5:$I$35,31,FALSE),IF($Z83="短時間",HLOOKUP($Y83,$J$5:$M$33,29,FALSE)-SUM($F$10,$F$21:$F$24,$F$26:$F$32)-HLOOKUP($Y83,$J$5:$M$33,16,FALSE)+HLOOKUP($Y83,$J$5:$M$35,31,FALSE),0))+IF(AA83="○",加算と減算!$AH$3,0)</f>
        <v>0</v>
      </c>
      <c r="AD83" s="85">
        <f t="shared" si="56"/>
        <v>0</v>
      </c>
      <c r="AE83" s="262">
        <f t="shared" si="57"/>
        <v>0</v>
      </c>
    </row>
    <row r="84" spans="4:31">
      <c r="T84" s="86" t="s">
        <v>36</v>
      </c>
      <c r="U84" s="85">
        <f>SUM(U64:U83)</f>
        <v>0</v>
      </c>
      <c r="V84" s="262">
        <f>SUM(V64:V83)</f>
        <v>0</v>
      </c>
      <c r="W84" s="262"/>
      <c r="AC84" s="86" t="s">
        <v>36</v>
      </c>
      <c r="AD84" s="85">
        <f>SUM(AD64:AD83)</f>
        <v>0</v>
      </c>
      <c r="AE84" s="264">
        <f>SUM(AE64:AE83)</f>
        <v>0</v>
      </c>
    </row>
    <row r="85" spans="4:31">
      <c r="O85" s="1430" t="s">
        <v>430</v>
      </c>
      <c r="P85" s="1430"/>
      <c r="X85" s="385" t="s">
        <v>431</v>
      </c>
      <c r="Y85" s="385"/>
    </row>
    <row r="86" spans="4:31">
      <c r="O86" s="83" t="s">
        <v>429</v>
      </c>
      <c r="P86" s="83" t="s">
        <v>206</v>
      </c>
      <c r="Q86" s="83" t="s">
        <v>207</v>
      </c>
      <c r="R86" s="83" t="s">
        <v>448</v>
      </c>
      <c r="S86" s="83" t="s">
        <v>214</v>
      </c>
      <c r="T86" s="83" t="s">
        <v>215</v>
      </c>
      <c r="U86" s="83" t="s">
        <v>216</v>
      </c>
      <c r="V86" s="282" t="s">
        <v>455</v>
      </c>
      <c r="W86" s="261"/>
      <c r="X86" s="83" t="s">
        <v>429</v>
      </c>
      <c r="Y86" s="83" t="s">
        <v>206</v>
      </c>
      <c r="Z86" s="83" t="s">
        <v>207</v>
      </c>
      <c r="AA86" s="83" t="s">
        <v>448</v>
      </c>
      <c r="AB86" s="83" t="s">
        <v>218</v>
      </c>
      <c r="AC86" s="83" t="s">
        <v>215</v>
      </c>
      <c r="AD86" s="280" t="s">
        <v>453</v>
      </c>
      <c r="AE86" s="282" t="s">
        <v>455</v>
      </c>
    </row>
    <row r="87" spans="4:31">
      <c r="O87" s="61" t="str">
        <f>IF(月途中入退所情報!$D31=$B$2,月途中入退所情報!F31,"-")</f>
        <v>-</v>
      </c>
      <c r="P87" s="61" t="str">
        <f>IF(月途中入退所情報!$D31=$B$2,月途中入退所情報!G31,"-")</f>
        <v>-</v>
      </c>
      <c r="Q87" s="61" t="str">
        <f>IF(月途中入退所情報!$D31=$B$2,月途中入退所情報!H31,"-")</f>
        <v>-</v>
      </c>
      <c r="R87" s="61" t="str">
        <f>IF(月途中入退所情報!$D31=$B$2,月途中入退所情報!I31,"-")</f>
        <v>-</v>
      </c>
      <c r="S87" s="61" t="str">
        <f>IF(月途中入退所情報!$D31=$B$2,月途中入退所情報!J31,"-")</f>
        <v>-</v>
      </c>
      <c r="T87" s="84">
        <f>IF($Q87="標準時間",HLOOKUP($P87,$F$37:$I$66,30,FALSE)-SUM($F$10,$F$21:$F$24,$F$26:$F$32)-HLOOKUP($P87,$F$37:$I$66,17,FALSE)+HLOOKUP($P87,$F$37:$I$68,32,FALSE),IF($Q87="短時間",HLOOKUP($P87,$J$37:$M$66,30,FALSE)-SUM($F$10,$F$21:$F$24,$F$26:$F$32)-HLOOKUP($P87,$J$37:$M$66,17,FALSE)+HLOOKUP($P87,$J$37:$M$68,32,FALSE),0))+IF(R87="○",加算と減算!$AH$3,0)</f>
        <v>0</v>
      </c>
      <c r="U87" s="85">
        <f>IFERROR(ROUNDDOWN(T87*S87/25,-1),0)</f>
        <v>0</v>
      </c>
      <c r="V87" s="262">
        <f>IFERROR(ROUNDDOWN(IF($Q87="標準時間",HLOOKUP($P87,$F$37:$I$67,31,FALSE),IF($Q87="短時間",HLOOKUP($P87,$J$37:$M$67,31,FALSE),0))*S87/25,-1),0)</f>
        <v>0</v>
      </c>
      <c r="W87" s="262"/>
      <c r="X87" s="61" t="str">
        <f>IF(月途中入退所情報!$N31=$B$2,月途中入退所情報!$P31,"-")</f>
        <v>-</v>
      </c>
      <c r="Y87" s="61" t="str">
        <f>IF(月途中入退所情報!$N31=$B$2,月途中入退所情報!$Q31,"-")</f>
        <v>-</v>
      </c>
      <c r="Z87" s="61" t="str">
        <f>IF(月途中入退所情報!$N31=$B$2,月途中入退所情報!$R31,"-")</f>
        <v>-</v>
      </c>
      <c r="AA87" s="61" t="str">
        <f>IF(月途中入退所情報!$N31=$B$2,月途中入退所情報!$S31,"-")</f>
        <v>-</v>
      </c>
      <c r="AB87" s="61" t="str">
        <f>IF(月途中入退所情報!$N31=$B$2,月途中入退所情報!$T31,"-")</f>
        <v>-</v>
      </c>
      <c r="AC87" s="84">
        <f>IF($Z87="標準時間",HLOOKUP($Y87,$F$37:$I$66,30,FALSE)-SUM($F$10,$F$21:$F$24,$F$26:$F$32)-HLOOKUP($Y87,$F$37:$I$66,17,FALSE)+HLOOKUP($Y87,$F$37:$I$68,32,FALSE),IF($Z87="短時間",HLOOKUP($Y87,$J$37:$M$66,30,FALSE)-SUM($F$10,$F$21:$F$24,$F$26:$F$32)-HLOOKUP($Y87,$J$37:$M$66,17,FALSE)+HLOOKUP($Y87,$J$37:$M$68,32,FALSE),0))+IF(AA87="○",加算と減算!$AH$3,0)</f>
        <v>0</v>
      </c>
      <c r="AD87" s="85">
        <f t="shared" ref="AD87:AD106" si="68">IFERROR(-ROUNDUP(AC87*AB87/25,-1),0)</f>
        <v>0</v>
      </c>
      <c r="AE87" s="262">
        <f t="shared" ref="AE87:AE106" si="69">IFERROR(-ROUNDUP(IF($Z87="標準時間",HLOOKUP($Y87,$F$37:$I$67,31,FALSE),IF($Z87="短時間",HLOOKUP($Y87,$J$37:$M$67,31,FALSE),0))*AB87/25,-1),0)</f>
        <v>0</v>
      </c>
    </row>
    <row r="88" spans="4:31">
      <c r="O88" s="61" t="str">
        <f>IF(月途中入退所情報!$D32=$B$2,月途中入退所情報!F32,"-")</f>
        <v>-</v>
      </c>
      <c r="P88" s="61" t="str">
        <f>IF(月途中入退所情報!$D32=$B$2,月途中入退所情報!G32,"-")</f>
        <v>-</v>
      </c>
      <c r="Q88" s="61" t="str">
        <f>IF(月途中入退所情報!$D32=$B$2,月途中入退所情報!H32,"-")</f>
        <v>-</v>
      </c>
      <c r="R88" s="61" t="str">
        <f>IF(月途中入退所情報!$D32=$B$2,月途中入退所情報!I32,"-")</f>
        <v>-</v>
      </c>
      <c r="S88" s="61" t="str">
        <f>IF(月途中入退所情報!$D32=$B$2,月途中入退所情報!J32,"-")</f>
        <v>-</v>
      </c>
      <c r="T88" s="84">
        <f>IF($Q88="標準時間",HLOOKUP($P88,$F$37:$I$66,30,FALSE)-SUM($F$10,$F$21:$F$24,$F$26:$F$32)-HLOOKUP($P88,$F$37:$I$66,17,FALSE)+HLOOKUP($P88,$F$37:$I$68,32,FALSE),IF($Q88="短時間",HLOOKUP($P88,$J$37:$M$66,30,FALSE)-SUM($F$10,$F$21:$F$24,$F$26:$F$32)-HLOOKUP($P88,$J$37:$M$66,17,FALSE)+HLOOKUP($P88,$J$37:$M$68,32,FALSE),0))+IF(R88="○",加算と減算!$AH$3,0)</f>
        <v>0</v>
      </c>
      <c r="U88" s="85">
        <f t="shared" ref="U88:U106" si="70">IFERROR(ROUNDDOWN(T88*S88/25,-1),0)</f>
        <v>0</v>
      </c>
      <c r="V88" s="262">
        <f t="shared" ref="V88:V106" si="71">IFERROR(ROUNDDOWN(IF($Q88="標準時間",HLOOKUP($P88,$F$37:$I$67,31,FALSE),IF($Q88="短時間",HLOOKUP($P88,$J$37:$M$67,31,FALSE),0))*S88/25,-1),0)</f>
        <v>0</v>
      </c>
      <c r="W88" s="262"/>
      <c r="X88" s="61" t="str">
        <f>IF(月途中入退所情報!$N32=$B$2,月途中入退所情報!$P32,"-")</f>
        <v>-</v>
      </c>
      <c r="Y88" s="61" t="str">
        <f>IF(月途中入退所情報!$N32=$B$2,月途中入退所情報!$Q32,"-")</f>
        <v>-</v>
      </c>
      <c r="Z88" s="61" t="str">
        <f>IF(月途中入退所情報!$N32=$B$2,月途中入退所情報!$R32,"-")</f>
        <v>-</v>
      </c>
      <c r="AA88" s="61" t="str">
        <f>IF(月途中入退所情報!$N32=$B$2,月途中入退所情報!$S32,"-")</f>
        <v>-</v>
      </c>
      <c r="AB88" s="61" t="str">
        <f>IF(月途中入退所情報!$N32=$B$2,月途中入退所情報!$T32,"-")</f>
        <v>-</v>
      </c>
      <c r="AC88" s="84">
        <f>IF($Z88="標準時間",HLOOKUP($Y88,$F$37:$I$66,30,FALSE)-SUM($F$10,$F$21:$F$24,$F$26:$F$32)-HLOOKUP($Y88,$F$37:$I$66,17,FALSE)+HLOOKUP($Y88,$F$37:$I$68,32,FALSE),IF($Z88="短時間",HLOOKUP($Y88,$J$37:$M$66,30,FALSE)-SUM($F$10,$F$21:$F$24,$F$26:$F$32)-HLOOKUP($Y88,$J$37:$M$66,17,FALSE)+HLOOKUP($Y88,$J$37:$M$68,32,FALSE),0))+IF(AA88="○",加算と減算!$AH$3,0)</f>
        <v>0</v>
      </c>
      <c r="AD88" s="85">
        <f t="shared" si="68"/>
        <v>0</v>
      </c>
      <c r="AE88" s="262">
        <f t="shared" si="69"/>
        <v>0</v>
      </c>
    </row>
    <row r="89" spans="4:31">
      <c r="O89" s="61" t="str">
        <f>IF(月途中入退所情報!$D33=$B$2,月途中入退所情報!F33,"-")</f>
        <v>-</v>
      </c>
      <c r="P89" s="61" t="str">
        <f>IF(月途中入退所情報!$D33=$B$2,月途中入退所情報!G33,"-")</f>
        <v>-</v>
      </c>
      <c r="Q89" s="61" t="str">
        <f>IF(月途中入退所情報!$D33=$B$2,月途中入退所情報!H33,"-")</f>
        <v>-</v>
      </c>
      <c r="R89" s="61" t="str">
        <f>IF(月途中入退所情報!$D33=$B$2,月途中入退所情報!I33,"-")</f>
        <v>-</v>
      </c>
      <c r="S89" s="61" t="str">
        <f>IF(月途中入退所情報!$D33=$B$2,月途中入退所情報!J33,"-")</f>
        <v>-</v>
      </c>
      <c r="T89" s="84">
        <f>IF($Q89="標準時間",HLOOKUP($P89,$F$37:$I$66,30,FALSE)-SUM($F$10,$F$21:$F$24,$F$26:$F$32)-HLOOKUP($P89,$F$37:$I$66,17,FALSE)+HLOOKUP($P89,$F$37:$I$68,32,FALSE),IF($Q89="短時間",HLOOKUP($P89,$J$37:$M$66,30,FALSE)-SUM($F$10,$F$21:$F$24,$F$26:$F$32)-HLOOKUP($P89,$J$37:$M$66,17,FALSE)+HLOOKUP($P89,$J$37:$M$68,32,FALSE),0))+IF(R89="○",加算と減算!$AH$3,0)</f>
        <v>0</v>
      </c>
      <c r="U89" s="85">
        <f t="shared" si="70"/>
        <v>0</v>
      </c>
      <c r="V89" s="262">
        <f t="shared" si="71"/>
        <v>0</v>
      </c>
      <c r="W89" s="262"/>
      <c r="X89" s="61" t="str">
        <f>IF(月途中入退所情報!$N33=$B$2,月途中入退所情報!$P33,"-")</f>
        <v>-</v>
      </c>
      <c r="Y89" s="61" t="str">
        <f>IF(月途中入退所情報!$N33=$B$2,月途中入退所情報!$Q33,"-")</f>
        <v>-</v>
      </c>
      <c r="Z89" s="61" t="str">
        <f>IF(月途中入退所情報!$N33=$B$2,月途中入退所情報!$R33,"-")</f>
        <v>-</v>
      </c>
      <c r="AA89" s="61" t="str">
        <f>IF(月途中入退所情報!$N33=$B$2,月途中入退所情報!$S33,"-")</f>
        <v>-</v>
      </c>
      <c r="AB89" s="61" t="str">
        <f>IF(月途中入退所情報!$N33=$B$2,月途中入退所情報!$T33,"-")</f>
        <v>-</v>
      </c>
      <c r="AC89" s="84">
        <f>IF($Z89="標準時間",HLOOKUP($Y89,$F$37:$I$66,30,FALSE)-SUM($F$10,$F$21:$F$24,$F$26:$F$32)-HLOOKUP($Y89,$F$37:$I$66,17,FALSE)+HLOOKUP($Y89,$F$37:$I$68,32,FALSE),IF($Z89="短時間",HLOOKUP($Y89,$J$37:$M$66,30,FALSE)-SUM($F$10,$F$21:$F$24,$F$26:$F$32)-HLOOKUP($Y89,$J$37:$M$66,17,FALSE)+HLOOKUP($Y89,$J$37:$M$68,32,FALSE),0))+IF(AA89="○",加算と減算!$AH$3,0)</f>
        <v>0</v>
      </c>
      <c r="AD89" s="85">
        <f t="shared" si="68"/>
        <v>0</v>
      </c>
      <c r="AE89" s="262">
        <f t="shared" si="69"/>
        <v>0</v>
      </c>
    </row>
    <row r="90" spans="4:31">
      <c r="O90" s="61" t="str">
        <f>IF(月途中入退所情報!$D34=$B$2,月途中入退所情報!F34,"-")</f>
        <v>-</v>
      </c>
      <c r="P90" s="61" t="str">
        <f>IF(月途中入退所情報!$D34=$B$2,月途中入退所情報!G34,"-")</f>
        <v>-</v>
      </c>
      <c r="Q90" s="61" t="str">
        <f>IF(月途中入退所情報!$D34=$B$2,月途中入退所情報!H34,"-")</f>
        <v>-</v>
      </c>
      <c r="R90" s="61" t="str">
        <f>IF(月途中入退所情報!$D34=$B$2,月途中入退所情報!I34,"-")</f>
        <v>-</v>
      </c>
      <c r="S90" s="61" t="str">
        <f>IF(月途中入退所情報!$D34=$B$2,月途中入退所情報!J34,"-")</f>
        <v>-</v>
      </c>
      <c r="T90" s="84">
        <f>IF($Q90="標準時間",HLOOKUP($P90,$F$37:$I$66,30,FALSE)-SUM($F$10,$F$21:$F$24,$F$26:$F$32)-HLOOKUP($P90,$F$37:$I$66,17,FALSE)+HLOOKUP($P90,$F$37:$I$68,32,FALSE),IF($Q90="短時間",HLOOKUP($P90,$J$37:$M$66,30,FALSE)-SUM($F$10,$F$21:$F$24,$F$26:$F$32)-HLOOKUP($P90,$J$37:$M$66,17,FALSE)+HLOOKUP($P90,$J$37:$M$68,32,FALSE),0))+IF(R90="○",加算と減算!$AH$3,0)</f>
        <v>0</v>
      </c>
      <c r="U90" s="85">
        <f t="shared" si="70"/>
        <v>0</v>
      </c>
      <c r="V90" s="262">
        <f t="shared" si="71"/>
        <v>0</v>
      </c>
      <c r="W90" s="262"/>
      <c r="X90" s="61" t="str">
        <f>IF(月途中入退所情報!$N34=$B$2,月途中入退所情報!$P34,"-")</f>
        <v>-</v>
      </c>
      <c r="Y90" s="61" t="str">
        <f>IF(月途中入退所情報!$N34=$B$2,月途中入退所情報!$Q34,"-")</f>
        <v>-</v>
      </c>
      <c r="Z90" s="61" t="str">
        <f>IF(月途中入退所情報!$N34=$B$2,月途中入退所情報!$R34,"-")</f>
        <v>-</v>
      </c>
      <c r="AA90" s="61" t="str">
        <f>IF(月途中入退所情報!$N34=$B$2,月途中入退所情報!$S34,"-")</f>
        <v>-</v>
      </c>
      <c r="AB90" s="61" t="str">
        <f>IF(月途中入退所情報!$N34=$B$2,月途中入退所情報!$T34,"-")</f>
        <v>-</v>
      </c>
      <c r="AC90" s="84">
        <f>IF($Z90="標準時間",HLOOKUP($Y90,$F$37:$I$66,30,FALSE)-SUM($F$10,$F$21:$F$24,$F$26:$F$32)-HLOOKUP($Y90,$F$37:$I$66,17,FALSE)+HLOOKUP($Y90,$F$37:$I$68,32,FALSE),IF($Z90="短時間",HLOOKUP($Y90,$J$37:$M$66,30,FALSE)-SUM($F$10,$F$21:$F$24,$F$26:$F$32)-HLOOKUP($Y90,$J$37:$M$66,17,FALSE)+HLOOKUP($Y90,$J$37:$M$68,32,FALSE),0))+IF(AA90="○",加算と減算!$AH$3,0)</f>
        <v>0</v>
      </c>
      <c r="AD90" s="85">
        <f t="shared" si="68"/>
        <v>0</v>
      </c>
      <c r="AE90" s="262">
        <f t="shared" si="69"/>
        <v>0</v>
      </c>
    </row>
    <row r="91" spans="4:31">
      <c r="O91" s="61" t="str">
        <f>IF(月途中入退所情報!$D35=$B$2,月途中入退所情報!F35,"-")</f>
        <v>-</v>
      </c>
      <c r="P91" s="61" t="str">
        <f>IF(月途中入退所情報!$D35=$B$2,月途中入退所情報!G35,"-")</f>
        <v>-</v>
      </c>
      <c r="Q91" s="61" t="str">
        <f>IF(月途中入退所情報!$D35=$B$2,月途中入退所情報!H35,"-")</f>
        <v>-</v>
      </c>
      <c r="R91" s="61" t="str">
        <f>IF(月途中入退所情報!$D35=$B$2,月途中入退所情報!I35,"-")</f>
        <v>-</v>
      </c>
      <c r="S91" s="61" t="str">
        <f>IF(月途中入退所情報!$D35=$B$2,月途中入退所情報!J35,"-")</f>
        <v>-</v>
      </c>
      <c r="T91" s="84">
        <f>IF($Q91="標準時間",HLOOKUP($P91,$F$37:$I$66,30,FALSE)-SUM($F$10,$F$21:$F$24,$F$26:$F$32)-HLOOKUP($P91,$F$37:$I$66,17,FALSE)+HLOOKUP($P91,$F$37:$I$68,32,FALSE),IF($Q91="短時間",HLOOKUP($P91,$J$37:$M$66,30,FALSE)-SUM($F$10,$F$21:$F$24,$F$26:$F$32)-HLOOKUP($P91,$J$37:$M$66,17,FALSE)+HLOOKUP($P91,$J$37:$M$68,32,FALSE),0))+IF(R91="○",加算と減算!$AH$3,0)</f>
        <v>0</v>
      </c>
      <c r="U91" s="85">
        <f t="shared" si="70"/>
        <v>0</v>
      </c>
      <c r="V91" s="262">
        <f t="shared" si="71"/>
        <v>0</v>
      </c>
      <c r="W91" s="262"/>
      <c r="X91" s="61" t="str">
        <f>IF(月途中入退所情報!$N35=$B$2,月途中入退所情報!$P35,"-")</f>
        <v>-</v>
      </c>
      <c r="Y91" s="61" t="str">
        <f>IF(月途中入退所情報!$N35=$B$2,月途中入退所情報!$Q35,"-")</f>
        <v>-</v>
      </c>
      <c r="Z91" s="61" t="str">
        <f>IF(月途中入退所情報!$N35=$B$2,月途中入退所情報!$R35,"-")</f>
        <v>-</v>
      </c>
      <c r="AA91" s="61" t="str">
        <f>IF(月途中入退所情報!$N35=$B$2,月途中入退所情報!$S35,"-")</f>
        <v>-</v>
      </c>
      <c r="AB91" s="61" t="str">
        <f>IF(月途中入退所情報!$N35=$B$2,月途中入退所情報!$T35,"-")</f>
        <v>-</v>
      </c>
      <c r="AC91" s="84">
        <f>IF($Z91="標準時間",HLOOKUP($Y91,$F$37:$I$66,30,FALSE)-SUM($F$10,$F$21:$F$24,$F$26:$F$32)-HLOOKUP($Y91,$F$37:$I$66,17,FALSE)+HLOOKUP($Y91,$F$37:$I$68,32,FALSE),IF($Z91="短時間",HLOOKUP($Y91,$J$37:$M$66,30,FALSE)-SUM($F$10,$F$21:$F$24,$F$26:$F$32)-HLOOKUP($Y91,$J$37:$M$66,17,FALSE)+HLOOKUP($Y91,$J$37:$M$68,32,FALSE),0))+IF(AA91="○",加算と減算!$AH$3,0)</f>
        <v>0</v>
      </c>
      <c r="AD91" s="85">
        <f t="shared" si="68"/>
        <v>0</v>
      </c>
      <c r="AE91" s="262">
        <f t="shared" si="69"/>
        <v>0</v>
      </c>
    </row>
    <row r="92" spans="4:31">
      <c r="O92" s="61" t="str">
        <f>IF(月途中入退所情報!$D36=$B$2,月途中入退所情報!F36,"-")</f>
        <v>-</v>
      </c>
      <c r="P92" s="61" t="str">
        <f>IF(月途中入退所情報!$D36=$B$2,月途中入退所情報!G36,"-")</f>
        <v>-</v>
      </c>
      <c r="Q92" s="61" t="str">
        <f>IF(月途中入退所情報!$D36=$B$2,月途中入退所情報!H36,"-")</f>
        <v>-</v>
      </c>
      <c r="R92" s="61" t="str">
        <f>IF(月途中入退所情報!$D36=$B$2,月途中入退所情報!I36,"-")</f>
        <v>-</v>
      </c>
      <c r="S92" s="61" t="str">
        <f>IF(月途中入退所情報!$D36=$B$2,月途中入退所情報!J36,"-")</f>
        <v>-</v>
      </c>
      <c r="T92" s="84">
        <f>IF($Q92="標準時間",HLOOKUP($P92,$F$37:$I$66,30,FALSE)-SUM($F$10,$F$21:$F$24,$F$26:$F$32)-HLOOKUP($P92,$F$37:$I$66,17,FALSE)+HLOOKUP($P92,$F$37:$I$68,32,FALSE),IF($Q92="短時間",HLOOKUP($P92,$J$37:$M$66,30,FALSE)-SUM($F$10,$F$21:$F$24,$F$26:$F$32)-HLOOKUP($P92,$J$37:$M$66,17,FALSE)+HLOOKUP($P92,$J$37:$M$68,32,FALSE),0))+IF(R92="○",加算と減算!$AH$3,0)</f>
        <v>0</v>
      </c>
      <c r="U92" s="85">
        <f t="shared" si="70"/>
        <v>0</v>
      </c>
      <c r="V92" s="262">
        <f t="shared" si="71"/>
        <v>0</v>
      </c>
      <c r="W92" s="262"/>
      <c r="X92" s="61" t="str">
        <f>IF(月途中入退所情報!$N36=$B$2,月途中入退所情報!$P36,"-")</f>
        <v>-</v>
      </c>
      <c r="Y92" s="61" t="str">
        <f>IF(月途中入退所情報!$N36=$B$2,月途中入退所情報!$Q36,"-")</f>
        <v>-</v>
      </c>
      <c r="Z92" s="61" t="str">
        <f>IF(月途中入退所情報!$N36=$B$2,月途中入退所情報!$R36,"-")</f>
        <v>-</v>
      </c>
      <c r="AA92" s="61" t="str">
        <f>IF(月途中入退所情報!$N36=$B$2,月途中入退所情報!$S36,"-")</f>
        <v>-</v>
      </c>
      <c r="AB92" s="61" t="str">
        <f>IF(月途中入退所情報!$N36=$B$2,月途中入退所情報!$T36,"-")</f>
        <v>-</v>
      </c>
      <c r="AC92" s="84">
        <f>IF($Z92="標準時間",HLOOKUP($Y92,$F$37:$I$66,30,FALSE)-SUM($F$10,$F$21:$F$24,$F$26:$F$32)-HLOOKUP($Y92,$F$37:$I$66,17,FALSE)+HLOOKUP($Y92,$F$37:$I$68,32,FALSE),IF($Z92="短時間",HLOOKUP($Y92,$J$37:$M$66,30,FALSE)-SUM($F$10,$F$21:$F$24,$F$26:$F$32)-HLOOKUP($Y92,$J$37:$M$66,17,FALSE)+HLOOKUP($Y92,$J$37:$M$68,32,FALSE),0))+IF(AA92="○",加算と減算!$AH$3,0)</f>
        <v>0</v>
      </c>
      <c r="AD92" s="85">
        <f t="shared" si="68"/>
        <v>0</v>
      </c>
      <c r="AE92" s="262">
        <f t="shared" si="69"/>
        <v>0</v>
      </c>
    </row>
    <row r="93" spans="4:31">
      <c r="O93" s="61" t="str">
        <f>IF(月途中入退所情報!$D37=$B$2,月途中入退所情報!F37,"-")</f>
        <v>-</v>
      </c>
      <c r="P93" s="61" t="str">
        <f>IF(月途中入退所情報!$D37=$B$2,月途中入退所情報!G37,"-")</f>
        <v>-</v>
      </c>
      <c r="Q93" s="61" t="str">
        <f>IF(月途中入退所情報!$D37=$B$2,月途中入退所情報!H37,"-")</f>
        <v>-</v>
      </c>
      <c r="R93" s="61" t="str">
        <f>IF(月途中入退所情報!$D37=$B$2,月途中入退所情報!I37,"-")</f>
        <v>-</v>
      </c>
      <c r="S93" s="61" t="str">
        <f>IF(月途中入退所情報!$D37=$B$2,月途中入退所情報!J37,"-")</f>
        <v>-</v>
      </c>
      <c r="T93" s="84">
        <f>IF($Q93="標準時間",HLOOKUP($P93,$F$37:$I$66,30,FALSE)-SUM($F$10,$F$21:$F$24,$F$26:$F$32)-HLOOKUP($P93,$F$37:$I$66,17,FALSE)+HLOOKUP($P93,$F$37:$I$68,32,FALSE),IF($Q93="短時間",HLOOKUP($P93,$J$37:$M$66,30,FALSE)-SUM($F$10,$F$21:$F$24,$F$26:$F$32)-HLOOKUP($P93,$J$37:$M$66,17,FALSE)+HLOOKUP($P93,$J$37:$M$68,32,FALSE),0))+IF(R93="○",加算と減算!$AH$3,0)</f>
        <v>0</v>
      </c>
      <c r="U93" s="85">
        <f t="shared" si="70"/>
        <v>0</v>
      </c>
      <c r="V93" s="262">
        <f t="shared" si="71"/>
        <v>0</v>
      </c>
      <c r="W93" s="262"/>
      <c r="X93" s="61" t="str">
        <f>IF(月途中入退所情報!$N37=$B$2,月途中入退所情報!$P37,"-")</f>
        <v>-</v>
      </c>
      <c r="Y93" s="61" t="str">
        <f>IF(月途中入退所情報!$N37=$B$2,月途中入退所情報!$Q37,"-")</f>
        <v>-</v>
      </c>
      <c r="Z93" s="61" t="str">
        <f>IF(月途中入退所情報!$N37=$B$2,月途中入退所情報!$R37,"-")</f>
        <v>-</v>
      </c>
      <c r="AA93" s="61" t="str">
        <f>IF(月途中入退所情報!$N37=$B$2,月途中入退所情報!$S37,"-")</f>
        <v>-</v>
      </c>
      <c r="AB93" s="61" t="str">
        <f>IF(月途中入退所情報!$N37=$B$2,月途中入退所情報!$T37,"-")</f>
        <v>-</v>
      </c>
      <c r="AC93" s="84">
        <f>IF($Z93="標準時間",HLOOKUP($Y93,$F$37:$I$66,30,FALSE)-SUM($F$10,$F$21:$F$24,$F$26:$F$32)-HLOOKUP($Y93,$F$37:$I$66,17,FALSE)+HLOOKUP($Y93,$F$37:$I$68,32,FALSE),IF($Z93="短時間",HLOOKUP($Y93,$J$37:$M$66,30,FALSE)-SUM($F$10,$F$21:$F$24,$F$26:$F$32)-HLOOKUP($Y93,$J$37:$M$66,17,FALSE)+HLOOKUP($Y93,$J$37:$M$68,32,FALSE),0))+IF(AA93="○",加算と減算!$AH$3,0)</f>
        <v>0</v>
      </c>
      <c r="AD93" s="85">
        <f t="shared" si="68"/>
        <v>0</v>
      </c>
      <c r="AE93" s="262">
        <f t="shared" si="69"/>
        <v>0</v>
      </c>
    </row>
    <row r="94" spans="4:31">
      <c r="O94" s="61" t="str">
        <f>IF(月途中入退所情報!$D38=$B$2,月途中入退所情報!F38,"-")</f>
        <v>-</v>
      </c>
      <c r="P94" s="61" t="str">
        <f>IF(月途中入退所情報!$D38=$B$2,月途中入退所情報!G38,"-")</f>
        <v>-</v>
      </c>
      <c r="Q94" s="61" t="str">
        <f>IF(月途中入退所情報!$D38=$B$2,月途中入退所情報!H38,"-")</f>
        <v>-</v>
      </c>
      <c r="R94" s="61" t="str">
        <f>IF(月途中入退所情報!$D38=$B$2,月途中入退所情報!I38,"-")</f>
        <v>-</v>
      </c>
      <c r="S94" s="61" t="str">
        <f>IF(月途中入退所情報!$D38=$B$2,月途中入退所情報!J38,"-")</f>
        <v>-</v>
      </c>
      <c r="T94" s="84">
        <f>IF($Q94="標準時間",HLOOKUP($P94,$F$37:$I$66,30,FALSE)-SUM($F$10,$F$21:$F$24,$F$26:$F$32)-HLOOKUP($P94,$F$37:$I$66,17,FALSE)+HLOOKUP($P94,$F$37:$I$68,32,FALSE),IF($Q94="短時間",HLOOKUP($P94,$J$37:$M$66,30,FALSE)-SUM($F$10,$F$21:$F$24,$F$26:$F$32)-HLOOKUP($P94,$J$37:$M$66,17,FALSE)+HLOOKUP($P94,$J$37:$M$68,32,FALSE),0))+IF(R94="○",加算と減算!$AH$3,0)</f>
        <v>0</v>
      </c>
      <c r="U94" s="85">
        <f t="shared" si="70"/>
        <v>0</v>
      </c>
      <c r="V94" s="262">
        <f t="shared" si="71"/>
        <v>0</v>
      </c>
      <c r="W94" s="262"/>
      <c r="X94" s="61" t="str">
        <f>IF(月途中入退所情報!$N38=$B$2,月途中入退所情報!$P38,"-")</f>
        <v>-</v>
      </c>
      <c r="Y94" s="61" t="str">
        <f>IF(月途中入退所情報!$N38=$B$2,月途中入退所情報!$Q38,"-")</f>
        <v>-</v>
      </c>
      <c r="Z94" s="61" t="str">
        <f>IF(月途中入退所情報!$N38=$B$2,月途中入退所情報!$R38,"-")</f>
        <v>-</v>
      </c>
      <c r="AA94" s="61" t="str">
        <f>IF(月途中入退所情報!$N38=$B$2,月途中入退所情報!$S38,"-")</f>
        <v>-</v>
      </c>
      <c r="AB94" s="61" t="str">
        <f>IF(月途中入退所情報!$N38=$B$2,月途中入退所情報!$T38,"-")</f>
        <v>-</v>
      </c>
      <c r="AC94" s="84">
        <f>IF($Z94="標準時間",HLOOKUP($Y94,$F$37:$I$66,30,FALSE)-SUM($F$10,$F$21:$F$24,$F$26:$F$32)-HLOOKUP($Y94,$F$37:$I$66,17,FALSE)+HLOOKUP($Y94,$F$37:$I$68,32,FALSE),IF($Z94="短時間",HLOOKUP($Y94,$J$37:$M$66,30,FALSE)-SUM($F$10,$F$21:$F$24,$F$26:$F$32)-HLOOKUP($Y94,$J$37:$M$66,17,FALSE)+HLOOKUP($Y94,$J$37:$M$68,32,FALSE),0))+IF(AA94="○",加算と減算!$AH$3,0)</f>
        <v>0</v>
      </c>
      <c r="AD94" s="85">
        <f t="shared" si="68"/>
        <v>0</v>
      </c>
      <c r="AE94" s="262">
        <f t="shared" si="69"/>
        <v>0</v>
      </c>
    </row>
    <row r="95" spans="4:31">
      <c r="O95" s="61" t="str">
        <f>IF(月途中入退所情報!$D39=$B$2,月途中入退所情報!F39,"-")</f>
        <v>-</v>
      </c>
      <c r="P95" s="61" t="str">
        <f>IF(月途中入退所情報!$D39=$B$2,月途中入退所情報!G39,"-")</f>
        <v>-</v>
      </c>
      <c r="Q95" s="61" t="str">
        <f>IF(月途中入退所情報!$D39=$B$2,月途中入退所情報!H39,"-")</f>
        <v>-</v>
      </c>
      <c r="R95" s="61" t="str">
        <f>IF(月途中入退所情報!$D39=$B$2,月途中入退所情報!I39,"-")</f>
        <v>-</v>
      </c>
      <c r="S95" s="61" t="str">
        <f>IF(月途中入退所情報!$D39=$B$2,月途中入退所情報!J39,"-")</f>
        <v>-</v>
      </c>
      <c r="T95" s="84">
        <f>IF($Q95="標準時間",HLOOKUP($P95,$F$37:$I$66,30,FALSE)-SUM($F$10,$F$21:$F$24,$F$26:$F$32)-HLOOKUP($P95,$F$37:$I$66,17,FALSE)+HLOOKUP($P95,$F$37:$I$68,32,FALSE),IF($Q95="短時間",HLOOKUP($P95,$J$37:$M$66,30,FALSE)-SUM($F$10,$F$21:$F$24,$F$26:$F$32)-HLOOKUP($P95,$J$37:$M$66,17,FALSE)+HLOOKUP($P95,$J$37:$M$68,32,FALSE),0))+IF(R95="○",加算と減算!$AH$3,0)</f>
        <v>0</v>
      </c>
      <c r="U95" s="85">
        <f t="shared" si="70"/>
        <v>0</v>
      </c>
      <c r="V95" s="262">
        <f t="shared" si="71"/>
        <v>0</v>
      </c>
      <c r="W95" s="262"/>
      <c r="X95" s="61" t="str">
        <f>IF(月途中入退所情報!$N39=$B$2,月途中入退所情報!$P39,"-")</f>
        <v>-</v>
      </c>
      <c r="Y95" s="61" t="str">
        <f>IF(月途中入退所情報!$N39=$B$2,月途中入退所情報!$Q39,"-")</f>
        <v>-</v>
      </c>
      <c r="Z95" s="61" t="str">
        <f>IF(月途中入退所情報!$N39=$B$2,月途中入退所情報!$R39,"-")</f>
        <v>-</v>
      </c>
      <c r="AA95" s="61" t="str">
        <f>IF(月途中入退所情報!$N39=$B$2,月途中入退所情報!$S39,"-")</f>
        <v>-</v>
      </c>
      <c r="AB95" s="61" t="str">
        <f>IF(月途中入退所情報!$N39=$B$2,月途中入退所情報!$T39,"-")</f>
        <v>-</v>
      </c>
      <c r="AC95" s="84">
        <f>IF($Z95="標準時間",HLOOKUP($Y95,$F$37:$I$66,30,FALSE)-SUM($F$10,$F$21:$F$24,$F$26:$F$32)-HLOOKUP($Y95,$F$37:$I$66,17,FALSE)+HLOOKUP($Y95,$F$37:$I$68,32,FALSE),IF($Z95="短時間",HLOOKUP($Y95,$J$37:$M$66,30,FALSE)-SUM($F$10,$F$21:$F$24,$F$26:$F$32)-HLOOKUP($Y95,$J$37:$M$66,17,FALSE)+HLOOKUP($Y95,$J$37:$M$68,32,FALSE),0))+IF(AA95="○",加算と減算!$AH$3,0)</f>
        <v>0</v>
      </c>
      <c r="AD95" s="85">
        <f t="shared" si="68"/>
        <v>0</v>
      </c>
      <c r="AE95" s="262">
        <f t="shared" si="69"/>
        <v>0</v>
      </c>
    </row>
    <row r="96" spans="4:31">
      <c r="O96" s="61" t="str">
        <f>IF(月途中入退所情報!$D40=$B$2,月途中入退所情報!F40,"-")</f>
        <v>-</v>
      </c>
      <c r="P96" s="61" t="str">
        <f>IF(月途中入退所情報!$D40=$B$2,月途中入退所情報!G40,"-")</f>
        <v>-</v>
      </c>
      <c r="Q96" s="61" t="str">
        <f>IF(月途中入退所情報!$D40=$B$2,月途中入退所情報!H40,"-")</f>
        <v>-</v>
      </c>
      <c r="R96" s="61" t="str">
        <f>IF(月途中入退所情報!$D40=$B$2,月途中入退所情報!I40,"-")</f>
        <v>-</v>
      </c>
      <c r="S96" s="61" t="str">
        <f>IF(月途中入退所情報!$D40=$B$2,月途中入退所情報!J40,"-")</f>
        <v>-</v>
      </c>
      <c r="T96" s="84">
        <f>IF($Q96="標準時間",HLOOKUP($P96,$F$37:$I$66,30,FALSE)-SUM($F$10,$F$21:$F$24,$F$26:$F$32)-HLOOKUP($P96,$F$37:$I$66,17,FALSE)+HLOOKUP($P96,$F$37:$I$68,32,FALSE),IF($Q96="短時間",HLOOKUP($P96,$J$37:$M$66,30,FALSE)-SUM($F$10,$F$21:$F$24,$F$26:$F$32)-HLOOKUP($P96,$J$37:$M$66,17,FALSE)+HLOOKUP($P96,$J$37:$M$68,32,FALSE),0))+IF(R96="○",加算と減算!$AH$3,0)</f>
        <v>0</v>
      </c>
      <c r="U96" s="85">
        <f t="shared" si="70"/>
        <v>0</v>
      </c>
      <c r="V96" s="262">
        <f t="shared" si="71"/>
        <v>0</v>
      </c>
      <c r="W96" s="262"/>
      <c r="X96" s="61" t="str">
        <f>IF(月途中入退所情報!$N40=$B$2,月途中入退所情報!$P40,"-")</f>
        <v>-</v>
      </c>
      <c r="Y96" s="61" t="str">
        <f>IF(月途中入退所情報!$N40=$B$2,月途中入退所情報!$Q40,"-")</f>
        <v>-</v>
      </c>
      <c r="Z96" s="61" t="str">
        <f>IF(月途中入退所情報!$N40=$B$2,月途中入退所情報!$R40,"-")</f>
        <v>-</v>
      </c>
      <c r="AA96" s="61" t="str">
        <f>IF(月途中入退所情報!$N40=$B$2,月途中入退所情報!$S40,"-")</f>
        <v>-</v>
      </c>
      <c r="AB96" s="61" t="str">
        <f>IF(月途中入退所情報!$N40=$B$2,月途中入退所情報!$T40,"-")</f>
        <v>-</v>
      </c>
      <c r="AC96" s="84">
        <f>IF($Z96="標準時間",HLOOKUP($Y96,$F$37:$I$66,30,FALSE)-SUM($F$10,$F$21:$F$24,$F$26:$F$32)-HLOOKUP($Y96,$F$37:$I$66,17,FALSE)+HLOOKUP($Y96,$F$37:$I$68,32,FALSE),IF($Z96="短時間",HLOOKUP($Y96,$J$37:$M$66,30,FALSE)-SUM($F$10,$F$21:$F$24,$F$26:$F$32)-HLOOKUP($Y96,$J$37:$M$66,17,FALSE)+HLOOKUP($Y96,$J$37:$M$68,32,FALSE),0))+IF(AA96="○",加算と減算!$AH$3,0)</f>
        <v>0</v>
      </c>
      <c r="AD96" s="85">
        <f t="shared" si="68"/>
        <v>0</v>
      </c>
      <c r="AE96" s="262">
        <f t="shared" si="69"/>
        <v>0</v>
      </c>
    </row>
    <row r="97" spans="15:31">
      <c r="O97" s="61" t="str">
        <f>IF(月途中入退所情報!$D41=$B$2,月途中入退所情報!F41,"-")</f>
        <v>-</v>
      </c>
      <c r="P97" s="61" t="str">
        <f>IF(月途中入退所情報!$D41=$B$2,月途中入退所情報!G41,"-")</f>
        <v>-</v>
      </c>
      <c r="Q97" s="61" t="str">
        <f>IF(月途中入退所情報!$D41=$B$2,月途中入退所情報!H41,"-")</f>
        <v>-</v>
      </c>
      <c r="R97" s="61" t="str">
        <f>IF(月途中入退所情報!$D41=$B$2,月途中入退所情報!I41,"-")</f>
        <v>-</v>
      </c>
      <c r="S97" s="61" t="str">
        <f>IF(月途中入退所情報!$D41=$B$2,月途中入退所情報!J41,"-")</f>
        <v>-</v>
      </c>
      <c r="T97" s="84">
        <f>IF($Q97="標準時間",HLOOKUP($P97,$F$37:$I$66,30,FALSE)-SUM($F$10,$F$21:$F$24,$F$26:$F$32)-HLOOKUP($P97,$F$37:$I$66,17,FALSE)+HLOOKUP($P97,$F$37:$I$68,32,FALSE),IF($Q97="短時間",HLOOKUP($P97,$J$37:$M$66,30,FALSE)-SUM($F$10,$F$21:$F$24,$F$26:$F$32)-HLOOKUP($P97,$J$37:$M$66,17,FALSE)+HLOOKUP($P97,$J$37:$M$68,32,FALSE),0))+IF(R97="○",加算と減算!$AH$3,0)</f>
        <v>0</v>
      </c>
      <c r="U97" s="85">
        <f t="shared" si="70"/>
        <v>0</v>
      </c>
      <c r="V97" s="262">
        <f t="shared" si="71"/>
        <v>0</v>
      </c>
      <c r="W97" s="262"/>
      <c r="X97" s="61" t="str">
        <f>IF(月途中入退所情報!$N41=$B$2,月途中入退所情報!$P41,"-")</f>
        <v>-</v>
      </c>
      <c r="Y97" s="61" t="str">
        <f>IF(月途中入退所情報!$N41=$B$2,月途中入退所情報!$Q41,"-")</f>
        <v>-</v>
      </c>
      <c r="Z97" s="61" t="str">
        <f>IF(月途中入退所情報!$N41=$B$2,月途中入退所情報!$R41,"-")</f>
        <v>-</v>
      </c>
      <c r="AA97" s="61" t="str">
        <f>IF(月途中入退所情報!$N41=$B$2,月途中入退所情報!$S41,"-")</f>
        <v>-</v>
      </c>
      <c r="AB97" s="61" t="str">
        <f>IF(月途中入退所情報!$N41=$B$2,月途中入退所情報!$T41,"-")</f>
        <v>-</v>
      </c>
      <c r="AC97" s="84">
        <f>IF($Z97="標準時間",HLOOKUP($Y97,$F$37:$I$66,30,FALSE)-SUM($F$10,$F$21:$F$24,$F$26:$F$32)-HLOOKUP($Y97,$F$37:$I$66,17,FALSE)+HLOOKUP($Y97,$F$37:$I$68,32,FALSE),IF($Z97="短時間",HLOOKUP($Y97,$J$37:$M$66,30,FALSE)-SUM($F$10,$F$21:$F$24,$F$26:$F$32)-HLOOKUP($Y97,$J$37:$M$66,17,FALSE)+HLOOKUP($Y97,$J$37:$M$68,32,FALSE),0))+IF(AA97="○",加算と減算!$AH$3,0)</f>
        <v>0</v>
      </c>
      <c r="AD97" s="85">
        <f t="shared" si="68"/>
        <v>0</v>
      </c>
      <c r="AE97" s="262">
        <f t="shared" si="69"/>
        <v>0</v>
      </c>
    </row>
    <row r="98" spans="15:31">
      <c r="O98" s="61" t="str">
        <f>IF(月途中入退所情報!$D42=$B$2,月途中入退所情報!F42,"-")</f>
        <v>-</v>
      </c>
      <c r="P98" s="61" t="str">
        <f>IF(月途中入退所情報!$D42=$B$2,月途中入退所情報!G42,"-")</f>
        <v>-</v>
      </c>
      <c r="Q98" s="61" t="str">
        <f>IF(月途中入退所情報!$D42=$B$2,月途中入退所情報!H42,"-")</f>
        <v>-</v>
      </c>
      <c r="R98" s="61" t="str">
        <f>IF(月途中入退所情報!$D42=$B$2,月途中入退所情報!I42,"-")</f>
        <v>-</v>
      </c>
      <c r="S98" s="61" t="str">
        <f>IF(月途中入退所情報!$D42=$B$2,月途中入退所情報!J42,"-")</f>
        <v>-</v>
      </c>
      <c r="T98" s="84">
        <f>IF($Q98="標準時間",HLOOKUP($P98,$F$37:$I$66,30,FALSE)-SUM($F$10,$F$21:$F$24,$F$26:$F$32)-HLOOKUP($P98,$F$37:$I$66,17,FALSE)+HLOOKUP($P98,$F$37:$I$68,32,FALSE),IF($Q98="短時間",HLOOKUP($P98,$J$37:$M$66,30,FALSE)-SUM($F$10,$F$21:$F$24,$F$26:$F$32)-HLOOKUP($P98,$J$37:$M$66,17,FALSE)+HLOOKUP($P98,$J$37:$M$68,32,FALSE),0))+IF(R98="○",加算と減算!$AH$3,0)</f>
        <v>0</v>
      </c>
      <c r="U98" s="85">
        <f t="shared" si="70"/>
        <v>0</v>
      </c>
      <c r="V98" s="262">
        <f t="shared" si="71"/>
        <v>0</v>
      </c>
      <c r="W98" s="262"/>
      <c r="X98" s="61" t="str">
        <f>IF(月途中入退所情報!$N42=$B$2,月途中入退所情報!$P42,"-")</f>
        <v>-</v>
      </c>
      <c r="Y98" s="61" t="str">
        <f>IF(月途中入退所情報!$N42=$B$2,月途中入退所情報!$Q42,"-")</f>
        <v>-</v>
      </c>
      <c r="Z98" s="61" t="str">
        <f>IF(月途中入退所情報!$N42=$B$2,月途中入退所情報!$R42,"-")</f>
        <v>-</v>
      </c>
      <c r="AA98" s="61" t="str">
        <f>IF(月途中入退所情報!$N42=$B$2,月途中入退所情報!$S42,"-")</f>
        <v>-</v>
      </c>
      <c r="AB98" s="61" t="str">
        <f>IF(月途中入退所情報!$N42=$B$2,月途中入退所情報!$T42,"-")</f>
        <v>-</v>
      </c>
      <c r="AC98" s="84">
        <f>IF($Z98="標準時間",HLOOKUP($Y98,$F$37:$I$66,30,FALSE)-SUM($F$10,$F$21:$F$24,$F$26:$F$32)-HLOOKUP($Y98,$F$37:$I$66,17,FALSE)+HLOOKUP($Y98,$F$37:$I$68,32,FALSE),IF($Z98="短時間",HLOOKUP($Y98,$J$37:$M$66,30,FALSE)-SUM($F$10,$F$21:$F$24,$F$26:$F$32)-HLOOKUP($Y98,$J$37:$M$66,17,FALSE)+HLOOKUP($Y98,$J$37:$M$68,32,FALSE),0))+IF(AA98="○",加算と減算!$AH$3,0)</f>
        <v>0</v>
      </c>
      <c r="AD98" s="85">
        <f t="shared" si="68"/>
        <v>0</v>
      </c>
      <c r="AE98" s="262">
        <f t="shared" si="69"/>
        <v>0</v>
      </c>
    </row>
    <row r="99" spans="15:31">
      <c r="O99" s="61" t="str">
        <f>IF(月途中入退所情報!$D43=$B$2,月途中入退所情報!F43,"-")</f>
        <v>-</v>
      </c>
      <c r="P99" s="61" t="str">
        <f>IF(月途中入退所情報!$D43=$B$2,月途中入退所情報!G43,"-")</f>
        <v>-</v>
      </c>
      <c r="Q99" s="61" t="str">
        <f>IF(月途中入退所情報!$D43=$B$2,月途中入退所情報!H43,"-")</f>
        <v>-</v>
      </c>
      <c r="R99" s="61" t="str">
        <f>IF(月途中入退所情報!$D43=$B$2,月途中入退所情報!I43,"-")</f>
        <v>-</v>
      </c>
      <c r="S99" s="61" t="str">
        <f>IF(月途中入退所情報!$D43=$B$2,月途中入退所情報!J43,"-")</f>
        <v>-</v>
      </c>
      <c r="T99" s="84">
        <f>IF($Q99="標準時間",HLOOKUP($P99,$F$37:$I$66,30,FALSE)-SUM($F$10,$F$21:$F$24,$F$26:$F$32)-HLOOKUP($P99,$F$37:$I$66,17,FALSE)+HLOOKUP($P99,$F$37:$I$68,32,FALSE),IF($Q99="短時間",HLOOKUP($P99,$J$37:$M$66,30,FALSE)-SUM($F$10,$F$21:$F$24,$F$26:$F$32)-HLOOKUP($P99,$J$37:$M$66,17,FALSE)+HLOOKUP($P99,$J$37:$M$68,32,FALSE),0))+IF(R99="○",加算と減算!$AH$3,0)</f>
        <v>0</v>
      </c>
      <c r="U99" s="85">
        <f t="shared" si="70"/>
        <v>0</v>
      </c>
      <c r="V99" s="262">
        <f t="shared" si="71"/>
        <v>0</v>
      </c>
      <c r="W99" s="262"/>
      <c r="X99" s="61" t="str">
        <f>IF(月途中入退所情報!$N43=$B$2,月途中入退所情報!$P43,"-")</f>
        <v>-</v>
      </c>
      <c r="Y99" s="61" t="str">
        <f>IF(月途中入退所情報!$N43=$B$2,月途中入退所情報!$Q43,"-")</f>
        <v>-</v>
      </c>
      <c r="Z99" s="61" t="str">
        <f>IF(月途中入退所情報!$N43=$B$2,月途中入退所情報!$R43,"-")</f>
        <v>-</v>
      </c>
      <c r="AA99" s="61" t="str">
        <f>IF(月途中入退所情報!$N43=$B$2,月途中入退所情報!$S43,"-")</f>
        <v>-</v>
      </c>
      <c r="AB99" s="61" t="str">
        <f>IF(月途中入退所情報!$N43=$B$2,月途中入退所情報!$T43,"-")</f>
        <v>-</v>
      </c>
      <c r="AC99" s="84">
        <f>IF($Z99="標準時間",HLOOKUP($Y99,$F$37:$I$66,30,FALSE)-SUM($F$10,$F$21:$F$24,$F$26:$F$32)-HLOOKUP($Y99,$F$37:$I$66,17,FALSE)+HLOOKUP($Y99,$F$37:$I$68,32,FALSE),IF($Z99="短時間",HLOOKUP($Y99,$J$37:$M$66,30,FALSE)-SUM($F$10,$F$21:$F$24,$F$26:$F$32)-HLOOKUP($Y99,$J$37:$M$66,17,FALSE)+HLOOKUP($Y99,$J$37:$M$68,32,FALSE),0))+IF(AA99="○",加算と減算!$AH$3,0)</f>
        <v>0</v>
      </c>
      <c r="AD99" s="85">
        <f t="shared" si="68"/>
        <v>0</v>
      </c>
      <c r="AE99" s="262">
        <f t="shared" si="69"/>
        <v>0</v>
      </c>
    </row>
    <row r="100" spans="15:31">
      <c r="O100" s="61" t="str">
        <f>IF(月途中入退所情報!$D44=$B$2,月途中入退所情報!F44,"-")</f>
        <v>-</v>
      </c>
      <c r="P100" s="61" t="str">
        <f>IF(月途中入退所情報!$D44=$B$2,月途中入退所情報!G44,"-")</f>
        <v>-</v>
      </c>
      <c r="Q100" s="61" t="str">
        <f>IF(月途中入退所情報!$D44=$B$2,月途中入退所情報!H44,"-")</f>
        <v>-</v>
      </c>
      <c r="R100" s="61" t="str">
        <f>IF(月途中入退所情報!$D44=$B$2,月途中入退所情報!I44,"-")</f>
        <v>-</v>
      </c>
      <c r="S100" s="61" t="str">
        <f>IF(月途中入退所情報!$D44=$B$2,月途中入退所情報!J44,"-")</f>
        <v>-</v>
      </c>
      <c r="T100" s="84">
        <f>IF($Q100="標準時間",HLOOKUP($P100,$F$37:$I$66,30,FALSE)-SUM($F$10,$F$21:$F$24,$F$26:$F$32)-HLOOKUP($P100,$F$37:$I$66,17,FALSE)+HLOOKUP($P100,$F$37:$I$68,32,FALSE),IF($Q100="短時間",HLOOKUP($P100,$J$37:$M$66,30,FALSE)-SUM($F$10,$F$21:$F$24,$F$26:$F$32)-HLOOKUP($P100,$J$37:$M$66,17,FALSE)+HLOOKUP($P100,$J$37:$M$68,32,FALSE),0))+IF(R100="○",加算と減算!$AH$3,0)</f>
        <v>0</v>
      </c>
      <c r="U100" s="85">
        <f t="shared" si="70"/>
        <v>0</v>
      </c>
      <c r="V100" s="262">
        <f t="shared" si="71"/>
        <v>0</v>
      </c>
      <c r="W100" s="262"/>
      <c r="X100" s="61" t="str">
        <f>IF(月途中入退所情報!$N44=$B$2,月途中入退所情報!$P44,"-")</f>
        <v>-</v>
      </c>
      <c r="Y100" s="61" t="str">
        <f>IF(月途中入退所情報!$N44=$B$2,月途中入退所情報!$Q44,"-")</f>
        <v>-</v>
      </c>
      <c r="Z100" s="61" t="str">
        <f>IF(月途中入退所情報!$N44=$B$2,月途中入退所情報!$R44,"-")</f>
        <v>-</v>
      </c>
      <c r="AA100" s="61" t="str">
        <f>IF(月途中入退所情報!$N44=$B$2,月途中入退所情報!$S44,"-")</f>
        <v>-</v>
      </c>
      <c r="AB100" s="61" t="str">
        <f>IF(月途中入退所情報!$N44=$B$2,月途中入退所情報!$T44,"-")</f>
        <v>-</v>
      </c>
      <c r="AC100" s="84">
        <f>IF($Z100="標準時間",HLOOKUP($Y100,$F$37:$I$66,30,FALSE)-SUM($F$10,$F$21:$F$24,$F$26:$F$32)-HLOOKUP($Y100,$F$37:$I$66,17,FALSE)+HLOOKUP($Y100,$F$37:$I$68,32,FALSE),IF($Z100="短時間",HLOOKUP($Y100,$J$37:$M$66,30,FALSE)-SUM($F$10,$F$21:$F$24,$F$26:$F$32)-HLOOKUP($Y100,$J$37:$M$66,17,FALSE)+HLOOKUP($Y100,$J$37:$M$68,32,FALSE),0))+IF(AA100="○",加算と減算!$AH$3,0)</f>
        <v>0</v>
      </c>
      <c r="AD100" s="85">
        <f t="shared" si="68"/>
        <v>0</v>
      </c>
      <c r="AE100" s="262">
        <f t="shared" si="69"/>
        <v>0</v>
      </c>
    </row>
    <row r="101" spans="15:31">
      <c r="O101" s="61" t="str">
        <f>IF(月途中入退所情報!$D45=$B$2,月途中入退所情報!F45,"-")</f>
        <v>-</v>
      </c>
      <c r="P101" s="61" t="str">
        <f>IF(月途中入退所情報!$D45=$B$2,月途中入退所情報!G45,"-")</f>
        <v>-</v>
      </c>
      <c r="Q101" s="61" t="str">
        <f>IF(月途中入退所情報!$D45=$B$2,月途中入退所情報!H45,"-")</f>
        <v>-</v>
      </c>
      <c r="R101" s="61" t="str">
        <f>IF(月途中入退所情報!$D45=$B$2,月途中入退所情報!I45,"-")</f>
        <v>-</v>
      </c>
      <c r="S101" s="61" t="str">
        <f>IF(月途中入退所情報!$D45=$B$2,月途中入退所情報!J45,"-")</f>
        <v>-</v>
      </c>
      <c r="T101" s="84">
        <f>IF($Q101="標準時間",HLOOKUP($P101,$F$37:$I$66,30,FALSE)-SUM($F$10,$F$21:$F$24,$F$26:$F$32)-HLOOKUP($P101,$F$37:$I$66,17,FALSE)+HLOOKUP($P101,$F$37:$I$68,32,FALSE),IF($Q101="短時間",HLOOKUP($P101,$J$37:$M$66,30,FALSE)-SUM($F$10,$F$21:$F$24,$F$26:$F$32)-HLOOKUP($P101,$J$37:$M$66,17,FALSE)+HLOOKUP($P101,$J$37:$M$68,32,FALSE),0))+IF(R101="○",加算と減算!$AH$3,0)</f>
        <v>0</v>
      </c>
      <c r="U101" s="85">
        <f t="shared" si="70"/>
        <v>0</v>
      </c>
      <c r="V101" s="262">
        <f t="shared" si="71"/>
        <v>0</v>
      </c>
      <c r="W101" s="262"/>
      <c r="X101" s="61" t="str">
        <f>IF(月途中入退所情報!$N45=$B$2,月途中入退所情報!$P45,"-")</f>
        <v>-</v>
      </c>
      <c r="Y101" s="61" t="str">
        <f>IF(月途中入退所情報!$N45=$B$2,月途中入退所情報!$Q45,"-")</f>
        <v>-</v>
      </c>
      <c r="Z101" s="61" t="str">
        <f>IF(月途中入退所情報!$N45=$B$2,月途中入退所情報!$R45,"-")</f>
        <v>-</v>
      </c>
      <c r="AA101" s="61" t="str">
        <f>IF(月途中入退所情報!$N45=$B$2,月途中入退所情報!$S45,"-")</f>
        <v>-</v>
      </c>
      <c r="AB101" s="61" t="str">
        <f>IF(月途中入退所情報!$N45=$B$2,月途中入退所情報!$T45,"-")</f>
        <v>-</v>
      </c>
      <c r="AC101" s="84">
        <f>IF($Z101="標準時間",HLOOKUP($Y101,$F$37:$I$66,30,FALSE)-SUM($F$10,$F$21:$F$24,$F$26:$F$32)-HLOOKUP($Y101,$F$37:$I$66,17,FALSE)+HLOOKUP($Y101,$F$37:$I$68,32,FALSE),IF($Z101="短時間",HLOOKUP($Y101,$J$37:$M$66,30,FALSE)-SUM($F$10,$F$21:$F$24,$F$26:$F$32)-HLOOKUP($Y101,$J$37:$M$66,17,FALSE)+HLOOKUP($Y101,$J$37:$M$68,32,FALSE),0))+IF(AA101="○",加算と減算!$AH$3,0)</f>
        <v>0</v>
      </c>
      <c r="AD101" s="85">
        <f t="shared" si="68"/>
        <v>0</v>
      </c>
      <c r="AE101" s="262">
        <f t="shared" si="69"/>
        <v>0</v>
      </c>
    </row>
    <row r="102" spans="15:31">
      <c r="O102" s="61" t="str">
        <f>IF(月途中入退所情報!$D46=$B$2,月途中入退所情報!F46,"-")</f>
        <v>-</v>
      </c>
      <c r="P102" s="61" t="str">
        <f>IF(月途中入退所情報!$D46=$B$2,月途中入退所情報!G46,"-")</f>
        <v>-</v>
      </c>
      <c r="Q102" s="61" t="str">
        <f>IF(月途中入退所情報!$D46=$B$2,月途中入退所情報!H46,"-")</f>
        <v>-</v>
      </c>
      <c r="R102" s="61" t="str">
        <f>IF(月途中入退所情報!$D46=$B$2,月途中入退所情報!I46,"-")</f>
        <v>-</v>
      </c>
      <c r="S102" s="61" t="str">
        <f>IF(月途中入退所情報!$D46=$B$2,月途中入退所情報!J46,"-")</f>
        <v>-</v>
      </c>
      <c r="T102" s="84">
        <f>IF($Q102="標準時間",HLOOKUP($P102,$F$37:$I$66,30,FALSE)-SUM($F$10,$F$21:$F$24,$F$26:$F$32)-HLOOKUP($P102,$F$37:$I$66,17,FALSE)+HLOOKUP($P102,$F$37:$I$68,32,FALSE),IF($Q102="短時間",HLOOKUP($P102,$J$37:$M$66,30,FALSE)-SUM($F$10,$F$21:$F$24,$F$26:$F$32)-HLOOKUP($P102,$J$37:$M$66,17,FALSE)+HLOOKUP($P102,$J$37:$M$68,32,FALSE),0))+IF(R102="○",加算と減算!$AH$3,0)</f>
        <v>0</v>
      </c>
      <c r="U102" s="85">
        <f t="shared" si="70"/>
        <v>0</v>
      </c>
      <c r="V102" s="262">
        <f t="shared" si="71"/>
        <v>0</v>
      </c>
      <c r="W102" s="262"/>
      <c r="X102" s="61" t="str">
        <f>IF(月途中入退所情報!$N46=$B$2,月途中入退所情報!$P46,"-")</f>
        <v>-</v>
      </c>
      <c r="Y102" s="61" t="str">
        <f>IF(月途中入退所情報!$N46=$B$2,月途中入退所情報!$Q46,"-")</f>
        <v>-</v>
      </c>
      <c r="Z102" s="61" t="str">
        <f>IF(月途中入退所情報!$N46=$B$2,月途中入退所情報!$R46,"-")</f>
        <v>-</v>
      </c>
      <c r="AA102" s="61" t="str">
        <f>IF(月途中入退所情報!$N46=$B$2,月途中入退所情報!$S46,"-")</f>
        <v>-</v>
      </c>
      <c r="AB102" s="61" t="str">
        <f>IF(月途中入退所情報!$N46=$B$2,月途中入退所情報!$T46,"-")</f>
        <v>-</v>
      </c>
      <c r="AC102" s="84">
        <f>IF($Z102="標準時間",HLOOKUP($Y102,$F$37:$I$66,30,FALSE)-SUM($F$10,$F$21:$F$24,$F$26:$F$32)-HLOOKUP($Y102,$F$37:$I$66,17,FALSE)+HLOOKUP($Y102,$F$37:$I$68,32,FALSE),IF($Z102="短時間",HLOOKUP($Y102,$J$37:$M$66,30,FALSE)-SUM($F$10,$F$21:$F$24,$F$26:$F$32)-HLOOKUP($Y102,$J$37:$M$66,17,FALSE)+HLOOKUP($Y102,$J$37:$M$68,32,FALSE),0))+IF(AA102="○",加算と減算!$AH$3,0)</f>
        <v>0</v>
      </c>
      <c r="AD102" s="85">
        <f t="shared" si="68"/>
        <v>0</v>
      </c>
      <c r="AE102" s="262">
        <f t="shared" si="69"/>
        <v>0</v>
      </c>
    </row>
    <row r="103" spans="15:31">
      <c r="O103" s="61" t="str">
        <f>IF(月途中入退所情報!$D47=$B$2,月途中入退所情報!F47,"-")</f>
        <v>-</v>
      </c>
      <c r="P103" s="61" t="str">
        <f>IF(月途中入退所情報!$D47=$B$2,月途中入退所情報!G47,"-")</f>
        <v>-</v>
      </c>
      <c r="Q103" s="61" t="str">
        <f>IF(月途中入退所情報!$D47=$B$2,月途中入退所情報!H47,"-")</f>
        <v>-</v>
      </c>
      <c r="R103" s="61" t="str">
        <f>IF(月途中入退所情報!$D47=$B$2,月途中入退所情報!I47,"-")</f>
        <v>-</v>
      </c>
      <c r="S103" s="61" t="str">
        <f>IF(月途中入退所情報!$D47=$B$2,月途中入退所情報!J47,"-")</f>
        <v>-</v>
      </c>
      <c r="T103" s="84">
        <f>IF($Q103="標準時間",HLOOKUP($P103,$F$37:$I$66,30,FALSE)-SUM($F$10,$F$21:$F$24,$F$26:$F$32)-HLOOKUP($P103,$F$37:$I$66,17,FALSE)+HLOOKUP($P103,$F$37:$I$68,32,FALSE),IF($Q103="短時間",HLOOKUP($P103,$J$37:$M$66,30,FALSE)-SUM($F$10,$F$21:$F$24,$F$26:$F$32)-HLOOKUP($P103,$J$37:$M$66,17,FALSE)+HLOOKUP($P103,$J$37:$M$68,32,FALSE),0))+IF(R103="○",加算と減算!$AH$3,0)</f>
        <v>0</v>
      </c>
      <c r="U103" s="85">
        <f t="shared" si="70"/>
        <v>0</v>
      </c>
      <c r="V103" s="262">
        <f t="shared" si="71"/>
        <v>0</v>
      </c>
      <c r="W103" s="262"/>
      <c r="X103" s="61" t="str">
        <f>IF(月途中入退所情報!$N47=$B$2,月途中入退所情報!$P47,"-")</f>
        <v>-</v>
      </c>
      <c r="Y103" s="61" t="str">
        <f>IF(月途中入退所情報!$N47=$B$2,月途中入退所情報!$Q47,"-")</f>
        <v>-</v>
      </c>
      <c r="Z103" s="61" t="str">
        <f>IF(月途中入退所情報!$N47=$B$2,月途中入退所情報!$R47,"-")</f>
        <v>-</v>
      </c>
      <c r="AA103" s="61" t="str">
        <f>IF(月途中入退所情報!$N47=$B$2,月途中入退所情報!$S47,"-")</f>
        <v>-</v>
      </c>
      <c r="AB103" s="61" t="str">
        <f>IF(月途中入退所情報!$N47=$B$2,月途中入退所情報!$T47,"-")</f>
        <v>-</v>
      </c>
      <c r="AC103" s="84">
        <f>IF($Z103="標準時間",HLOOKUP($Y103,$F$37:$I$66,30,FALSE)-SUM($F$10,$F$21:$F$24,$F$26:$F$32)-HLOOKUP($Y103,$F$37:$I$66,17,FALSE)+HLOOKUP($Y103,$F$37:$I$68,32,FALSE),IF($Z103="短時間",HLOOKUP($Y103,$J$37:$M$66,30,FALSE)-SUM($F$10,$F$21:$F$24,$F$26:$F$32)-HLOOKUP($Y103,$J$37:$M$66,17,FALSE)+HLOOKUP($Y103,$J$37:$M$68,32,FALSE),0))+IF(AA103="○",加算と減算!$AH$3,0)</f>
        <v>0</v>
      </c>
      <c r="AD103" s="85">
        <f t="shared" si="68"/>
        <v>0</v>
      </c>
      <c r="AE103" s="262">
        <f t="shared" si="69"/>
        <v>0</v>
      </c>
    </row>
    <row r="104" spans="15:31">
      <c r="O104" s="61" t="str">
        <f>IF(月途中入退所情報!$D48=$B$2,月途中入退所情報!F48,"-")</f>
        <v>-</v>
      </c>
      <c r="P104" s="61" t="str">
        <f>IF(月途中入退所情報!$D48=$B$2,月途中入退所情報!G48,"-")</f>
        <v>-</v>
      </c>
      <c r="Q104" s="61" t="str">
        <f>IF(月途中入退所情報!$D48=$B$2,月途中入退所情報!H48,"-")</f>
        <v>-</v>
      </c>
      <c r="R104" s="61" t="str">
        <f>IF(月途中入退所情報!$D48=$B$2,月途中入退所情報!I48,"-")</f>
        <v>-</v>
      </c>
      <c r="S104" s="61" t="str">
        <f>IF(月途中入退所情報!$D48=$B$2,月途中入退所情報!J48,"-")</f>
        <v>-</v>
      </c>
      <c r="T104" s="84">
        <f>IF($Q104="標準時間",HLOOKUP($P104,$F$37:$I$66,30,FALSE)-SUM($F$10,$F$21:$F$24,$F$26:$F$32)-HLOOKUP($P104,$F$37:$I$66,17,FALSE)+HLOOKUP($P104,$F$37:$I$68,32,FALSE),IF($Q104="短時間",HLOOKUP($P104,$J$37:$M$66,30,FALSE)-SUM($F$10,$F$21:$F$24,$F$26:$F$32)-HLOOKUP($P104,$J$37:$M$66,17,FALSE)+HLOOKUP($P104,$J$37:$M$68,32,FALSE),0))+IF(R104="○",加算と減算!$AH$3,0)</f>
        <v>0</v>
      </c>
      <c r="U104" s="85">
        <f t="shared" si="70"/>
        <v>0</v>
      </c>
      <c r="V104" s="262">
        <f t="shared" si="71"/>
        <v>0</v>
      </c>
      <c r="W104" s="262"/>
      <c r="X104" s="61" t="str">
        <f>IF(月途中入退所情報!$N48=$B$2,月途中入退所情報!$P48,"-")</f>
        <v>-</v>
      </c>
      <c r="Y104" s="61" t="str">
        <f>IF(月途中入退所情報!$N48=$B$2,月途中入退所情報!$Q48,"-")</f>
        <v>-</v>
      </c>
      <c r="Z104" s="61" t="str">
        <f>IF(月途中入退所情報!$N48=$B$2,月途中入退所情報!$R48,"-")</f>
        <v>-</v>
      </c>
      <c r="AA104" s="61" t="str">
        <f>IF(月途中入退所情報!$N48=$B$2,月途中入退所情報!$S48,"-")</f>
        <v>-</v>
      </c>
      <c r="AB104" s="61" t="str">
        <f>IF(月途中入退所情報!$N48=$B$2,月途中入退所情報!$T48,"-")</f>
        <v>-</v>
      </c>
      <c r="AC104" s="84">
        <f>IF($Z104="標準時間",HLOOKUP($Y104,$F$37:$I$66,30,FALSE)-SUM($F$10,$F$21:$F$24,$F$26:$F$32)-HLOOKUP($Y104,$F$37:$I$66,17,FALSE)+HLOOKUP($Y104,$F$37:$I$68,32,FALSE),IF($Z104="短時間",HLOOKUP($Y104,$J$37:$M$66,30,FALSE)-SUM($F$10,$F$21:$F$24,$F$26:$F$32)-HLOOKUP($Y104,$J$37:$M$66,17,FALSE)+HLOOKUP($Y104,$J$37:$M$68,32,FALSE),0))+IF(AA104="○",加算と減算!$AH$3,0)</f>
        <v>0</v>
      </c>
      <c r="AD104" s="85">
        <f t="shared" si="68"/>
        <v>0</v>
      </c>
      <c r="AE104" s="262">
        <f t="shared" si="69"/>
        <v>0</v>
      </c>
    </row>
    <row r="105" spans="15:31">
      <c r="O105" s="61" t="str">
        <f>IF(月途中入退所情報!$D49=$B$2,月途中入退所情報!F49,"-")</f>
        <v>-</v>
      </c>
      <c r="P105" s="61" t="str">
        <f>IF(月途中入退所情報!$D49=$B$2,月途中入退所情報!G49,"-")</f>
        <v>-</v>
      </c>
      <c r="Q105" s="61" t="str">
        <f>IF(月途中入退所情報!$D49=$B$2,月途中入退所情報!H49,"-")</f>
        <v>-</v>
      </c>
      <c r="R105" s="61" t="str">
        <f>IF(月途中入退所情報!$D49=$B$2,月途中入退所情報!I49,"-")</f>
        <v>-</v>
      </c>
      <c r="S105" s="61" t="str">
        <f>IF(月途中入退所情報!$D49=$B$2,月途中入退所情報!J49,"-")</f>
        <v>-</v>
      </c>
      <c r="T105" s="84">
        <f>IF($Q105="標準時間",HLOOKUP($P105,$F$37:$I$66,30,FALSE)-SUM($F$10,$F$21:$F$24,$F$26:$F$32)-HLOOKUP($P105,$F$37:$I$66,17,FALSE)+HLOOKUP($P105,$F$37:$I$68,32,FALSE),IF($Q105="短時間",HLOOKUP($P105,$J$37:$M$66,30,FALSE)-SUM($F$10,$F$21:$F$24,$F$26:$F$32)-HLOOKUP($P105,$J$37:$M$66,17,FALSE)+HLOOKUP($P105,$J$37:$M$68,32,FALSE),0))+IF(R105="○",加算と減算!$AH$3,0)</f>
        <v>0</v>
      </c>
      <c r="U105" s="85">
        <f t="shared" si="70"/>
        <v>0</v>
      </c>
      <c r="V105" s="262">
        <f t="shared" si="71"/>
        <v>0</v>
      </c>
      <c r="W105" s="262"/>
      <c r="X105" s="61" t="str">
        <f>IF(月途中入退所情報!$N49=$B$2,月途中入退所情報!$P49,"-")</f>
        <v>-</v>
      </c>
      <c r="Y105" s="61" t="str">
        <f>IF(月途中入退所情報!$N49=$B$2,月途中入退所情報!$Q49,"-")</f>
        <v>-</v>
      </c>
      <c r="Z105" s="61" t="str">
        <f>IF(月途中入退所情報!$N49=$B$2,月途中入退所情報!$R49,"-")</f>
        <v>-</v>
      </c>
      <c r="AA105" s="61" t="str">
        <f>IF(月途中入退所情報!$N49=$B$2,月途中入退所情報!$S49,"-")</f>
        <v>-</v>
      </c>
      <c r="AB105" s="61" t="str">
        <f>IF(月途中入退所情報!$N49=$B$2,月途中入退所情報!$T49,"-")</f>
        <v>-</v>
      </c>
      <c r="AC105" s="84">
        <f>IF($Z105="標準時間",HLOOKUP($Y105,$F$37:$I$66,30,FALSE)-SUM($F$10,$F$21:$F$24,$F$26:$F$32)-HLOOKUP($Y105,$F$37:$I$66,17,FALSE)+HLOOKUP($Y105,$F$37:$I$68,32,FALSE),IF($Z105="短時間",HLOOKUP($Y105,$J$37:$M$66,30,FALSE)-SUM($F$10,$F$21:$F$24,$F$26:$F$32)-HLOOKUP($Y105,$J$37:$M$66,17,FALSE)+HLOOKUP($Y105,$J$37:$M$68,32,FALSE),0))+IF(AA105="○",加算と減算!$AH$3,0)</f>
        <v>0</v>
      </c>
      <c r="AD105" s="85">
        <f t="shared" si="68"/>
        <v>0</v>
      </c>
      <c r="AE105" s="262">
        <f t="shared" si="69"/>
        <v>0</v>
      </c>
    </row>
    <row r="106" spans="15:31">
      <c r="O106" s="61" t="str">
        <f>IF(月途中入退所情報!$D50=$B$2,月途中入退所情報!F50,"-")</f>
        <v>-</v>
      </c>
      <c r="P106" s="61" t="str">
        <f>IF(月途中入退所情報!$D50=$B$2,月途中入退所情報!G50,"-")</f>
        <v>-</v>
      </c>
      <c r="Q106" s="61" t="str">
        <f>IF(月途中入退所情報!$D50=$B$2,月途中入退所情報!H50,"-")</f>
        <v>-</v>
      </c>
      <c r="R106" s="61" t="str">
        <f>IF(月途中入退所情報!$D50=$B$2,月途中入退所情報!I50,"-")</f>
        <v>-</v>
      </c>
      <c r="S106" s="61" t="str">
        <f>IF(月途中入退所情報!$D50=$B$2,月途中入退所情報!J50,"-")</f>
        <v>-</v>
      </c>
      <c r="T106" s="84">
        <f>IF($Q106="標準時間",HLOOKUP($P106,$F$37:$I$66,30,FALSE)-SUM($F$10,$F$21:$F$24,$F$26:$F$32)-HLOOKUP($P106,$F$37:$I$66,17,FALSE)+HLOOKUP($P106,$F$37:$I$68,32,FALSE),IF($Q106="短時間",HLOOKUP($P106,$J$37:$M$66,30,FALSE)-SUM($F$10,$F$21:$F$24,$F$26:$F$32)-HLOOKUP($P106,$J$37:$M$66,17,FALSE)+HLOOKUP($P106,$J$37:$M$68,32,FALSE),0))+IF(R106="○",加算と減算!$AH$3,0)</f>
        <v>0</v>
      </c>
      <c r="U106" s="85">
        <f t="shared" si="70"/>
        <v>0</v>
      </c>
      <c r="V106" s="262">
        <f t="shared" si="71"/>
        <v>0</v>
      </c>
      <c r="W106" s="262"/>
      <c r="X106" s="61" t="str">
        <f>IF(月途中入退所情報!$N50=$B$2,月途中入退所情報!$P50,"-")</f>
        <v>-</v>
      </c>
      <c r="Y106" s="61" t="str">
        <f>IF(月途中入退所情報!$N50=$B$2,月途中入退所情報!$Q50,"-")</f>
        <v>-</v>
      </c>
      <c r="Z106" s="61" t="str">
        <f>IF(月途中入退所情報!$N50=$B$2,月途中入退所情報!$R50,"-")</f>
        <v>-</v>
      </c>
      <c r="AA106" s="61" t="str">
        <f>IF(月途中入退所情報!$N50=$B$2,月途中入退所情報!$S50,"-")</f>
        <v>-</v>
      </c>
      <c r="AB106" s="61" t="str">
        <f>IF(月途中入退所情報!$N50=$B$2,月途中入退所情報!$T50,"-")</f>
        <v>-</v>
      </c>
      <c r="AC106" s="84">
        <f>IF($Z106="標準時間",HLOOKUP($Y106,$F$37:$I$66,30,FALSE)-SUM($F$10,$F$21:$F$24,$F$26:$F$32)-HLOOKUP($Y106,$F$37:$I$66,17,FALSE)+HLOOKUP($Y106,$F$37:$I$68,32,FALSE),IF($Z106="短時間",HLOOKUP($Y106,$J$37:$M$66,30,FALSE)-SUM($F$10,$F$21:$F$24,$F$26:$F$32)-HLOOKUP($Y106,$J$37:$M$66,17,FALSE)+HLOOKUP($Y106,$J$37:$M$68,32,FALSE),0))+IF(AA106="○",加算と減算!$AH$3,0)</f>
        <v>0</v>
      </c>
      <c r="AD106" s="85">
        <f t="shared" si="68"/>
        <v>0</v>
      </c>
      <c r="AE106" s="262">
        <f t="shared" si="69"/>
        <v>0</v>
      </c>
    </row>
    <row r="107" spans="15:31">
      <c r="T107" s="86" t="s">
        <v>36</v>
      </c>
      <c r="U107" s="85">
        <f>SUM(U87:U106)</f>
        <v>0</v>
      </c>
      <c r="V107" s="262">
        <f>SUM(V87:V106)</f>
        <v>0</v>
      </c>
      <c r="W107" s="262"/>
      <c r="AC107" s="86" t="s">
        <v>36</v>
      </c>
      <c r="AD107" s="85">
        <f>SUM(AD87:AD106)</f>
        <v>0</v>
      </c>
      <c r="AE107" s="264">
        <f>SUM(AE87:AE106)</f>
        <v>0</v>
      </c>
    </row>
  </sheetData>
  <mergeCells count="89">
    <mergeCell ref="D80:E81"/>
    <mergeCell ref="F81:M81"/>
    <mergeCell ref="C17:C20"/>
    <mergeCell ref="F71:I71"/>
    <mergeCell ref="J71:M71"/>
    <mergeCell ref="E4:E5"/>
    <mergeCell ref="F4:I4"/>
    <mergeCell ref="D11:D12"/>
    <mergeCell ref="D73:D74"/>
    <mergeCell ref="D77:D78"/>
    <mergeCell ref="B4:B33"/>
    <mergeCell ref="D47:D48"/>
    <mergeCell ref="B36:B66"/>
    <mergeCell ref="B2:D2"/>
    <mergeCell ref="C4:D5"/>
    <mergeCell ref="Y13:Y14"/>
    <mergeCell ref="J4:M4"/>
    <mergeCell ref="U4:X4"/>
    <mergeCell ref="Y4:Y5"/>
    <mergeCell ref="C6:D7"/>
    <mergeCell ref="D8:D9"/>
    <mergeCell ref="O4:O11"/>
    <mergeCell ref="P4:P5"/>
    <mergeCell ref="Q4:T4"/>
    <mergeCell ref="O13:O20"/>
    <mergeCell ref="P13:P14"/>
    <mergeCell ref="Q13:T13"/>
    <mergeCell ref="U13:X13"/>
    <mergeCell ref="D15:D16"/>
    <mergeCell ref="D17:D18"/>
    <mergeCell ref="C8:C16"/>
    <mergeCell ref="X54:Y54"/>
    <mergeCell ref="Y36:Y37"/>
    <mergeCell ref="C38:D39"/>
    <mergeCell ref="C40:C48"/>
    <mergeCell ref="D40:D41"/>
    <mergeCell ref="D43:D44"/>
    <mergeCell ref="O45:O52"/>
    <mergeCell ref="P45:P46"/>
    <mergeCell ref="Q45:T45"/>
    <mergeCell ref="C36:D37"/>
    <mergeCell ref="E36:E37"/>
    <mergeCell ref="F36:I36"/>
    <mergeCell ref="J36:M36"/>
    <mergeCell ref="O36:O43"/>
    <mergeCell ref="P36:P37"/>
    <mergeCell ref="Y45:Y46"/>
    <mergeCell ref="X62:Y62"/>
    <mergeCell ref="O85:P85"/>
    <mergeCell ref="O62:P62"/>
    <mergeCell ref="C21:C32"/>
    <mergeCell ref="C54:C65"/>
    <mergeCell ref="U45:X45"/>
    <mergeCell ref="C66:D66"/>
    <mergeCell ref="Q36:T36"/>
    <mergeCell ref="U36:X36"/>
    <mergeCell ref="O22:O28"/>
    <mergeCell ref="T22:T28"/>
    <mergeCell ref="C33:D33"/>
    <mergeCell ref="C49:C53"/>
    <mergeCell ref="D50:D51"/>
    <mergeCell ref="O54:O60"/>
    <mergeCell ref="T54:T60"/>
    <mergeCell ref="AO15:AO16"/>
    <mergeCell ref="AN17:AN20"/>
    <mergeCell ref="AO17:AO18"/>
    <mergeCell ref="AN21:AN32"/>
    <mergeCell ref="AN33:AO33"/>
    <mergeCell ref="AM36:AM66"/>
    <mergeCell ref="AP4:AP5"/>
    <mergeCell ref="AN36:AO37"/>
    <mergeCell ref="AP36:AP37"/>
    <mergeCell ref="AN38:AO39"/>
    <mergeCell ref="AN40:AN48"/>
    <mergeCell ref="AO40:AO41"/>
    <mergeCell ref="AO43:AO44"/>
    <mergeCell ref="AO47:AO48"/>
    <mergeCell ref="AN34:AO34"/>
    <mergeCell ref="AM4:AM33"/>
    <mergeCell ref="AN4:AO5"/>
    <mergeCell ref="AN6:AO7"/>
    <mergeCell ref="AN8:AN16"/>
    <mergeCell ref="AO8:AO9"/>
    <mergeCell ref="AO11:AO12"/>
    <mergeCell ref="AN67:AO67"/>
    <mergeCell ref="AN49:AN53"/>
    <mergeCell ref="AO50:AO51"/>
    <mergeCell ref="AN54:AN65"/>
    <mergeCell ref="AN66:AO66"/>
  </mergeCells>
  <phoneticPr fontId="2"/>
  <printOptions headings="1"/>
  <pageMargins left="0.23622047244094491" right="0.23622047244094491" top="0.74803149606299213" bottom="0.74803149606299213" header="0.31496062992125984" footer="0.31496062992125984"/>
  <pageSetup paperSize="8" scale="5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05E01-E498-4606-971B-EF60F1C6905B}">
  <dimension ref="A1:L115"/>
  <sheetViews>
    <sheetView workbookViewId="0">
      <selection activeCell="C20" sqref="C20"/>
    </sheetView>
  </sheetViews>
  <sheetFormatPr defaultColWidth="9" defaultRowHeight="16.5"/>
  <cols>
    <col min="1" max="1" width="0.875" style="13" customWidth="1"/>
    <col min="2" max="2" width="3" style="13" customWidth="1"/>
    <col min="3" max="3" width="12.125" style="13" customWidth="1"/>
    <col min="4" max="4" width="24.125" style="13" customWidth="1"/>
    <col min="5" max="5" width="9.75" style="13" customWidth="1"/>
    <col min="6" max="9" width="9.75" style="506" customWidth="1"/>
    <col min="10" max="12" width="9.75" style="13" customWidth="1"/>
    <col min="13" max="16384" width="9" style="13"/>
  </cols>
  <sheetData>
    <row r="1" spans="1:12" ht="4.9000000000000004" customHeight="1"/>
    <row r="2" spans="1:12">
      <c r="A2" s="507"/>
      <c r="B2" s="1483" t="s">
        <v>156</v>
      </c>
      <c r="C2" s="1483"/>
      <c r="D2" s="1483"/>
      <c r="E2" s="30" t="s">
        <v>155</v>
      </c>
      <c r="F2" s="1480" t="str">
        <f>IF(基本情報!C2="","",基本情報!C2)</f>
        <v/>
      </c>
      <c r="G2" s="1481"/>
      <c r="H2" s="1481"/>
      <c r="I2" s="1482"/>
    </row>
    <row r="3" spans="1:12" ht="20.25" customHeight="1" thickBot="1">
      <c r="B3" s="508"/>
      <c r="C3" s="1115" t="s">
        <v>524</v>
      </c>
      <c r="D3" s="1116"/>
      <c r="E3" s="1117"/>
      <c r="F3" s="1118"/>
      <c r="G3" s="1118"/>
      <c r="H3" s="1118"/>
      <c r="I3" s="1118"/>
      <c r="J3" s="1118"/>
      <c r="K3" s="1118"/>
    </row>
    <row r="4" spans="1:12" ht="17.25" thickBot="1">
      <c r="A4" s="509"/>
      <c r="B4" s="510"/>
      <c r="C4" s="511"/>
      <c r="D4" s="511"/>
      <c r="E4" s="512" t="s">
        <v>122</v>
      </c>
      <c r="F4" s="513" t="s">
        <v>123</v>
      </c>
      <c r="G4" s="17"/>
      <c r="H4" s="17"/>
      <c r="I4" s="17"/>
      <c r="J4" s="513" t="s">
        <v>123</v>
      </c>
    </row>
    <row r="5" spans="1:12" ht="17.25" thickBot="1">
      <c r="A5" s="509"/>
      <c r="B5" s="1495" t="s">
        <v>124</v>
      </c>
      <c r="C5" s="1496"/>
      <c r="D5" s="1496"/>
      <c r="E5" s="514" t="str">
        <f>IF(基本情報!E5="","","あり")</f>
        <v/>
      </c>
      <c r="F5" s="515" t="s">
        <v>131</v>
      </c>
      <c r="G5" s="17"/>
      <c r="H5" s="17"/>
      <c r="I5" s="17"/>
      <c r="J5" s="515" t="str">
        <f>IF(E5="あり","分園分","入力不要")</f>
        <v>入力不要</v>
      </c>
    </row>
    <row r="6" spans="1:12" ht="17.25" thickBot="1">
      <c r="A6" s="509"/>
      <c r="B6" s="1495" t="s">
        <v>125</v>
      </c>
      <c r="C6" s="1496"/>
      <c r="D6" s="1496"/>
      <c r="E6" s="1496"/>
      <c r="F6" s="516">
        <f>基本情報!C5</f>
        <v>0</v>
      </c>
      <c r="G6" s="17"/>
      <c r="H6" s="17"/>
      <c r="I6" s="17"/>
      <c r="J6" s="517">
        <f>基本情報!E5</f>
        <v>0</v>
      </c>
    </row>
    <row r="7" spans="1:12" ht="17.25" thickBot="1">
      <c r="A7" s="509"/>
      <c r="B7" s="1497" t="s">
        <v>126</v>
      </c>
      <c r="C7" s="1498"/>
      <c r="D7" s="1498"/>
      <c r="E7" s="1498"/>
      <c r="F7" s="518">
        <f>F8+F9+F10+F11</f>
        <v>0</v>
      </c>
      <c r="H7" s="17"/>
      <c r="I7" s="17"/>
      <c r="J7" s="518">
        <f>J8+J9+J10+J11</f>
        <v>0</v>
      </c>
    </row>
    <row r="8" spans="1:12">
      <c r="A8" s="509"/>
      <c r="B8" s="519"/>
      <c r="C8" s="1466" t="s">
        <v>127</v>
      </c>
      <c r="D8" s="1467"/>
      <c r="E8" s="520"/>
      <c r="F8" s="43"/>
      <c r="G8" s="1472" t="s">
        <v>157</v>
      </c>
      <c r="H8" s="1473"/>
      <c r="I8" s="17"/>
      <c r="J8" s="43"/>
      <c r="K8" s="1472" t="s">
        <v>157</v>
      </c>
      <c r="L8" s="1473"/>
    </row>
    <row r="9" spans="1:12">
      <c r="A9" s="509"/>
      <c r="B9" s="519"/>
      <c r="C9" s="1466" t="s">
        <v>128</v>
      </c>
      <c r="D9" s="1467"/>
      <c r="E9" s="520"/>
      <c r="F9" s="44"/>
      <c r="G9" s="17"/>
      <c r="H9" s="17"/>
      <c r="I9" s="17"/>
      <c r="J9" s="44"/>
    </row>
    <row r="10" spans="1:12">
      <c r="A10" s="509"/>
      <c r="B10" s="519"/>
      <c r="C10" s="1467" t="s">
        <v>129</v>
      </c>
      <c r="D10" s="1486"/>
      <c r="E10" s="520"/>
      <c r="F10" s="44"/>
      <c r="G10" s="17"/>
      <c r="H10" s="17"/>
      <c r="I10" s="17"/>
      <c r="J10" s="44"/>
    </row>
    <row r="11" spans="1:12" ht="17.25" thickBot="1">
      <c r="B11" s="521"/>
      <c r="C11" s="1487" t="s">
        <v>14</v>
      </c>
      <c r="D11" s="1488"/>
      <c r="E11" s="522"/>
      <c r="F11" s="45"/>
      <c r="G11" s="17"/>
      <c r="H11" s="17"/>
      <c r="J11" s="45"/>
    </row>
    <row r="12" spans="1:12" ht="17.25" thickBot="1">
      <c r="B12" s="509" t="s">
        <v>130</v>
      </c>
      <c r="F12" s="13"/>
      <c r="J12" s="506"/>
    </row>
    <row r="13" spans="1:12" ht="17.25" thickBot="1">
      <c r="A13" s="509"/>
      <c r="E13" s="1489" t="s">
        <v>131</v>
      </c>
      <c r="F13" s="1490"/>
      <c r="G13" s="1490"/>
      <c r="H13" s="1491"/>
      <c r="I13" s="1492" t="str">
        <f>IF(E5="あり","分園分","選択不要")</f>
        <v>選択不要</v>
      </c>
      <c r="J13" s="1493"/>
      <c r="K13" s="1493"/>
      <c r="L13" s="1494"/>
    </row>
    <row r="14" spans="1:12">
      <c r="B14" s="510"/>
      <c r="C14" s="511"/>
      <c r="D14" s="511"/>
      <c r="E14" s="523" t="s">
        <v>122</v>
      </c>
      <c r="F14" s="524"/>
      <c r="G14" s="1484" t="s">
        <v>158</v>
      </c>
      <c r="H14" s="1485"/>
      <c r="I14" s="525" t="s">
        <v>122</v>
      </c>
      <c r="J14" s="526"/>
      <c r="K14" s="1468" t="s">
        <v>158</v>
      </c>
      <c r="L14" s="1469"/>
    </row>
    <row r="15" spans="1:12">
      <c r="B15" s="527" t="s">
        <v>132</v>
      </c>
      <c r="C15" s="511" t="s">
        <v>133</v>
      </c>
      <c r="D15" s="528"/>
      <c r="E15" s="529"/>
      <c r="F15" s="530"/>
      <c r="G15" s="531"/>
      <c r="H15" s="532"/>
      <c r="J15" s="533"/>
      <c r="K15" s="534"/>
      <c r="L15" s="535"/>
    </row>
    <row r="16" spans="1:12">
      <c r="B16" s="536"/>
      <c r="C16" s="537" t="s">
        <v>134</v>
      </c>
      <c r="D16" s="538"/>
      <c r="E16" s="539"/>
      <c r="F16" s="540">
        <f>F8</f>
        <v>0</v>
      </c>
      <c r="G16" s="541">
        <f>F16*1/30</f>
        <v>0</v>
      </c>
      <c r="H16" s="542">
        <f>ROUNDDOWN(G16,1)</f>
        <v>0</v>
      </c>
      <c r="I16" s="537"/>
      <c r="J16" s="540">
        <f>IF(E5="あり",J8,0)</f>
        <v>0</v>
      </c>
      <c r="K16" s="541">
        <f>J16*1/30</f>
        <v>0</v>
      </c>
      <c r="L16" s="542">
        <f>ROUNDDOWN(K16,1)</f>
        <v>0</v>
      </c>
    </row>
    <row r="17" spans="2:12">
      <c r="B17" s="536"/>
      <c r="C17" s="543" t="s">
        <v>135</v>
      </c>
      <c r="D17" s="544"/>
      <c r="E17" s="534"/>
      <c r="F17" s="545">
        <f>F9</f>
        <v>0</v>
      </c>
      <c r="G17" s="546">
        <f>IF(E18="なし",F17/20,F17/15)</f>
        <v>0</v>
      </c>
      <c r="H17" s="547">
        <f>ROUNDDOWN(G17,1)</f>
        <v>0</v>
      </c>
      <c r="I17" s="13"/>
      <c r="J17" s="540">
        <f>IF(E5="あり",J9,0)</f>
        <v>0</v>
      </c>
      <c r="K17" s="546">
        <f>IF(I18="なし",J17/20,J17/15)</f>
        <v>0</v>
      </c>
      <c r="L17" s="547">
        <f>ROUNDDOWN(K17,1)</f>
        <v>0</v>
      </c>
    </row>
    <row r="18" spans="2:12">
      <c r="B18" s="536"/>
      <c r="C18" s="543" t="s">
        <v>136</v>
      </c>
      <c r="D18" s="544"/>
      <c r="E18" s="46"/>
      <c r="F18" s="548"/>
      <c r="G18" s="549"/>
      <c r="H18" s="547"/>
      <c r="I18" s="550">
        <f>E18</f>
        <v>0</v>
      </c>
      <c r="J18" s="548"/>
      <c r="K18" s="549"/>
      <c r="L18" s="547"/>
    </row>
    <row r="19" spans="2:12">
      <c r="B19" s="536"/>
      <c r="C19" s="543" t="s">
        <v>129</v>
      </c>
      <c r="D19" s="544"/>
      <c r="E19" s="551"/>
      <c r="F19" s="545">
        <f>F10</f>
        <v>0</v>
      </c>
      <c r="G19" s="546">
        <f>F19*1/6</f>
        <v>0</v>
      </c>
      <c r="H19" s="547">
        <f>ROUNDDOWN(G19,1)</f>
        <v>0</v>
      </c>
      <c r="I19" s="543"/>
      <c r="J19" s="540">
        <f>IF(E5="あり",J10,0)</f>
        <v>0</v>
      </c>
      <c r="K19" s="546">
        <f>J19*1/6</f>
        <v>0</v>
      </c>
      <c r="L19" s="547">
        <f>ROUNDDOWN(K19,1)</f>
        <v>0</v>
      </c>
    </row>
    <row r="20" spans="2:12" ht="17.25" thickBot="1">
      <c r="B20" s="536"/>
      <c r="C20" s="552" t="s">
        <v>14</v>
      </c>
      <c r="D20" s="553"/>
      <c r="E20" s="554"/>
      <c r="F20" s="555">
        <f>F11</f>
        <v>0</v>
      </c>
      <c r="G20" s="556">
        <f>F20*1/3</f>
        <v>0</v>
      </c>
      <c r="H20" s="557">
        <f>ROUNDDOWN(G20,1)</f>
        <v>0</v>
      </c>
      <c r="I20" s="554"/>
      <c r="J20" s="555">
        <f>IF(E5="あり",J11,0)</f>
        <v>0</v>
      </c>
      <c r="K20" s="556">
        <f>J20*1/3</f>
        <v>0</v>
      </c>
      <c r="L20" s="557">
        <f>ROUNDDOWN(K20,1)</f>
        <v>0</v>
      </c>
    </row>
    <row r="21" spans="2:12" ht="17.25" thickTop="1">
      <c r="B21" s="558"/>
      <c r="C21" s="521" t="s">
        <v>137</v>
      </c>
      <c r="D21" s="558"/>
      <c r="E21" s="559"/>
      <c r="F21" s="526"/>
      <c r="G21" s="560"/>
      <c r="H21" s="561">
        <f>ROUND(SUM(H16:H20),0)</f>
        <v>0</v>
      </c>
      <c r="J21" s="562"/>
      <c r="K21" s="560"/>
      <c r="L21" s="561">
        <f>ROUND(SUM(L16:L20),0)</f>
        <v>0</v>
      </c>
    </row>
    <row r="22" spans="2:12">
      <c r="B22" s="563" t="s">
        <v>138</v>
      </c>
      <c r="C22" s="564" t="s">
        <v>139</v>
      </c>
      <c r="D22" s="528"/>
      <c r="E22" s="47"/>
      <c r="F22" s="530"/>
      <c r="G22" s="565"/>
      <c r="H22" s="566">
        <f>IF(E22="あり",1.4,0)</f>
        <v>0</v>
      </c>
      <c r="I22" s="49" t="s">
        <v>732</v>
      </c>
      <c r="J22" s="530"/>
      <c r="K22" s="565"/>
      <c r="L22" s="566">
        <f>IF(E5="あり",IF(I22="あり",1.4,0),0)</f>
        <v>0</v>
      </c>
    </row>
    <row r="23" spans="2:12">
      <c r="B23" s="563" t="s">
        <v>140</v>
      </c>
      <c r="C23" s="564" t="s">
        <v>18</v>
      </c>
      <c r="D23" s="528"/>
      <c r="E23" s="47"/>
      <c r="F23" s="530"/>
      <c r="G23" s="565"/>
      <c r="H23" s="566">
        <f>IF(E23="あり",1,0)</f>
        <v>0</v>
      </c>
      <c r="I23" s="1470" t="str">
        <f>IF($E$5="あり","本園分で選択","－")</f>
        <v>－</v>
      </c>
      <c r="J23" s="1471"/>
      <c r="K23" s="529"/>
      <c r="L23" s="567"/>
    </row>
    <row r="24" spans="2:12">
      <c r="B24" s="563" t="s">
        <v>141</v>
      </c>
      <c r="C24" s="564" t="s">
        <v>142</v>
      </c>
      <c r="D24" s="528"/>
      <c r="E24" s="47"/>
      <c r="F24" s="530"/>
      <c r="G24" s="565"/>
      <c r="H24" s="566">
        <f>IF(E24="あり",0.3,0)</f>
        <v>0</v>
      </c>
      <c r="I24" s="1470" t="str">
        <f t="shared" ref="I24:I27" si="0">IF($E$5="あり","本園分で選択","－")</f>
        <v>－</v>
      </c>
      <c r="J24" s="1471"/>
      <c r="K24" s="529"/>
      <c r="L24" s="567"/>
    </row>
    <row r="25" spans="2:12">
      <c r="B25" s="563" t="s">
        <v>143</v>
      </c>
      <c r="C25" s="564" t="s">
        <v>69</v>
      </c>
      <c r="D25" s="528"/>
      <c r="E25" s="47"/>
      <c r="F25" s="530"/>
      <c r="G25" s="565"/>
      <c r="H25" s="566">
        <f>IF(E25="あり",0.5,0)</f>
        <v>0</v>
      </c>
      <c r="I25" s="1470" t="str">
        <f t="shared" si="0"/>
        <v>－</v>
      </c>
      <c r="J25" s="1471"/>
      <c r="K25" s="529"/>
      <c r="L25" s="567"/>
    </row>
    <row r="26" spans="2:12">
      <c r="B26" s="563" t="s">
        <v>144</v>
      </c>
      <c r="C26" s="564" t="s">
        <v>38</v>
      </c>
      <c r="D26" s="528"/>
      <c r="E26" s="47"/>
      <c r="F26" s="530"/>
      <c r="G26" s="565"/>
      <c r="H26" s="566">
        <f>IF(E26="あり",1,0)</f>
        <v>0</v>
      </c>
      <c r="I26" s="1470" t="str">
        <f t="shared" si="0"/>
        <v>－</v>
      </c>
      <c r="J26" s="1471"/>
      <c r="K26" s="529"/>
      <c r="L26" s="567"/>
    </row>
    <row r="27" spans="2:12">
      <c r="B27" s="568" t="s">
        <v>145</v>
      </c>
      <c r="C27" s="569" t="s">
        <v>146</v>
      </c>
      <c r="D27" s="570"/>
      <c r="E27" s="48"/>
      <c r="F27" s="571"/>
      <c r="G27" s="572"/>
      <c r="H27" s="573">
        <f>IF(E27="あり",0.6,0)</f>
        <v>0</v>
      </c>
      <c r="I27" s="1470" t="str">
        <f t="shared" si="0"/>
        <v>－</v>
      </c>
      <c r="J27" s="1471"/>
      <c r="K27" s="529"/>
      <c r="L27" s="567"/>
    </row>
    <row r="28" spans="2:12" ht="17.25" thickBot="1">
      <c r="B28" s="574" t="s">
        <v>147</v>
      </c>
      <c r="C28" s="575"/>
      <c r="D28" s="575"/>
      <c r="E28" s="576"/>
      <c r="F28" s="577"/>
      <c r="G28" s="578"/>
      <c r="H28" s="579">
        <f>IF(F6&lt;=40,1.5,IF(F6&lt;=90,2.5,IF(F6&lt;=150,2.3,IF(F6&gt;=151,3.3,0))))</f>
        <v>1.5</v>
      </c>
      <c r="I28" s="580"/>
      <c r="J28" s="581"/>
      <c r="K28" s="582"/>
      <c r="L28" s="583">
        <f>IF(E5="あり",IF(J6&lt;=40,1.5,IF(J6&lt;=90,2.5,IF(J6&lt;=150,2.3,IF(J6&gt;=151,3.3,0)))),0)</f>
        <v>0</v>
      </c>
    </row>
    <row r="29" spans="2:12" ht="18" thickTop="1" thickBot="1">
      <c r="B29" s="584" t="s">
        <v>36</v>
      </c>
      <c r="C29" s="585"/>
      <c r="D29" s="585"/>
      <c r="E29" s="534"/>
      <c r="F29" s="535"/>
      <c r="G29" s="586"/>
      <c r="H29" s="587">
        <f>SUM(H28,H21,H22:H27)</f>
        <v>1.5</v>
      </c>
      <c r="J29" s="535"/>
      <c r="K29" s="534"/>
      <c r="L29" s="587">
        <f>SUM(L21,L22,,L28)</f>
        <v>0</v>
      </c>
    </row>
    <row r="30" spans="2:12" ht="17.25" thickBot="1">
      <c r="B30" s="588" t="s">
        <v>148</v>
      </c>
      <c r="C30" s="589"/>
      <c r="D30" s="589"/>
      <c r="E30" s="378"/>
      <c r="F30" s="380"/>
      <c r="G30" s="590"/>
      <c r="H30" s="591">
        <f>ROUND(H29,0)</f>
        <v>2</v>
      </c>
      <c r="I30" s="592"/>
      <c r="J30" s="380"/>
      <c r="K30" s="378"/>
      <c r="L30" s="591">
        <f>ROUND(L29,0)</f>
        <v>0</v>
      </c>
    </row>
    <row r="31" spans="2:12" ht="17.25" thickBot="1">
      <c r="B31" s="509" t="s">
        <v>149</v>
      </c>
      <c r="F31" s="13"/>
      <c r="I31" s="593"/>
      <c r="J31" s="594"/>
    </row>
    <row r="32" spans="2:12" ht="18" customHeight="1">
      <c r="B32" s="1474" t="s">
        <v>150</v>
      </c>
      <c r="C32" s="1475"/>
      <c r="D32" s="1475"/>
      <c r="E32" s="1475"/>
      <c r="F32" s="1476"/>
      <c r="G32" s="595">
        <f>(H30+L30)/3</f>
        <v>0.66666666666666663</v>
      </c>
      <c r="H32" s="654">
        <f>IF(ROUND(G32,0)=0,1,ROUND(G32,0))</f>
        <v>1</v>
      </c>
      <c r="I32" s="1119" t="s">
        <v>523</v>
      </c>
      <c r="J32" s="1118"/>
      <c r="K32" s="1118"/>
    </row>
    <row r="33" spans="2:11" ht="18.600000000000001" customHeight="1" thickBot="1">
      <c r="B33" s="1477" t="s">
        <v>151</v>
      </c>
      <c r="C33" s="1478"/>
      <c r="D33" s="1478"/>
      <c r="E33" s="1478"/>
      <c r="F33" s="1479"/>
      <c r="G33" s="596">
        <f>(H30+L30)/5</f>
        <v>0.4</v>
      </c>
      <c r="H33" s="655">
        <f>IF(ROUND(G33,0)=0,1,ROUND(G33,0))</f>
        <v>1</v>
      </c>
      <c r="I33" s="1119" t="s">
        <v>523</v>
      </c>
      <c r="J33" s="1118"/>
      <c r="K33" s="1118"/>
    </row>
    <row r="34" spans="2:11">
      <c r="B34" s="509" t="s">
        <v>159</v>
      </c>
      <c r="F34" s="13"/>
      <c r="H34" s="597"/>
      <c r="J34" s="506"/>
    </row>
    <row r="35" spans="2:11" ht="17.25" thickBot="1">
      <c r="B35" s="509"/>
      <c r="F35" s="13"/>
      <c r="H35" s="597"/>
      <c r="J35" s="506"/>
    </row>
    <row r="36" spans="2:11" ht="17.25" thickBot="1">
      <c r="B36" s="598"/>
      <c r="C36" s="41">
        <v>48860</v>
      </c>
      <c r="D36" s="599" t="s">
        <v>152</v>
      </c>
      <c r="E36" s="379"/>
      <c r="F36" s="600"/>
      <c r="G36" s="600"/>
      <c r="H36" s="50">
        <f>C36*$H$32</f>
        <v>48860</v>
      </c>
    </row>
    <row r="37" spans="2:11" ht="17.25" thickBot="1">
      <c r="B37" s="601"/>
      <c r="C37" s="42">
        <v>6110</v>
      </c>
      <c r="D37" s="602" t="s">
        <v>153</v>
      </c>
      <c r="E37" s="603"/>
      <c r="F37" s="604"/>
      <c r="G37" s="604"/>
      <c r="H37" s="51">
        <f>C37*$H$33</f>
        <v>6110</v>
      </c>
    </row>
    <row r="38" spans="2:11" ht="18" thickTop="1" thickBot="1">
      <c r="B38" s="605"/>
      <c r="C38" s="606" t="s">
        <v>154</v>
      </c>
      <c r="D38" s="607"/>
      <c r="E38" s="607"/>
      <c r="F38" s="608"/>
      <c r="G38" s="608"/>
      <c r="H38" s="52">
        <f>SUM(H36:H37)</f>
        <v>54970</v>
      </c>
    </row>
    <row r="39" spans="2:11">
      <c r="B39" s="609"/>
      <c r="C39" s="610"/>
      <c r="D39" s="609"/>
      <c r="E39" s="609"/>
      <c r="F39" s="611"/>
      <c r="G39" s="611"/>
      <c r="H39" s="382"/>
    </row>
    <row r="40" spans="2:11" ht="17.25" hidden="1" thickBot="1">
      <c r="B40" s="509" t="s">
        <v>503</v>
      </c>
    </row>
    <row r="41" spans="2:11" ht="17.25" hidden="1" thickBot="1">
      <c r="B41" s="598"/>
      <c r="C41" s="41">
        <v>48860</v>
      </c>
      <c r="D41" s="599" t="s">
        <v>152</v>
      </c>
      <c r="E41" s="379"/>
      <c r="F41" s="600"/>
      <c r="G41" s="600"/>
      <c r="H41" s="50">
        <f>C41*$H$32</f>
        <v>48860</v>
      </c>
    </row>
    <row r="42" spans="2:11" ht="17.25" hidden="1" thickBot="1">
      <c r="B42" s="601"/>
      <c r="C42" s="42">
        <v>6110</v>
      </c>
      <c r="D42" s="602" t="s">
        <v>153</v>
      </c>
      <c r="E42" s="603"/>
      <c r="F42" s="604"/>
      <c r="G42" s="604"/>
      <c r="H42" s="51">
        <f>C42*$H$33</f>
        <v>6110</v>
      </c>
    </row>
    <row r="43" spans="2:11" ht="18" hidden="1" thickTop="1" thickBot="1">
      <c r="B43" s="605"/>
      <c r="C43" s="606" t="s">
        <v>154</v>
      </c>
      <c r="D43" s="607"/>
      <c r="E43" s="607"/>
      <c r="F43" s="608"/>
      <c r="G43" s="608"/>
      <c r="H43" s="52">
        <f>SUM(H41:H42)</f>
        <v>54970</v>
      </c>
    </row>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sheetData>
  <sheetProtection algorithmName="SHA-512" hashValue="ORVJaCmOy2VPov0E+GXw9pL+msFfb65AQ2cFkUftMWJV/yl7LKBxbNXvjGWBeH+WIztjAVxnOKYFG7aw8mo1Yw==" saltValue="SWueYX9A3T2BJN14YYWnBg==" spinCount="100000" sheet="1" objects="1" scenarios="1"/>
  <mergeCells count="22">
    <mergeCell ref="B32:F32"/>
    <mergeCell ref="B33:F33"/>
    <mergeCell ref="I27:J27"/>
    <mergeCell ref="F2:I2"/>
    <mergeCell ref="B2:D2"/>
    <mergeCell ref="G8:H8"/>
    <mergeCell ref="G14:H14"/>
    <mergeCell ref="C9:D9"/>
    <mergeCell ref="C10:D10"/>
    <mergeCell ref="C11:D11"/>
    <mergeCell ref="E13:H13"/>
    <mergeCell ref="I13:L13"/>
    <mergeCell ref="B5:D5"/>
    <mergeCell ref="B6:E6"/>
    <mergeCell ref="B7:E7"/>
    <mergeCell ref="I26:J26"/>
    <mergeCell ref="C8:D8"/>
    <mergeCell ref="K14:L14"/>
    <mergeCell ref="I23:J23"/>
    <mergeCell ref="I24:J24"/>
    <mergeCell ref="I25:J25"/>
    <mergeCell ref="K8:L8"/>
  </mergeCells>
  <phoneticPr fontId="2"/>
  <dataValidations count="1">
    <dataValidation type="list" allowBlank="1" showInputMessage="1" showErrorMessage="1" sqref="I22 E18 E22:E27" xr:uid="{3EA702C9-56AB-4E1B-8759-3798D6960A9D}">
      <formula1>"　,あり,なし"</formula1>
    </dataValidation>
  </dataValidations>
  <pageMargins left="0.7" right="0.7" top="0.75" bottom="0.75" header="0.3" footer="0.3"/>
  <pageSetup paperSize="9" orientation="portrait" horizontalDpi="4294967293"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4A640-385A-4A15-AB37-18C943E50033}">
  <dimension ref="B1:P34"/>
  <sheetViews>
    <sheetView tabSelected="1" zoomScale="85" zoomScaleNormal="85" workbookViewId="0">
      <selection activeCell="H14" sqref="H14"/>
    </sheetView>
  </sheetViews>
  <sheetFormatPr defaultColWidth="8.75" defaultRowHeight="16.5"/>
  <cols>
    <col min="1" max="1" width="2.625" style="13" customWidth="1"/>
    <col min="2" max="2" width="13.375" style="13" customWidth="1"/>
    <col min="3" max="3" width="9.75" style="13" customWidth="1"/>
    <col min="4" max="15" width="12.25" style="13" customWidth="1"/>
    <col min="16" max="16" width="14" style="13" customWidth="1"/>
    <col min="17" max="16384" width="8.75" style="13"/>
  </cols>
  <sheetData>
    <row r="1" spans="2:16" ht="7.5" customHeight="1"/>
    <row r="2" spans="2:16">
      <c r="B2" s="30" t="s">
        <v>506</v>
      </c>
      <c r="C2" s="1189" t="str">
        <f>IF(基本情報!C2="","",基本情報!C2)</f>
        <v/>
      </c>
      <c r="D2" s="1189"/>
      <c r="E2" s="1189"/>
    </row>
    <row r="3" spans="2:16" ht="9" customHeight="1">
      <c r="B3" s="375"/>
      <c r="C3" s="375"/>
      <c r="D3" s="375"/>
      <c r="E3" s="375"/>
    </row>
    <row r="4" spans="2:16">
      <c r="B4" s="13" t="s">
        <v>516</v>
      </c>
    </row>
    <row r="5" spans="2:16">
      <c r="B5" s="1506"/>
      <c r="C5" s="1506"/>
      <c r="D5" s="612" t="s">
        <v>47</v>
      </c>
      <c r="E5" s="612" t="s">
        <v>25</v>
      </c>
      <c r="F5" s="612" t="s">
        <v>26</v>
      </c>
      <c r="G5" s="612" t="s">
        <v>27</v>
      </c>
      <c r="H5" s="612" t="s">
        <v>28</v>
      </c>
      <c r="I5" s="612" t="s">
        <v>29</v>
      </c>
      <c r="J5" s="612" t="s">
        <v>48</v>
      </c>
      <c r="K5" s="612" t="s">
        <v>49</v>
      </c>
      <c r="L5" s="612" t="s">
        <v>50</v>
      </c>
      <c r="M5" s="612" t="s">
        <v>33</v>
      </c>
      <c r="N5" s="612" t="s">
        <v>34</v>
      </c>
      <c r="O5" s="612" t="s">
        <v>35</v>
      </c>
      <c r="P5" s="613" t="s">
        <v>51</v>
      </c>
    </row>
    <row r="6" spans="2:16">
      <c r="B6" s="1509" t="s">
        <v>510</v>
      </c>
      <c r="C6" s="1509"/>
      <c r="D6" s="36">
        <f>D8-D9</f>
        <v>0</v>
      </c>
      <c r="E6" s="36">
        <f t="shared" ref="E6:O6" si="0">E8-E9</f>
        <v>0</v>
      </c>
      <c r="F6" s="36">
        <f t="shared" si="0"/>
        <v>0</v>
      </c>
      <c r="G6" s="36">
        <f t="shared" si="0"/>
        <v>0</v>
      </c>
      <c r="H6" s="36">
        <f t="shared" si="0"/>
        <v>0</v>
      </c>
      <c r="I6" s="36">
        <f t="shared" si="0"/>
        <v>0</v>
      </c>
      <c r="J6" s="36">
        <f t="shared" si="0"/>
        <v>0</v>
      </c>
      <c r="K6" s="36">
        <f t="shared" si="0"/>
        <v>0</v>
      </c>
      <c r="L6" s="36">
        <f t="shared" si="0"/>
        <v>0</v>
      </c>
      <c r="M6" s="36">
        <f t="shared" si="0"/>
        <v>0</v>
      </c>
      <c r="N6" s="36">
        <f t="shared" si="0"/>
        <v>0</v>
      </c>
      <c r="O6" s="36">
        <f t="shared" si="0"/>
        <v>0</v>
      </c>
      <c r="P6" s="36">
        <f>SUM(D6:O6)</f>
        <v>0</v>
      </c>
    </row>
    <row r="7" spans="2:16">
      <c r="B7" s="1509" t="s">
        <v>509</v>
      </c>
      <c r="C7" s="1509"/>
      <c r="D7" s="36">
        <f>IFERROR(処遇Ⅰ計算用!H85,0)</f>
        <v>0</v>
      </c>
      <c r="E7" s="36">
        <f>IFERROR(処遇Ⅰ計算用!I85,0)</f>
        <v>0</v>
      </c>
      <c r="F7" s="36">
        <f>IFERROR(処遇Ⅰ計算用!J85,0)</f>
        <v>0</v>
      </c>
      <c r="G7" s="36">
        <f>IFERROR(処遇Ⅰ計算用!K85,0)</f>
        <v>0</v>
      </c>
      <c r="H7" s="36">
        <f>IFERROR(処遇Ⅰ計算用!L85,0)</f>
        <v>0</v>
      </c>
      <c r="I7" s="36">
        <f>IFERROR(処遇Ⅰ計算用!M85,0)</f>
        <v>0</v>
      </c>
      <c r="J7" s="36">
        <f>IFERROR(処遇Ⅰ計算用!N85,0)</f>
        <v>0</v>
      </c>
      <c r="K7" s="36">
        <f>IFERROR(処遇Ⅰ計算用!O85,0)</f>
        <v>0</v>
      </c>
      <c r="L7" s="36">
        <f>IFERROR(処遇Ⅰ計算用!P85,0)</f>
        <v>0</v>
      </c>
      <c r="M7" s="36">
        <f>IFERROR(処遇Ⅰ計算用!Q85,0)</f>
        <v>0</v>
      </c>
      <c r="N7" s="36">
        <f>IFERROR(処遇Ⅰ計算用!R85,0)</f>
        <v>0</v>
      </c>
      <c r="O7" s="36">
        <f>IFERROR(処遇Ⅰ計算用!S85,0)</f>
        <v>0</v>
      </c>
      <c r="P7" s="36">
        <f>SUM(D7:O7)</f>
        <v>0</v>
      </c>
    </row>
    <row r="8" spans="2:16">
      <c r="B8" s="1509" t="s">
        <v>508</v>
      </c>
      <c r="C8" s="1509"/>
      <c r="D8" s="36">
        <f>IFERROR('4月'!$Y$20+'4月'!$Y$46+'4月'!$U$78+'4月'!$U$101+'4月'!$AD$78+'4月'!$AD$101,0)</f>
        <v>0</v>
      </c>
      <c r="E8" s="36">
        <f>IFERROR('5月'!$Y$20+'5月'!$Y$46+'5月'!$U$78+'5月'!$U$101+'5月'!$AD$78+'5月'!$AD$101,0)</f>
        <v>0</v>
      </c>
      <c r="F8" s="36">
        <f>IFERROR('6月'!$Y$20+'6月'!$Y$46+'6月'!$U$78+'6月'!$U$101+'6月'!$AD$78+'6月'!$AD$101,0)</f>
        <v>0</v>
      </c>
      <c r="G8" s="36">
        <f>IFERROR('7月'!$Y$20+'7月'!$Y$46+'7月'!$U$78+'7月'!$U$101+'7月'!$AD$78+'7月'!$AD$101,0)</f>
        <v>0</v>
      </c>
      <c r="H8" s="36">
        <f>IFERROR('8月'!$Y$20+'8月'!$Y$46+'8月'!$U$78+'8月'!$U$101+'8月'!$AD$78+'8月'!$AD$101,0)</f>
        <v>0</v>
      </c>
      <c r="I8" s="36">
        <f>IFERROR('9月'!$Y$20+'9月'!$Y$46+'9月'!$U$78+'9月'!$U$101+'9月'!$AD$78+'9月'!$AD$101,0)</f>
        <v>0</v>
      </c>
      <c r="J8" s="36">
        <f>IFERROR('10月'!$Y$20+'10月'!$Y$46+'10月'!$U$78+'10月'!$U$101+'10月'!$AD$78+'10月'!$AD$101,0)</f>
        <v>0</v>
      </c>
      <c r="K8" s="36">
        <f>IFERROR('11月'!$Y$20+'11月'!$Y$46+'11月'!$U$78+'11月'!$U$101+'11月'!$AD$78+'11月'!$AD$101,0)</f>
        <v>0</v>
      </c>
      <c r="L8" s="36">
        <f>IFERROR('12月'!$Y$20+'12月'!$Y$46+'12月'!$U$78+'12月'!$U$101+'12月'!$AD$78+'12月'!$AD$101,0)</f>
        <v>0</v>
      </c>
      <c r="M8" s="36">
        <f>IFERROR('1月'!$Y$20+'1月'!$Y$46+'1月'!$U$78+'1月'!$U$101+'1月'!$AD$78+'1月'!$AD$101,0)</f>
        <v>0</v>
      </c>
      <c r="N8" s="36">
        <f>IFERROR('2月'!$Y$20+'2月'!$Y$46+'2月'!$U$78+'2月'!$U$101+'2月'!$AD$78+'2月'!$AD$101,0)</f>
        <v>0</v>
      </c>
      <c r="O8" s="39">
        <f>IFERROR('3月'!Y20+'3月'!Y52+'3月'!U84+'3月'!U107+'3月'!AD84+'3月'!AD107,0)</f>
        <v>0</v>
      </c>
      <c r="P8" s="36">
        <f t="shared" ref="P8:P9" si="1">SUM(D8:O8)</f>
        <v>0</v>
      </c>
    </row>
    <row r="9" spans="2:16">
      <c r="B9" s="1509" t="s">
        <v>511</v>
      </c>
      <c r="C9" s="1509"/>
      <c r="D9" s="36">
        <f>'4月'!R28+'4月'!R54</f>
        <v>0</v>
      </c>
      <c r="E9" s="36">
        <f>'5月'!R28+'5月'!R54</f>
        <v>0</v>
      </c>
      <c r="F9" s="36">
        <f>'6月'!R28+'6月'!R54</f>
        <v>0</v>
      </c>
      <c r="G9" s="36">
        <f>'7月'!R28+'7月'!R54</f>
        <v>0</v>
      </c>
      <c r="H9" s="36">
        <f>'8月'!R28+'8月'!R54</f>
        <v>0</v>
      </c>
      <c r="I9" s="36">
        <f>'9月'!R28+'9月'!R54</f>
        <v>0</v>
      </c>
      <c r="J9" s="36">
        <f>'10月'!R28+'10月'!R54</f>
        <v>0</v>
      </c>
      <c r="K9" s="36">
        <f>'11月'!R28+'11月'!R54</f>
        <v>0</v>
      </c>
      <c r="L9" s="36">
        <f>'12月'!R28+'12月'!R54</f>
        <v>0</v>
      </c>
      <c r="M9" s="36">
        <f>'1月'!R28+'1月'!R54</f>
        <v>0</v>
      </c>
      <c r="N9" s="36">
        <f>'2月'!R28+'2月'!R54</f>
        <v>0</v>
      </c>
      <c r="O9" s="36">
        <f>'3月'!R28+'3月'!R60</f>
        <v>0</v>
      </c>
      <c r="P9" s="36">
        <f t="shared" si="1"/>
        <v>0</v>
      </c>
    </row>
    <row r="10" spans="2:16">
      <c r="B10" s="1509" t="s">
        <v>45</v>
      </c>
      <c r="C10" s="1509"/>
      <c r="D10" s="36">
        <f>D8+D9</f>
        <v>0</v>
      </c>
      <c r="E10" s="36">
        <f t="shared" ref="E10:O10" si="2">E8+E9</f>
        <v>0</v>
      </c>
      <c r="F10" s="36">
        <f t="shared" si="2"/>
        <v>0</v>
      </c>
      <c r="G10" s="36">
        <f t="shared" si="2"/>
        <v>0</v>
      </c>
      <c r="H10" s="36">
        <f t="shared" si="2"/>
        <v>0</v>
      </c>
      <c r="I10" s="36">
        <f>I8+I9</f>
        <v>0</v>
      </c>
      <c r="J10" s="36">
        <f t="shared" si="2"/>
        <v>0</v>
      </c>
      <c r="K10" s="36">
        <f t="shared" si="2"/>
        <v>0</v>
      </c>
      <c r="L10" s="36">
        <f t="shared" si="2"/>
        <v>0</v>
      </c>
      <c r="M10" s="36">
        <f t="shared" si="2"/>
        <v>0</v>
      </c>
      <c r="N10" s="36">
        <f t="shared" si="2"/>
        <v>0</v>
      </c>
      <c r="O10" s="36">
        <f t="shared" si="2"/>
        <v>0</v>
      </c>
      <c r="P10" s="36">
        <f>SUM(D10:O10)</f>
        <v>0</v>
      </c>
    </row>
    <row r="11" spans="2:16" ht="9" customHeight="1" thickBot="1"/>
    <row r="12" spans="2:16">
      <c r="B12" s="614" t="s">
        <v>46</v>
      </c>
      <c r="C12" s="615">
        <f>基本情報!G7</f>
        <v>0</v>
      </c>
      <c r="D12" s="616">
        <f>P7</f>
        <v>0</v>
      </c>
    </row>
    <row r="13" spans="2:16">
      <c r="B13" s="617" t="s">
        <v>494</v>
      </c>
      <c r="C13" s="618">
        <f>基本情報!C7</f>
        <v>0</v>
      </c>
      <c r="D13" s="619">
        <f>IFERROR(ROUNDDOWN(D12*C13/C12,-1),0)</f>
        <v>0</v>
      </c>
    </row>
    <row r="14" spans="2:16">
      <c r="B14" s="617" t="s">
        <v>495</v>
      </c>
      <c r="C14" s="618">
        <f>基本情報!E7</f>
        <v>0</v>
      </c>
      <c r="D14" s="619">
        <f>D12-D13</f>
        <v>0</v>
      </c>
      <c r="F14" s="620"/>
    </row>
    <row r="15" spans="2:16" ht="17.25" thickBot="1">
      <c r="B15" s="621" t="s">
        <v>53</v>
      </c>
      <c r="C15" s="384"/>
      <c r="D15" s="622">
        <f>IFERROR(ROUNDDOWN(P7/C12*C15,-3),0)</f>
        <v>0</v>
      </c>
    </row>
    <row r="16" spans="2:16" ht="17.25" thickBot="1">
      <c r="B16" s="1507" t="s">
        <v>52</v>
      </c>
      <c r="C16" s="1508"/>
      <c r="D16" s="623">
        <f>処遇Ⅰ計算用!T95</f>
        <v>0</v>
      </c>
    </row>
    <row r="17" spans="2:16" ht="9" customHeight="1">
      <c r="B17" s="624"/>
      <c r="C17" s="624"/>
      <c r="D17" s="376"/>
    </row>
    <row r="18" spans="2:16">
      <c r="B18" s="13" t="s">
        <v>517</v>
      </c>
    </row>
    <row r="19" spans="2:16">
      <c r="B19" s="1501"/>
      <c r="C19" s="1501"/>
      <c r="D19" s="625" t="s">
        <v>24</v>
      </c>
      <c r="E19" s="625" t="s">
        <v>25</v>
      </c>
      <c r="F19" s="625" t="s">
        <v>26</v>
      </c>
      <c r="G19" s="625" t="s">
        <v>27</v>
      </c>
      <c r="H19" s="625" t="s">
        <v>28</v>
      </c>
      <c r="I19" s="625" t="s">
        <v>29</v>
      </c>
      <c r="J19" s="625" t="s">
        <v>48</v>
      </c>
      <c r="K19" s="625" t="s">
        <v>49</v>
      </c>
      <c r="L19" s="625" t="s">
        <v>50</v>
      </c>
      <c r="M19" s="625" t="s">
        <v>33</v>
      </c>
      <c r="N19" s="625" t="s">
        <v>34</v>
      </c>
      <c r="O19" s="625" t="s">
        <v>35</v>
      </c>
      <c r="P19" s="626" t="s">
        <v>51</v>
      </c>
    </row>
    <row r="20" spans="2:16">
      <c r="B20" s="1502" t="str">
        <f>IF(基本情報!E17="","",基本情報!E17)</f>
        <v/>
      </c>
      <c r="C20" s="1502"/>
      <c r="D20" s="36">
        <f>IFERROR('4月'!$Y49+SUMIF('4月'!$O$58:$O$77,集計!$B20,'4月'!$U$58:$U$77)+SUMIF('4月'!$X$58:$X$77,集計!$B20,'4月'!$AD$58:$AD$77)+SUMIF('4月'!$O$81:$O$100,集計!$B20,'4月'!$U$81:$U$100)+SUMIF('4月'!$X$81:$X$100,集計!$B20,'4月'!$AD$81:$AD$100),0)</f>
        <v>0</v>
      </c>
      <c r="E20" s="36">
        <f>IFERROR('5月'!$Y49+SUMIF('5月'!$O$58:$O$77,集計!$B20,'5月'!$U$58:$U$77)+SUMIF('5月'!$X$58:$X$77,集計!$B20,'5月'!$AD$58:$AD$77)+SUMIF('5月'!$O$81:$O$100,集計!$B20,'5月'!$U$81:$U$100)+SUMIF('5月'!$X$81:$X$100,集計!$B20,'5月'!$AD$81:$AD$100),0)</f>
        <v>0</v>
      </c>
      <c r="F20" s="36">
        <f>IFERROR('6月'!$Y49+SUMIF('6月'!$O$58:$O$77,集計!$B20,'6月'!$U$58:$U$77)+SUMIF('6月'!$X$58:$X$77,集計!$B20,'6月'!$AD$58:$AD$77)+SUMIF('6月'!$O$81:$O$100,集計!$B20,'6月'!$U$81:$U$100)+SUMIF('6月'!$X$81:$X$100,集計!$B20,'6月'!$AD$81:$AD$100),0)</f>
        <v>0</v>
      </c>
      <c r="G20" s="36">
        <f>IFERROR('7月'!$Y49+SUMIF('7月'!$O$58:$O$77,集計!$B20,'7月'!$U$58:$U$77)+SUMIF('7月'!$X$58:$X$77,集計!$B20,'7月'!$AD$58:$AD$77)+SUMIF('7月'!$O$81:$O$100,集計!$B20,'7月'!$U$81:$U$100)+SUMIF('7月'!$X$81:$X$100,集計!$B20,'7月'!$AD$81:$AD$100),0)</f>
        <v>0</v>
      </c>
      <c r="H20" s="36">
        <f>IFERROR('8月'!$Y49+SUMIF('8月'!$O$58:$O$77,集計!$B20,'8月'!$U$58:$U$77)+SUMIF('8月'!$X$58:$X$77,集計!$B20,'8月'!$AD$58:$AD$77)+SUMIF('8月'!$O$81:$O$100,集計!$B20,'8月'!$U$81:$U$100)+SUMIF('8月'!$X$81:$X$100,集計!$B20,'8月'!$AD$81:$AD$100),0)</f>
        <v>0</v>
      </c>
      <c r="I20" s="36">
        <f>IFERROR('9月'!$Y49+SUMIF('9月'!$O$58:$O$77,集計!$B20,'9月'!$U$58:$U$77)+SUMIF('9月'!$X$58:$X$77,集計!$B20,'9月'!$AD$58:$AD$77)+SUMIF('9月'!$O$81:$O$100,集計!$B20,'9月'!$U$81:$U$100)+SUMIF('9月'!$X$81:$X$100,集計!$B20,'9月'!$AD$81:$AD$100),0)</f>
        <v>0</v>
      </c>
      <c r="J20" s="36">
        <f>IFERROR('10月'!$Y49+SUMIF('10月'!$O$58:$O$77,集計!$B20,'10月'!$U$58:$U$77)+SUMIF('10月'!$X$58:$X$77,集計!$B20,'10月'!$AD$58:$AD$77)+SUMIF('10月'!$O$81:$O$100,集計!$B20,'10月'!$U$81:$U$100)+SUMIF('10月'!$X$81:$X$100,集計!$B20,'10月'!$AD$81:$AD$100),0)</f>
        <v>0</v>
      </c>
      <c r="K20" s="36">
        <f>IFERROR('11月'!$Y49+SUMIF('11月'!$O$58:$O$77,集計!$B20,'11月'!$U$58:$U$77)+SUMIF('11月'!$X$58:$X$77,集計!$B20,'11月'!$AD$58:$AD$77)+SUMIF('11月'!$O$81:$O$100,集計!$B20,'11月'!$U$81:$U$100)+SUMIF('11月'!$X$81:$X$100,集計!$B20,'11月'!$AD$81:$AD$100),0)</f>
        <v>0</v>
      </c>
      <c r="L20" s="36">
        <f>IFERROR('12月'!$Y49+SUMIF('12月'!$O$58:$O$77,集計!$B20,'12月'!$U$58:$U$77)+SUMIF('12月'!$X$58:$X$77,集計!$B20,'12月'!$AD$58:$AD$77)+SUMIF('12月'!$O$81:$O$100,集計!$B20,'12月'!$U$81:$U$100)+SUMIF('12月'!$X$81:$X$100,集計!$B20,'12月'!$AD$81:$AD$100),0)</f>
        <v>0</v>
      </c>
      <c r="M20" s="36">
        <f>IFERROR('1月'!$Y49+SUMIF('1月'!$O$58:$O$77,集計!$B20,'1月'!$U$58:$U$77)+SUMIF('1月'!$X$58:$X$77,集計!$B20,'1月'!$AD$58:$AD$77)+SUMIF('1月'!$O$81:$O$100,集計!$B20,'1月'!$U$81:$U$100)+SUMIF('1月'!$X$81:$X$100,集計!$B20,'1月'!$AD$81:$AD$100),0)</f>
        <v>0</v>
      </c>
      <c r="N20" s="36">
        <f>IFERROR('2月'!$Y49+SUMIF('2月'!$O$58:$O$77,集計!$B20,'2月'!$U$58:$U$77)+SUMIF('2月'!$X$58:$X$77,集計!$B20,'2月'!$AD$58:$AD$77)+SUMIF('2月'!$O$81:$O$100,集計!$B20,'2月'!$U$81:$U$100)+SUMIF('2月'!$X$81:$X$100,集計!$B20,'2月'!$AD$81:$AD$100),0)</f>
        <v>0</v>
      </c>
      <c r="O20" s="36">
        <f>IFERROR('3月'!$Y55+SUMIF('3月'!$O$64:$O$83,集計!$B20,'3月'!$U$64:$U$83)+SUMIF('3月'!$X$64:$X$83,集計!$B20,'3月'!$AD$64:$AD$83)+SUMIF('3月'!$O$87:$O$106,集計!$B20,'3月'!$U$87:$U$106)+SUMIF('3月'!$X$87:$X$106,集計!$B20,'3月'!$AD$87:$AD$106),0)</f>
        <v>0</v>
      </c>
      <c r="P20" s="36">
        <f>SUM(D20:O20)</f>
        <v>0</v>
      </c>
    </row>
    <row r="21" spans="2:16" ht="16.5" customHeight="1">
      <c r="B21" s="1503" t="str">
        <f>IF(基本情報!E18="","",基本情報!E18)</f>
        <v/>
      </c>
      <c r="C21" s="1503"/>
      <c r="D21" s="36">
        <f>IFERROR('4月'!$Y50+SUMIF('4月'!$O$58:$O$77,集計!$B21,'4月'!$U$58:$U$77)+SUMIF('4月'!$X$58:$X$77,集計!$B21,'4月'!$AD$58:$AD$77)+SUMIF('4月'!$O$81:$O$100,集計!$B21,'4月'!$U$81:$U$100)+SUMIF('4月'!$X$81:$X$100,集計!$B21,'4月'!$AD$81:$AD$100),0)</f>
        <v>0</v>
      </c>
      <c r="E21" s="36">
        <f>IFERROR('5月'!$Y50+SUMIF('5月'!$O$58:$O$77,集計!$B21,'5月'!$U$58:$U$77)+SUMIF('5月'!$X$58:$X$77,集計!$B21,'5月'!$AD$58:$AD$77)+SUMIF('5月'!$O$81:$O$100,集計!$B21,'5月'!$U$81:$U$100)+SUMIF('5月'!$X$81:$X$100,集計!$B21,'5月'!$AD$81:$AD$100),0)</f>
        <v>0</v>
      </c>
      <c r="F21" s="36">
        <f>IFERROR('6月'!$Y50+SUMIF('6月'!$O$58:$O$77,集計!$B21,'6月'!$U$58:$U$77)+SUMIF('6月'!$X$58:$X$77,集計!$B21,'6月'!$AD$58:$AD$77)+SUMIF('6月'!$O$81:$O$100,集計!$B21,'6月'!$U$81:$U$100)+SUMIF('6月'!$X$81:$X$100,集計!$B21,'6月'!$AD$81:$AD$100),0)</f>
        <v>0</v>
      </c>
      <c r="G21" s="36">
        <f>IFERROR('7月'!$Y50+SUMIF('7月'!$O$58:$O$77,集計!$B21,'7月'!$U$58:$U$77)+SUMIF('7月'!$X$58:$X$77,集計!$B21,'7月'!$AD$58:$AD$77)+SUMIF('7月'!$O$81:$O$100,集計!$B21,'7月'!$U$81:$U$100)+SUMIF('7月'!$X$81:$X$100,集計!$B21,'7月'!$AD$81:$AD$100),0)</f>
        <v>0</v>
      </c>
      <c r="H21" s="36">
        <f>IFERROR('8月'!$Y50+SUMIF('8月'!$O$58:$O$77,集計!$B21,'8月'!$U$58:$U$77)+SUMIF('8月'!$X$58:$X$77,集計!$B21,'8月'!$AD$58:$AD$77)+SUMIF('8月'!$O$81:$O$100,集計!$B21,'8月'!$U$81:$U$100)+SUMIF('8月'!$X$81:$X$100,集計!$B21,'8月'!$AD$81:$AD$100),0)</f>
        <v>0</v>
      </c>
      <c r="I21" s="36">
        <f>IFERROR('9月'!$Y50+SUMIF('9月'!$O$58:$O$77,集計!$B21,'9月'!$U$58:$U$77)+SUMIF('9月'!$X$58:$X$77,集計!$B21,'9月'!$AD$58:$AD$77)+SUMIF('9月'!$O$81:$O$100,集計!$B21,'9月'!$U$81:$U$100)+SUMIF('9月'!$X$81:$X$100,集計!$B21,'9月'!$AD$81:$AD$100),0)</f>
        <v>0</v>
      </c>
      <c r="J21" s="36">
        <f>IFERROR('10月'!$Y50+SUMIF('10月'!$O$58:$O$77,集計!$B21,'10月'!$U$58:$U$77)+SUMIF('10月'!$X$58:$X$77,集計!$B21,'10月'!$AD$58:$AD$77)+SUMIF('10月'!$O$81:$O$100,集計!$B21,'10月'!$U$81:$U$100)+SUMIF('10月'!$X$81:$X$100,集計!$B21,'10月'!$AD$81:$AD$100),0)</f>
        <v>0</v>
      </c>
      <c r="K21" s="36">
        <f>IFERROR('11月'!$Y50+SUMIF('11月'!$O$58:$O$77,集計!$B21,'11月'!$U$58:$U$77)+SUMIF('11月'!$X$58:$X$77,集計!$B21,'11月'!$AD$58:$AD$77)+SUMIF('11月'!$O$81:$O$100,集計!$B21,'11月'!$U$81:$U$100)+SUMIF('11月'!$X$81:$X$100,集計!$B21,'11月'!$AD$81:$AD$100),0)</f>
        <v>0</v>
      </c>
      <c r="L21" s="36">
        <f>IFERROR('12月'!$Y50+SUMIF('12月'!$O$58:$O$77,集計!$B21,'12月'!$U$58:$U$77)+SUMIF('12月'!$X$58:$X$77,集計!$B21,'12月'!$AD$58:$AD$77)+SUMIF('12月'!$O$81:$O$100,集計!$B21,'12月'!$U$81:$U$100)+SUMIF('12月'!$X$81:$X$100,集計!$B21,'12月'!$AD$81:$AD$100),0)</f>
        <v>0</v>
      </c>
      <c r="M21" s="36">
        <f>IFERROR('1月'!$Y50+SUMIF('1月'!$O$58:$O$77,集計!$B21,'1月'!$U$58:$U$77)+SUMIF('1月'!$X$58:$X$77,集計!$B21,'1月'!$AD$58:$AD$77)+SUMIF('1月'!$O$81:$O$100,集計!$B21,'1月'!$U$81:$U$100)+SUMIF('1月'!$X$81:$X$100,集計!$B21,'1月'!$AD$81:$AD$100),0)</f>
        <v>0</v>
      </c>
      <c r="N21" s="36">
        <f>IFERROR('2月'!$Y50+SUMIF('2月'!$O$58:$O$77,集計!$B21,'2月'!$U$58:$U$77)+SUMIF('2月'!$X$58:$X$77,集計!$B21,'2月'!$AD$58:$AD$77)+SUMIF('2月'!$O$81:$O$100,集計!$B21,'2月'!$U$81:$U$100)+SUMIF('2月'!$X$81:$X$100,集計!$B21,'2月'!$AD$81:$AD$100),0)</f>
        <v>0</v>
      </c>
      <c r="O21" s="36">
        <f>IFERROR('3月'!$Y56+SUMIF('3月'!$O$64:$O$83,集計!$B21,'3月'!$U$64:$U$83)+SUMIF('3月'!$X$64:$X$83,集計!$B21,'3月'!$AD$64:$AD$83)+SUMIF('3月'!$O$87:$O$106,集計!$B21,'3月'!$U$87:$U$106)+SUMIF('3月'!$X$87:$X$106,集計!$B21,'3月'!$AD$87:$AD$106),0)</f>
        <v>0</v>
      </c>
      <c r="P21" s="36">
        <f t="shared" ref="P21:P24" si="3">SUM(D21:O21)</f>
        <v>0</v>
      </c>
    </row>
    <row r="22" spans="2:16">
      <c r="B22" s="1504" t="str">
        <f>IF(基本情報!E19="","",基本情報!E19)</f>
        <v/>
      </c>
      <c r="C22" s="1504"/>
      <c r="D22" s="36">
        <f>IFERROR('4月'!$Y51+SUMIF('4月'!$O$58:$O$77,集計!$B22,'4月'!$U$58:$U$77)+SUMIF('4月'!$X$58:$X$77,集計!$B22,'4月'!$AD$58:$AD$77)+SUMIF('4月'!$O$81:$O$100,集計!$B22,'4月'!$U$81:$U$100)+SUMIF('4月'!$X$81:$X$100,集計!$B22,'4月'!$AD$81:$AD$100),0)</f>
        <v>0</v>
      </c>
      <c r="E22" s="36">
        <f>IFERROR('5月'!$Y51+SUMIF('5月'!$O$58:$O$77,集計!$B22,'5月'!$U$58:$U$77)+SUMIF('5月'!$X$58:$X$77,集計!$B22,'5月'!$AD$58:$AD$77)+SUMIF('5月'!$O$81:$O$100,集計!$B22,'5月'!$U$81:$U$100)+SUMIF('5月'!$X$81:$X$100,集計!$B22,'5月'!$AD$81:$AD$100),0)</f>
        <v>0</v>
      </c>
      <c r="F22" s="36">
        <f>IFERROR('6月'!$Y51+SUMIF('6月'!$O$58:$O$77,集計!$B22,'6月'!$U$58:$U$77)+SUMIF('6月'!$X$58:$X$77,集計!$B22,'6月'!$AD$58:$AD$77)+SUMIF('6月'!$O$81:$O$100,集計!$B22,'6月'!$U$81:$U$100)+SUMIF('6月'!$X$81:$X$100,集計!$B22,'6月'!$AD$81:$AD$100),0)</f>
        <v>0</v>
      </c>
      <c r="G22" s="36">
        <f>IFERROR('7月'!$Y51+SUMIF('7月'!$O$58:$O$77,集計!$B22,'7月'!$U$58:$U$77)+SUMIF('7月'!$X$58:$X$77,集計!$B22,'7月'!$AD$58:$AD$77)+SUMIF('7月'!$O$81:$O$100,集計!$B22,'7月'!$U$81:$U$100)+SUMIF('7月'!$X$81:$X$100,集計!$B22,'7月'!$AD$81:$AD$100),0)</f>
        <v>0</v>
      </c>
      <c r="H22" s="36">
        <f>IFERROR('8月'!$Y51+SUMIF('8月'!$O$58:$O$77,集計!$B22,'8月'!$U$58:$U$77)+SUMIF('8月'!$X$58:$X$77,集計!$B22,'8月'!$AD$58:$AD$77)+SUMIF('8月'!$O$81:$O$100,集計!$B22,'8月'!$U$81:$U$100)+SUMIF('8月'!$X$81:$X$100,集計!$B22,'8月'!$AD$81:$AD$100),0)</f>
        <v>0</v>
      </c>
      <c r="I22" s="36">
        <f>IFERROR('9月'!$Y51+SUMIF('9月'!$O$58:$O$77,集計!$B22,'9月'!$U$58:$U$77)+SUMIF('9月'!$X$58:$X$77,集計!$B22,'9月'!$AD$58:$AD$77)+SUMIF('9月'!$O$81:$O$100,集計!$B22,'9月'!$U$81:$U$100)+SUMIF('9月'!$X$81:$X$100,集計!$B22,'9月'!$AD$81:$AD$100),0)</f>
        <v>0</v>
      </c>
      <c r="J22" s="36">
        <f>IFERROR('10月'!$Y51+SUMIF('10月'!$O$58:$O$77,集計!$B22,'10月'!$U$58:$U$77)+SUMIF('10月'!$X$58:$X$77,集計!$B22,'10月'!$AD$58:$AD$77)+SUMIF('10月'!$O$81:$O$100,集計!$B22,'10月'!$U$81:$U$100)+SUMIF('10月'!$X$81:$X$100,集計!$B22,'10月'!$AD$81:$AD$100),0)</f>
        <v>0</v>
      </c>
      <c r="K22" s="36">
        <f>IFERROR('11月'!$Y51+SUMIF('11月'!$O$58:$O$77,集計!$B22,'11月'!$U$58:$U$77)+SUMIF('11月'!$X$58:$X$77,集計!$B22,'11月'!$AD$58:$AD$77)+SUMIF('11月'!$O$81:$O$100,集計!$B22,'11月'!$U$81:$U$100)+SUMIF('11月'!$X$81:$X$100,集計!$B22,'11月'!$AD$81:$AD$100),0)</f>
        <v>0</v>
      </c>
      <c r="L22" s="36">
        <f>IFERROR('12月'!$Y51+SUMIF('12月'!$O$58:$O$77,集計!$B22,'12月'!$U$58:$U$77)+SUMIF('12月'!$X$58:$X$77,集計!$B22,'12月'!$AD$58:$AD$77)+SUMIF('12月'!$O$81:$O$100,集計!$B22,'12月'!$U$81:$U$100)+SUMIF('12月'!$X$81:$X$100,集計!$B22,'12月'!$AD$81:$AD$100),0)</f>
        <v>0</v>
      </c>
      <c r="M22" s="36">
        <f>IFERROR('1月'!$Y51+SUMIF('1月'!$O$58:$O$77,集計!$B22,'1月'!$U$58:$U$77)+SUMIF('1月'!$X$58:$X$77,集計!$B22,'1月'!$AD$58:$AD$77)+SUMIF('1月'!$O$81:$O$100,集計!$B22,'1月'!$U$81:$U$100)+SUMIF('1月'!$X$81:$X$100,集計!$B22,'1月'!$AD$81:$AD$100),0)</f>
        <v>0</v>
      </c>
      <c r="N22" s="36">
        <f>IFERROR('2月'!$Y51+SUMIF('2月'!$O$58:$O$77,集計!$B22,'2月'!$U$58:$U$77)+SUMIF('2月'!$X$58:$X$77,集計!$B22,'2月'!$AD$58:$AD$77)+SUMIF('2月'!$O$81:$O$100,集計!$B22,'2月'!$U$81:$U$100)+SUMIF('2月'!$X$81:$X$100,集計!$B22,'2月'!$AD$81:$AD$100),0)</f>
        <v>0</v>
      </c>
      <c r="O22" s="36">
        <f>IFERROR('3月'!$Y57+SUMIF('3月'!$O$64:$O$83,集計!$B22,'3月'!$U$64:$U$83)+SUMIF('3月'!$X$64:$X$83,集計!$B22,'3月'!$AD$64:$AD$83)+SUMIF('3月'!$O$87:$O$106,集計!$B22,'3月'!$U$87:$U$106)+SUMIF('3月'!$X$87:$X$106,集計!$B22,'3月'!$AD$87:$AD$106),0)</f>
        <v>0</v>
      </c>
      <c r="P22" s="36">
        <f t="shared" si="3"/>
        <v>0</v>
      </c>
    </row>
    <row r="23" spans="2:16">
      <c r="B23" s="1505" t="str">
        <f>IF(基本情報!E20="","",基本情報!E20)</f>
        <v/>
      </c>
      <c r="C23" s="1505"/>
      <c r="D23" s="36">
        <f>IFERROR('4月'!$Y52+SUMIF('4月'!$O$58:$O$77,集計!$B23,'4月'!$U$58:$U$77)+SUMIF('4月'!$X$58:$X$77,集計!$B23,'4月'!$AD$58:$AD$77)+SUMIF('4月'!$O$81:$O$100,集計!$B23,'4月'!$U$81:$U$100)+SUMIF('4月'!$X$81:$X$100,集計!$B23,'4月'!$AD$81:$AD$100),0)</f>
        <v>0</v>
      </c>
      <c r="E23" s="36">
        <f>IFERROR('5月'!$Y52+SUMIF('5月'!$O$58:$O$77,集計!$B23,'5月'!$U$58:$U$77)+SUMIF('5月'!$X$58:$X$77,集計!$B23,'5月'!$AD$58:$AD$77)+SUMIF('5月'!$O$81:$O$100,集計!$B23,'5月'!$U$81:$U$100)+SUMIF('5月'!$X$81:$X$100,集計!$B23,'5月'!$AD$81:$AD$100),0)</f>
        <v>0</v>
      </c>
      <c r="F23" s="36">
        <f>IFERROR('6月'!$Y52+SUMIF('6月'!$O$58:$O$77,集計!$B23,'6月'!$U$58:$U$77)+SUMIF('6月'!$X$58:$X$77,集計!$B23,'6月'!$AD$58:$AD$77)+SUMIF('6月'!$O$81:$O$100,集計!$B23,'6月'!$U$81:$U$100)+SUMIF('6月'!$X$81:$X$100,集計!$B23,'6月'!$AD$81:$AD$100),0)</f>
        <v>0</v>
      </c>
      <c r="G23" s="36">
        <f>IFERROR('7月'!$Y52+SUMIF('7月'!$O$58:$O$77,集計!$B23,'7月'!$U$58:$U$77)+SUMIF('7月'!$X$58:$X$77,集計!$B23,'7月'!$AD$58:$AD$77)+SUMIF('7月'!$O$81:$O$100,集計!$B23,'7月'!$U$81:$U$100)+SUMIF('7月'!$X$81:$X$100,集計!$B23,'7月'!$AD$81:$AD$100),0)</f>
        <v>0</v>
      </c>
      <c r="H23" s="36">
        <f>IFERROR('8月'!$Y52+SUMIF('8月'!$O$58:$O$77,集計!$B23,'8月'!$U$58:$U$77)+SUMIF('8月'!$X$58:$X$77,集計!$B23,'8月'!$AD$58:$AD$77)+SUMIF('8月'!$O$81:$O$100,集計!$B23,'8月'!$U$81:$U$100)+SUMIF('8月'!$X$81:$X$100,集計!$B23,'8月'!$AD$81:$AD$100),0)</f>
        <v>0</v>
      </c>
      <c r="I23" s="36">
        <f>IFERROR('9月'!$Y52+SUMIF('9月'!$O$58:$O$77,集計!$B23,'9月'!$U$58:$U$77)+SUMIF('9月'!$X$58:$X$77,集計!$B23,'9月'!$AD$58:$AD$77)+SUMIF('9月'!$O$81:$O$100,集計!$B23,'9月'!$U$81:$U$100)+SUMIF('9月'!$X$81:$X$100,集計!$B23,'9月'!$AD$81:$AD$100),0)</f>
        <v>0</v>
      </c>
      <c r="J23" s="36">
        <f>IFERROR('10月'!$Y52+SUMIF('10月'!$O$58:$O$77,集計!$B23,'10月'!$U$58:$U$77)+SUMIF('10月'!$X$58:$X$77,集計!$B23,'10月'!$AD$58:$AD$77)+SUMIF('10月'!$O$81:$O$100,集計!$B23,'10月'!$U$81:$U$100)+SUMIF('10月'!$X$81:$X$100,集計!$B23,'10月'!$AD$81:$AD$100),0)</f>
        <v>0</v>
      </c>
      <c r="K23" s="36">
        <f>IFERROR('11月'!$Y52+SUMIF('11月'!$O$58:$O$77,集計!$B23,'11月'!$U$58:$U$77)+SUMIF('11月'!$X$58:$X$77,集計!$B23,'11月'!$AD$58:$AD$77)+SUMIF('11月'!$O$81:$O$100,集計!$B23,'11月'!$U$81:$U$100)+SUMIF('11月'!$X$81:$X$100,集計!$B23,'11月'!$AD$81:$AD$100),0)</f>
        <v>0</v>
      </c>
      <c r="L23" s="36">
        <f>IFERROR('12月'!$Y52+SUMIF('12月'!$O$58:$O$77,集計!$B23,'12月'!$U$58:$U$77)+SUMIF('12月'!$X$58:$X$77,集計!$B23,'12月'!$AD$58:$AD$77)+SUMIF('12月'!$O$81:$O$100,集計!$B23,'12月'!$U$81:$U$100)+SUMIF('12月'!$X$81:$X$100,集計!$B23,'12月'!$AD$81:$AD$100),0)</f>
        <v>0</v>
      </c>
      <c r="M23" s="36">
        <f>IFERROR('1月'!$Y52+SUMIF('1月'!$O$58:$O$77,集計!$B23,'1月'!$U$58:$U$77)+SUMIF('1月'!$X$58:$X$77,集計!$B23,'1月'!$AD$58:$AD$77)+SUMIF('1月'!$O$81:$O$100,集計!$B23,'1月'!$U$81:$U$100)+SUMIF('1月'!$X$81:$X$100,集計!$B23,'1月'!$AD$81:$AD$100),0)</f>
        <v>0</v>
      </c>
      <c r="N23" s="36">
        <f>IFERROR('2月'!$Y52+SUMIF('2月'!$O$58:$O$77,集計!$B23,'2月'!$U$58:$U$77)+SUMIF('2月'!$X$58:$X$77,集計!$B23,'2月'!$AD$58:$AD$77)+SUMIF('2月'!$O$81:$O$100,集計!$B23,'2月'!$U$81:$U$100)+SUMIF('2月'!$X$81:$X$100,集計!$B23,'2月'!$AD$81:$AD$100),0)</f>
        <v>0</v>
      </c>
      <c r="O23" s="36">
        <f>IFERROR('3月'!$Y58+SUMIF('3月'!$O$64:$O$83,集計!$B23,'3月'!$U$64:$U$83)+SUMIF('3月'!$X$64:$X$83,集計!$B23,'3月'!$AD$64:$AD$83)+SUMIF('3月'!$O$87:$O$106,集計!$B23,'3月'!$U$87:$U$106)+SUMIF('3月'!$X$87:$X$106,集計!$B23,'3月'!$AD$87:$AD$106),0)</f>
        <v>0</v>
      </c>
      <c r="P23" s="36">
        <f t="shared" si="3"/>
        <v>0</v>
      </c>
    </row>
    <row r="24" spans="2:16" ht="17.25" thickBot="1">
      <c r="B24" s="1499" t="str">
        <f>IF(基本情報!E21="","",基本情報!E21)</f>
        <v/>
      </c>
      <c r="C24" s="1499"/>
      <c r="D24" s="627">
        <f>IFERROR('4月'!$Y53+SUMIF('4月'!$O$58:$O$77,集計!$B24,'4月'!$U$58:$U$77)+SUMIF('4月'!$X$58:$X$77,集計!$B24,'4月'!$AD$58:$AD$77)+SUMIF('4月'!$O$81:$O$100,集計!$B24,'4月'!$U$81:$U$100)+SUMIF('4月'!$X$81:$X$100,集計!$B24,'4月'!$AD$81:$AD$100),0)</f>
        <v>0</v>
      </c>
      <c r="E24" s="627">
        <f>IFERROR('5月'!$Y53+SUMIF('5月'!$O$58:$O$77,集計!$B24,'5月'!$U$58:$U$77)+SUMIF('5月'!$X$58:$X$77,集計!$B24,'5月'!$AD$58:$AD$77)+SUMIF('5月'!$O$81:$O$100,集計!$B24,'5月'!$U$81:$U$100)+SUMIF('5月'!$X$81:$X$100,集計!$B24,'5月'!$AD$81:$AD$100),0)</f>
        <v>0</v>
      </c>
      <c r="F24" s="627">
        <f>IFERROR('6月'!$Y53+SUMIF('6月'!$O$58:$O$77,集計!$B24,'6月'!$U$58:$U$77)+SUMIF('6月'!$X$58:$X$77,集計!$B24,'6月'!$AD$58:$AD$77)+SUMIF('6月'!$O$81:$O$100,集計!$B24,'6月'!$U$81:$U$100)+SUMIF('6月'!$X$81:$X$100,集計!$B24,'6月'!$AD$81:$AD$100),0)</f>
        <v>0</v>
      </c>
      <c r="G24" s="627">
        <f>IFERROR('7月'!$Y53+SUMIF('7月'!$O$58:$O$77,集計!$B24,'7月'!$U$58:$U$77)+SUMIF('7月'!$X$58:$X$77,集計!$B24,'7月'!$AD$58:$AD$77)+SUMIF('7月'!$O$81:$O$100,集計!$B24,'7月'!$U$81:$U$100)+SUMIF('7月'!$X$81:$X$100,集計!$B24,'7月'!$AD$81:$AD$100),0)</f>
        <v>0</v>
      </c>
      <c r="H24" s="627">
        <f>IFERROR('8月'!$Y53+SUMIF('8月'!$O$58:$O$77,集計!$B24,'8月'!$U$58:$U$77)+SUMIF('8月'!$X$58:$X$77,集計!$B24,'8月'!$AD$58:$AD$77)+SUMIF('8月'!$O$81:$O$100,集計!$B24,'8月'!$U$81:$U$100)+SUMIF('8月'!$X$81:$X$100,集計!$B24,'8月'!$AD$81:$AD$100),0)</f>
        <v>0</v>
      </c>
      <c r="I24" s="627">
        <f>IFERROR('9月'!$Y53+SUMIF('9月'!$O$58:$O$77,集計!$B24,'9月'!$U$58:$U$77)+SUMIF('9月'!$X$58:$X$77,集計!$B24,'9月'!$AD$58:$AD$77)+SUMIF('9月'!$O$81:$O$100,集計!$B24,'9月'!$U$81:$U$100)+SUMIF('9月'!$X$81:$X$100,集計!$B24,'9月'!$AD$81:$AD$100),0)</f>
        <v>0</v>
      </c>
      <c r="J24" s="627">
        <f>IFERROR('10月'!$Y53+SUMIF('10月'!$O$58:$O$77,集計!$B24,'10月'!$U$58:$U$77)+SUMIF('10月'!$X$58:$X$77,集計!$B24,'10月'!$AD$58:$AD$77)+SUMIF('10月'!$O$81:$O$100,集計!$B24,'10月'!$U$81:$U$100)+SUMIF('10月'!$X$81:$X$100,集計!$B24,'10月'!$AD$81:$AD$100),0)</f>
        <v>0</v>
      </c>
      <c r="K24" s="627">
        <f>IFERROR('11月'!$Y53+SUMIF('11月'!$O$58:$O$77,集計!$B24,'11月'!$U$58:$U$77)+SUMIF('11月'!$X$58:$X$77,集計!$B24,'11月'!$AD$58:$AD$77)+SUMIF('11月'!$O$81:$O$100,集計!$B24,'11月'!$U$81:$U$100)+SUMIF('11月'!$X$81:$X$100,集計!$B24,'11月'!$AD$81:$AD$100),0)</f>
        <v>0</v>
      </c>
      <c r="L24" s="627">
        <f>IFERROR('12月'!$Y53+SUMIF('12月'!$O$58:$O$77,集計!$B24,'12月'!$U$58:$U$77)+SUMIF('12月'!$X$58:$X$77,集計!$B24,'12月'!$AD$58:$AD$77)+SUMIF('12月'!$O$81:$O$100,集計!$B24,'12月'!$U$81:$U$100)+SUMIF('12月'!$X$81:$X$100,集計!$B24,'12月'!$AD$81:$AD$100),0)</f>
        <v>0</v>
      </c>
      <c r="M24" s="627">
        <f>IFERROR('1月'!$Y53+SUMIF('1月'!$O$58:$O$77,集計!$B24,'1月'!$U$58:$U$77)+SUMIF('1月'!$X$58:$X$77,集計!$B24,'1月'!$AD$58:$AD$77)+SUMIF('1月'!$O$81:$O$100,集計!$B24,'1月'!$U$81:$U$100)+SUMIF('1月'!$X$81:$X$100,集計!$B24,'1月'!$AD$81:$AD$100),0)</f>
        <v>0</v>
      </c>
      <c r="N24" s="627">
        <f>IFERROR('2月'!$Y53+SUMIF('2月'!$O$58:$O$77,集計!$B24,'2月'!$U$58:$U$77)+SUMIF('2月'!$X$58:$X$77,集計!$B24,'2月'!$AD$58:$AD$77)+SUMIF('2月'!$O$81:$O$100,集計!$B24,'2月'!$U$81:$U$100)+SUMIF('2月'!$X$81:$X$100,集計!$B24,'2月'!$AD$81:$AD$100),0)</f>
        <v>0</v>
      </c>
      <c r="O24" s="36">
        <f>IFERROR('3月'!$Y59+SUMIF('3月'!$O$64:$O$83,集計!$B24,'3月'!$U$64:$U$83)+SUMIF('3月'!$X$64:$X$83,集計!$B24,'3月'!$AD$64:$AD$83)+SUMIF('3月'!$O$87:$O$106,集計!$B24,'3月'!$U$87:$U$106)+SUMIF('3月'!$X$87:$X$106,集計!$B24,'3月'!$AD$87:$AD$106),0)</f>
        <v>0</v>
      </c>
      <c r="P24" s="627">
        <f t="shared" si="3"/>
        <v>0</v>
      </c>
    </row>
    <row r="25" spans="2:16" ht="17.25" thickTop="1">
      <c r="B25" s="1500" t="s">
        <v>36</v>
      </c>
      <c r="C25" s="1500"/>
      <c r="D25" s="628">
        <f>SUM(D20:D24)</f>
        <v>0</v>
      </c>
      <c r="E25" s="628">
        <f t="shared" ref="E25:O25" si="4">SUM(E20:E24)</f>
        <v>0</v>
      </c>
      <c r="F25" s="628">
        <f t="shared" si="4"/>
        <v>0</v>
      </c>
      <c r="G25" s="628">
        <f t="shared" si="4"/>
        <v>0</v>
      </c>
      <c r="H25" s="628">
        <f t="shared" si="4"/>
        <v>0</v>
      </c>
      <c r="I25" s="628">
        <f t="shared" si="4"/>
        <v>0</v>
      </c>
      <c r="J25" s="628">
        <f t="shared" si="4"/>
        <v>0</v>
      </c>
      <c r="K25" s="628">
        <f t="shared" si="4"/>
        <v>0</v>
      </c>
      <c r="L25" s="628">
        <f t="shared" si="4"/>
        <v>0</v>
      </c>
      <c r="M25" s="628">
        <f t="shared" si="4"/>
        <v>0</v>
      </c>
      <c r="N25" s="628">
        <f t="shared" si="4"/>
        <v>0</v>
      </c>
      <c r="O25" s="628">
        <f t="shared" si="4"/>
        <v>0</v>
      </c>
      <c r="P25" s="628">
        <f>SUM(P20:P24)</f>
        <v>0</v>
      </c>
    </row>
    <row r="27" spans="2:16" hidden="1">
      <c r="D27" s="17" t="str">
        <f>IF(D10=D25,"OK","NG")</f>
        <v>OK</v>
      </c>
      <c r="E27" s="17" t="str">
        <f t="shared" ref="E27:O27" si="5">IF(E10=E25,"OK","NG")</f>
        <v>OK</v>
      </c>
      <c r="F27" s="17" t="str">
        <f t="shared" si="5"/>
        <v>OK</v>
      </c>
      <c r="G27" s="17" t="str">
        <f t="shared" si="5"/>
        <v>OK</v>
      </c>
      <c r="H27" s="17" t="str">
        <f t="shared" si="5"/>
        <v>OK</v>
      </c>
      <c r="I27" s="17" t="str">
        <f t="shared" si="5"/>
        <v>OK</v>
      </c>
      <c r="J27" s="17" t="str">
        <f t="shared" si="5"/>
        <v>OK</v>
      </c>
      <c r="K27" s="17" t="str">
        <f t="shared" si="5"/>
        <v>OK</v>
      </c>
      <c r="L27" s="17" t="str">
        <f t="shared" si="5"/>
        <v>OK</v>
      </c>
      <c r="M27" s="17" t="str">
        <f t="shared" si="5"/>
        <v>OK</v>
      </c>
      <c r="N27" s="17" t="str">
        <f t="shared" si="5"/>
        <v>OK</v>
      </c>
      <c r="O27" s="17" t="str">
        <f t="shared" si="5"/>
        <v>OK</v>
      </c>
    </row>
    <row r="29" spans="2:16">
      <c r="B29" s="13" t="s">
        <v>725</v>
      </c>
    </row>
    <row r="30" spans="2:16">
      <c r="B30" s="1510" t="s">
        <v>726</v>
      </c>
      <c r="C30" s="1510"/>
      <c r="D30" s="1510"/>
      <c r="E30" s="1120">
        <f>IFERROR(P10-SUM(E31:E33),0)</f>
        <v>0</v>
      </c>
    </row>
    <row r="31" spans="2:16">
      <c r="B31" s="1510" t="s">
        <v>727</v>
      </c>
      <c r="C31" s="1510"/>
      <c r="D31" s="1510"/>
      <c r="E31" s="1120">
        <f>IFERROR(内訳計算!CW77,0)</f>
        <v>0</v>
      </c>
    </row>
    <row r="32" spans="2:16">
      <c r="B32" s="1510" t="s">
        <v>728</v>
      </c>
      <c r="C32" s="1510"/>
      <c r="D32" s="1510"/>
      <c r="E32" s="1120">
        <f>IFERROR(内訳計算!CX77,0)</f>
        <v>0</v>
      </c>
    </row>
    <row r="33" spans="2:16">
      <c r="B33" s="1510" t="s">
        <v>729</v>
      </c>
      <c r="C33" s="1510"/>
      <c r="D33" s="1510"/>
      <c r="E33" s="1120">
        <f>D13</f>
        <v>0</v>
      </c>
      <c r="F33" s="1113"/>
      <c r="G33" s="1114"/>
      <c r="H33" s="1114"/>
      <c r="I33" s="1114"/>
      <c r="J33" s="1114"/>
      <c r="K33" s="1114"/>
      <c r="L33" s="1114"/>
      <c r="M33" s="1114"/>
      <c r="N33" s="1114"/>
      <c r="O33" s="1114"/>
      <c r="P33" s="1114"/>
    </row>
    <row r="34" spans="2:16">
      <c r="B34" s="1511" t="s">
        <v>730</v>
      </c>
      <c r="C34" s="1511"/>
      <c r="D34" s="1511"/>
      <c r="E34" s="1120">
        <f>SUM(E30:E33)</f>
        <v>0</v>
      </c>
      <c r="F34" s="1113"/>
      <c r="G34" s="1114"/>
      <c r="H34" s="1114"/>
      <c r="I34" s="1114"/>
      <c r="J34" s="1114"/>
      <c r="K34" s="1114"/>
      <c r="L34" s="1114"/>
      <c r="M34" s="1114"/>
      <c r="N34" s="1114"/>
      <c r="O34" s="1114"/>
      <c r="P34" s="1114"/>
    </row>
  </sheetData>
  <sheetProtection algorithmName="SHA-512" hashValue="U74q2pcM3qDlQ76p0WajwAUJp/OkssF+BPh/5X6ls4V2PC3gR2TjL4fR0RMqVHKlrRFdqzmyBzI/O8ufPOLpNg==" saltValue="3s5UXtE4xOmdHsdcKMF+sw==" spinCount="100000" sheet="1" objects="1" scenarios="1"/>
  <mergeCells count="20">
    <mergeCell ref="B30:D30"/>
    <mergeCell ref="B31:D31"/>
    <mergeCell ref="B32:D32"/>
    <mergeCell ref="B33:D33"/>
    <mergeCell ref="B34:D34"/>
    <mergeCell ref="C2:E2"/>
    <mergeCell ref="B24:C24"/>
    <mergeCell ref="B25:C25"/>
    <mergeCell ref="B19:C19"/>
    <mergeCell ref="B20:C20"/>
    <mergeCell ref="B21:C21"/>
    <mergeCell ref="B22:C22"/>
    <mergeCell ref="B23:C23"/>
    <mergeCell ref="B5:C5"/>
    <mergeCell ref="B16:C16"/>
    <mergeCell ref="B6:C6"/>
    <mergeCell ref="B7:C7"/>
    <mergeCell ref="B8:C8"/>
    <mergeCell ref="B9:C9"/>
    <mergeCell ref="B10:C10"/>
  </mergeCells>
  <phoneticPr fontId="2"/>
  <pageMargins left="0.7" right="0.7" top="0.75" bottom="0.75" header="0.3" footer="0.3"/>
  <pageSetup paperSize="9" orientation="portrait" horizontalDpi="4294967293"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9D65C-1BF0-4C35-B159-70D8726362CA}">
  <dimension ref="A1:DJ108"/>
  <sheetViews>
    <sheetView zoomScale="55" zoomScaleNormal="55" workbookViewId="0">
      <selection activeCell="G6" sqref="G6"/>
    </sheetView>
  </sheetViews>
  <sheetFormatPr defaultColWidth="8.75" defaultRowHeight="16.5"/>
  <cols>
    <col min="1" max="1" width="3.75" style="664" bestFit="1" customWidth="1"/>
    <col min="2" max="3" width="3.625" style="664" customWidth="1"/>
    <col min="4" max="18" width="10" style="664" customWidth="1"/>
    <col min="19" max="19" width="1.25" style="664" customWidth="1"/>
    <col min="20" max="20" width="3.125" style="664" customWidth="1"/>
    <col min="21" max="71" width="10" style="664" customWidth="1"/>
    <col min="72" max="72" width="4.125" style="664" customWidth="1"/>
    <col min="73" max="77" width="10" style="664" customWidth="1"/>
    <col min="78" max="78" width="8.75" style="664" customWidth="1"/>
    <col min="79" max="79" width="8.75" style="664"/>
    <col min="80" max="80" width="4" style="745" bestFit="1" customWidth="1"/>
    <col min="81" max="81" width="3.875" style="2" bestFit="1" customWidth="1"/>
    <col min="82" max="82" width="18.875" style="2" bestFit="1" customWidth="1"/>
    <col min="83" max="83" width="8.75" style="2"/>
    <col min="84" max="95" width="11.25" style="664" customWidth="1"/>
    <col min="96" max="96" width="12.5" style="664" customWidth="1"/>
    <col min="97" max="97" width="3.875" style="2" bestFit="1" customWidth="1"/>
    <col min="98" max="98" width="18.875" style="2" bestFit="1" customWidth="1"/>
    <col min="99" max="99" width="8.75" style="664"/>
    <col min="100" max="104" width="12.5" style="664" customWidth="1"/>
    <col min="105" max="105" width="18.5" style="664" customWidth="1"/>
    <col min="106" max="106" width="3.125" style="664" customWidth="1"/>
    <col min="107" max="16384" width="8.75" style="664"/>
  </cols>
  <sheetData>
    <row r="1" spans="1:109" ht="24.75" customHeight="1">
      <c r="CD1" s="820" t="s">
        <v>575</v>
      </c>
      <c r="CE1" s="785" t="s">
        <v>566</v>
      </c>
      <c r="CF1" s="779">
        <f>児童数!O22</f>
        <v>0</v>
      </c>
      <c r="CG1" s="779">
        <f>児童数!O23</f>
        <v>0</v>
      </c>
      <c r="CH1" s="779">
        <f>児童数!O24</f>
        <v>0</v>
      </c>
      <c r="CI1" s="779">
        <f>児童数!O25</f>
        <v>0</v>
      </c>
      <c r="CJ1" s="779">
        <f>児童数!O26</f>
        <v>0</v>
      </c>
      <c r="CK1" s="779">
        <f>児童数!O27</f>
        <v>0</v>
      </c>
      <c r="CL1" s="779">
        <f>児童数!O28</f>
        <v>0</v>
      </c>
      <c r="CM1" s="779">
        <f>児童数!O29</f>
        <v>0</v>
      </c>
      <c r="CN1" s="779">
        <f>児童数!O30</f>
        <v>0</v>
      </c>
      <c r="CO1" s="779">
        <f>児童数!O31</f>
        <v>0</v>
      </c>
      <c r="CP1" s="779">
        <f>児童数!O32</f>
        <v>0</v>
      </c>
      <c r="CQ1" s="790">
        <f>児童数!O33</f>
        <v>0</v>
      </c>
      <c r="CR1" s="793">
        <f t="shared" ref="CR1:CR2" si="0">SUM(CF1:CQ1)</f>
        <v>0</v>
      </c>
      <c r="CT1" s="1585" t="s">
        <v>573</v>
      </c>
      <c r="CU1" s="1587">
        <f>基本情報!G7</f>
        <v>0</v>
      </c>
      <c r="CV1" s="1622" t="s">
        <v>684</v>
      </c>
      <c r="CW1" s="1605" t="s">
        <v>685</v>
      </c>
    </row>
    <row r="2" spans="1:109" ht="17.25" thickBot="1">
      <c r="B2" s="664" t="s">
        <v>532</v>
      </c>
      <c r="N2" s="716" t="s">
        <v>533</v>
      </c>
      <c r="T2" s="716" t="s">
        <v>560</v>
      </c>
      <c r="CD2" s="821"/>
      <c r="CE2" s="786" t="s">
        <v>567</v>
      </c>
      <c r="CF2" s="787">
        <f>児童数!AB22</f>
        <v>0</v>
      </c>
      <c r="CG2" s="787">
        <f>児童数!AB23</f>
        <v>0</v>
      </c>
      <c r="CH2" s="787">
        <f>児童数!AB24</f>
        <v>0</v>
      </c>
      <c r="CI2" s="787">
        <f>児童数!AB25</f>
        <v>0</v>
      </c>
      <c r="CJ2" s="787">
        <f>児童数!AB26</f>
        <v>0</v>
      </c>
      <c r="CK2" s="787">
        <f>児童数!AB27</f>
        <v>0</v>
      </c>
      <c r="CL2" s="787">
        <f>児童数!AB28</f>
        <v>0</v>
      </c>
      <c r="CM2" s="787">
        <f>児童数!AB29</f>
        <v>0</v>
      </c>
      <c r="CN2" s="787">
        <f>児童数!AB30</f>
        <v>0</v>
      </c>
      <c r="CO2" s="787">
        <f>児童数!AB31</f>
        <v>0</v>
      </c>
      <c r="CP2" s="787">
        <f>児童数!AB32</f>
        <v>0</v>
      </c>
      <c r="CQ2" s="791">
        <f>児童数!AB33</f>
        <v>0</v>
      </c>
      <c r="CR2" s="794">
        <f t="shared" si="0"/>
        <v>0</v>
      </c>
      <c r="CT2" s="1586"/>
      <c r="CU2" s="1588"/>
      <c r="CV2" s="1623"/>
      <c r="CW2" s="1606"/>
    </row>
    <row r="3" spans="1:109" s="666" customFormat="1" ht="16.149999999999999" customHeight="1" thickTop="1" thickBot="1">
      <c r="A3" s="1652" t="s">
        <v>556</v>
      </c>
      <c r="B3" s="1654" t="s">
        <v>534</v>
      </c>
      <c r="C3" s="1527"/>
      <c r="D3" s="1528"/>
      <c r="E3" s="697" t="s">
        <v>535</v>
      </c>
      <c r="F3" s="697" t="s">
        <v>71</v>
      </c>
      <c r="G3" s="697" t="s">
        <v>536</v>
      </c>
      <c r="H3" s="697" t="s">
        <v>537</v>
      </c>
      <c r="I3" s="697" t="s">
        <v>538</v>
      </c>
      <c r="J3" s="703" t="s">
        <v>539</v>
      </c>
      <c r="K3" s="704" t="s">
        <v>540</v>
      </c>
      <c r="L3" s="705" t="s">
        <v>541</v>
      </c>
      <c r="N3" s="1529" t="s">
        <v>542</v>
      </c>
      <c r="O3" s="1532" t="s">
        <v>115</v>
      </c>
      <c r="P3" s="1534">
        <f>集計!D13</f>
        <v>0</v>
      </c>
      <c r="Q3" s="675" t="s">
        <v>543</v>
      </c>
      <c r="R3" s="663" t="e">
        <f>P3-R4</f>
        <v>#DIV/0!</v>
      </c>
      <c r="T3" s="1391"/>
      <c r="U3" s="1560" t="s">
        <v>438</v>
      </c>
      <c r="V3" s="1560" t="s">
        <v>444</v>
      </c>
      <c r="W3" s="1560" t="s">
        <v>206</v>
      </c>
      <c r="X3" s="1557" t="s">
        <v>544</v>
      </c>
      <c r="Y3" s="1560" t="s">
        <v>214</v>
      </c>
      <c r="Z3" s="1563" t="s">
        <v>545</v>
      </c>
      <c r="AA3" s="1388" t="s">
        <v>548</v>
      </c>
      <c r="AB3" s="1389"/>
      <c r="AC3" s="1389"/>
      <c r="AD3" s="1390"/>
      <c r="AE3" s="1388" t="s">
        <v>613</v>
      </c>
      <c r="AF3" s="1389"/>
      <c r="AG3" s="1390"/>
      <c r="AH3" s="1388" t="s">
        <v>615</v>
      </c>
      <c r="AI3" s="1389"/>
      <c r="AJ3" s="1389"/>
      <c r="AK3" s="1390"/>
      <c r="AL3" s="1391" t="s">
        <v>619</v>
      </c>
      <c r="AM3" s="1392"/>
      <c r="AN3" s="1392"/>
      <c r="AO3" s="1392"/>
      <c r="AP3" s="1392"/>
      <c r="AQ3" s="1393"/>
      <c r="AR3" s="1391" t="s">
        <v>622</v>
      </c>
      <c r="AS3" s="1393"/>
      <c r="AT3" s="1391" t="s">
        <v>623</v>
      </c>
      <c r="AU3" s="1393"/>
      <c r="AV3" s="1391" t="s">
        <v>624</v>
      </c>
      <c r="AW3" s="1392"/>
      <c r="AX3" s="1392"/>
      <c r="AY3" s="1393"/>
      <c r="AZ3" s="1391" t="s">
        <v>626</v>
      </c>
      <c r="BA3" s="1393"/>
      <c r="BB3" s="1391" t="s">
        <v>625</v>
      </c>
      <c r="BC3" s="1393"/>
      <c r="BD3" s="1518" t="s">
        <v>670</v>
      </c>
      <c r="BE3" s="1519"/>
      <c r="BF3" s="1519"/>
      <c r="BG3" s="1520"/>
      <c r="BH3" s="1521" t="s">
        <v>671</v>
      </c>
      <c r="BI3" s="1519"/>
      <c r="BJ3" s="1519"/>
      <c r="BK3" s="1522"/>
      <c r="BL3" s="1545" t="s">
        <v>672</v>
      </c>
      <c r="BM3" s="1546"/>
      <c r="BN3" s="1546"/>
      <c r="BO3" s="1547"/>
      <c r="BP3" s="784"/>
      <c r="BQ3" s="784"/>
      <c r="BR3" s="784"/>
      <c r="BS3" s="784"/>
      <c r="BT3" s="664"/>
      <c r="BU3" s="664"/>
      <c r="BV3" s="664"/>
      <c r="BW3" s="664"/>
      <c r="BX3" s="664"/>
      <c r="BY3" s="681"/>
      <c r="BZ3" s="681"/>
      <c r="CA3" s="681"/>
      <c r="CB3" s="678"/>
      <c r="CC3" s="2"/>
      <c r="CD3" s="822"/>
      <c r="CE3" s="788" t="s">
        <v>565</v>
      </c>
      <c r="CF3" s="789">
        <f t="shared" ref="CF3:CQ3" si="1">SUM(CF1:CF2)</f>
        <v>0</v>
      </c>
      <c r="CG3" s="789">
        <f t="shared" si="1"/>
        <v>0</v>
      </c>
      <c r="CH3" s="789">
        <f t="shared" si="1"/>
        <v>0</v>
      </c>
      <c r="CI3" s="789">
        <f t="shared" si="1"/>
        <v>0</v>
      </c>
      <c r="CJ3" s="789">
        <f t="shared" si="1"/>
        <v>0</v>
      </c>
      <c r="CK3" s="789">
        <f t="shared" si="1"/>
        <v>0</v>
      </c>
      <c r="CL3" s="789">
        <f t="shared" si="1"/>
        <v>0</v>
      </c>
      <c r="CM3" s="789">
        <f t="shared" si="1"/>
        <v>0</v>
      </c>
      <c r="CN3" s="789">
        <f t="shared" si="1"/>
        <v>0</v>
      </c>
      <c r="CO3" s="789">
        <f t="shared" si="1"/>
        <v>0</v>
      </c>
      <c r="CP3" s="789">
        <f t="shared" si="1"/>
        <v>0</v>
      </c>
      <c r="CQ3" s="792">
        <f t="shared" si="1"/>
        <v>0</v>
      </c>
      <c r="CR3" s="795">
        <f>SUM(CF3:CQ3)</f>
        <v>0</v>
      </c>
      <c r="CS3" s="2"/>
      <c r="CT3" s="2"/>
      <c r="CV3" s="772">
        <f>基本情報!E7</f>
        <v>0</v>
      </c>
      <c r="CW3" s="773">
        <f>基本情報!C7</f>
        <v>0</v>
      </c>
      <c r="DB3" s="681"/>
    </row>
    <row r="4" spans="1:109" ht="16.899999999999999" customHeight="1" thickTop="1" thickBot="1">
      <c r="A4" s="1652"/>
      <c r="B4" s="1655"/>
      <c r="C4" s="1542" t="s">
        <v>15</v>
      </c>
      <c r="D4" s="667" t="s">
        <v>6</v>
      </c>
      <c r="E4" s="668">
        <f>SUM(児童数!E8:E17)</f>
        <v>0</v>
      </c>
      <c r="F4" s="668" t="e">
        <f>'4月'!F6</f>
        <v>#VALUE!</v>
      </c>
      <c r="G4" s="669">
        <f>事業費・管理費!C3</f>
        <v>1809</v>
      </c>
      <c r="H4" s="668" t="e">
        <f>INDEX(事業費・管理費!C6:$T$10,MATCH(D4,事業費・管理費!$C$6:$C$10,0),MATCH(基本情報!$AA$4,事業費・管理費!$C$6:$T$6,0))</f>
        <v>#N/A</v>
      </c>
      <c r="I4" s="668" t="e">
        <f>F4-G4-H4</f>
        <v>#VALUE!</v>
      </c>
      <c r="J4" s="668" t="e">
        <f>E4*I4</f>
        <v>#VALUE!</v>
      </c>
      <c r="K4" s="668">
        <f>E4*G4</f>
        <v>0</v>
      </c>
      <c r="L4" s="706" t="e">
        <f>E4*H4</f>
        <v>#N/A</v>
      </c>
      <c r="N4" s="1530"/>
      <c r="O4" s="1533"/>
      <c r="P4" s="1535"/>
      <c r="Q4" s="676" t="s">
        <v>547</v>
      </c>
      <c r="R4" s="670" t="e">
        <f>ROUNDDOWN(P3*(2/基本情報!C7),-1)</f>
        <v>#DIV/0!</v>
      </c>
      <c r="T4" s="1407"/>
      <c r="U4" s="1561"/>
      <c r="V4" s="1561"/>
      <c r="W4" s="1561"/>
      <c r="X4" s="1558"/>
      <c r="Y4" s="1561"/>
      <c r="Z4" s="1564"/>
      <c r="AA4" s="1394" t="s">
        <v>612</v>
      </c>
      <c r="AB4" s="1396" t="s">
        <v>550</v>
      </c>
      <c r="AC4" s="1397"/>
      <c r="AD4" s="1398"/>
      <c r="AE4" s="1394" t="s">
        <v>612</v>
      </c>
      <c r="AF4" s="1396" t="s">
        <v>550</v>
      </c>
      <c r="AG4" s="1398"/>
      <c r="AH4" s="1394" t="s">
        <v>612</v>
      </c>
      <c r="AI4" s="1396" t="s">
        <v>620</v>
      </c>
      <c r="AJ4" s="1397"/>
      <c r="AK4" s="1398"/>
      <c r="AL4" s="1404" t="s">
        <v>612</v>
      </c>
      <c r="AM4" s="1405" t="s">
        <v>621</v>
      </c>
      <c r="AN4" s="1405"/>
      <c r="AO4" s="1405"/>
      <c r="AP4" s="1405"/>
      <c r="AQ4" s="1406"/>
      <c r="AR4" s="1407" t="s">
        <v>612</v>
      </c>
      <c r="AS4" s="1406" t="s">
        <v>620</v>
      </c>
      <c r="AT4" s="1407" t="s">
        <v>612</v>
      </c>
      <c r="AU4" s="1406" t="s">
        <v>620</v>
      </c>
      <c r="AV4" s="1404" t="s">
        <v>612</v>
      </c>
      <c r="AW4" s="1405" t="s">
        <v>620</v>
      </c>
      <c r="AX4" s="1405"/>
      <c r="AY4" s="1406"/>
      <c r="AZ4" s="1407" t="s">
        <v>612</v>
      </c>
      <c r="BA4" s="1406" t="s">
        <v>620</v>
      </c>
      <c r="BB4" s="1407" t="s">
        <v>612</v>
      </c>
      <c r="BC4" s="1406" t="s">
        <v>620</v>
      </c>
      <c r="BD4" s="1512" t="s">
        <v>612</v>
      </c>
      <c r="BE4" s="1513" t="s">
        <v>620</v>
      </c>
      <c r="BF4" s="1513"/>
      <c r="BG4" s="1514"/>
      <c r="BH4" s="1515" t="s">
        <v>612</v>
      </c>
      <c r="BI4" s="1513" t="s">
        <v>620</v>
      </c>
      <c r="BJ4" s="1513"/>
      <c r="BK4" s="1516"/>
      <c r="BL4" s="1548" t="s">
        <v>612</v>
      </c>
      <c r="BM4" s="1549" t="s">
        <v>620</v>
      </c>
      <c r="BN4" s="1549"/>
      <c r="BO4" s="1550"/>
      <c r="BP4" s="915"/>
      <c r="BQ4" s="784"/>
      <c r="BR4" s="784"/>
      <c r="BS4" s="784"/>
      <c r="BU4" s="1670" t="s">
        <v>705</v>
      </c>
      <c r="BV4" s="1671"/>
      <c r="BW4" s="1671"/>
      <c r="BX4" s="1672"/>
      <c r="BY4" s="1673"/>
      <c r="CB4" s="678"/>
      <c r="CD4" s="4"/>
      <c r="CE4" s="780"/>
      <c r="CF4" s="781"/>
      <c r="CG4" s="781"/>
      <c r="CH4" s="781"/>
      <c r="CI4" s="781"/>
      <c r="CJ4" s="781"/>
      <c r="CK4" s="781"/>
      <c r="CL4" s="781"/>
      <c r="CM4" s="781"/>
      <c r="CN4" s="781"/>
      <c r="CO4" s="781"/>
      <c r="CP4" s="781"/>
      <c r="CQ4" s="782"/>
      <c r="CR4" s="681"/>
      <c r="CU4" s="681"/>
      <c r="CV4" s="783"/>
      <c r="CW4" s="784"/>
      <c r="CX4" s="775"/>
    </row>
    <row r="5" spans="1:109" ht="35.25" customHeight="1" thickBot="1">
      <c r="A5" s="1652"/>
      <c r="B5" s="1655"/>
      <c r="C5" s="1542"/>
      <c r="D5" s="667" t="s">
        <v>7</v>
      </c>
      <c r="E5" s="668">
        <f>SUM(児童数!F8:F17)</f>
        <v>0</v>
      </c>
      <c r="F5" s="707" t="e">
        <f>'4月'!G6</f>
        <v>#VALUE!</v>
      </c>
      <c r="G5" s="668">
        <f>G4</f>
        <v>1809</v>
      </c>
      <c r="H5" s="668" t="e">
        <f>INDEX(事業費・管理費!C6:$T$10,MATCH(D5,事業費・管理費!$C$6:$C$10,0),MATCH(基本情報!$AA$4,事業費・管理費!$C$6:$T$6,0))</f>
        <v>#N/A</v>
      </c>
      <c r="I5" s="668" t="e">
        <f>F5-G5-H5</f>
        <v>#VALUE!</v>
      </c>
      <c r="J5" s="668" t="e">
        <f t="shared" ref="J5:J7" si="2">E5*I5</f>
        <v>#VALUE!</v>
      </c>
      <c r="K5" s="668">
        <f t="shared" ref="K5:K7" si="3">E5*G5</f>
        <v>0</v>
      </c>
      <c r="L5" s="706" t="e">
        <f t="shared" ref="L5:L7" si="4">E5*H5</f>
        <v>#N/A</v>
      </c>
      <c r="N5" s="1531"/>
      <c r="O5" s="715" t="s">
        <v>116</v>
      </c>
      <c r="P5" s="663">
        <f>集計!D14</f>
        <v>0</v>
      </c>
      <c r="T5" s="1536"/>
      <c r="U5" s="1562"/>
      <c r="V5" s="1562"/>
      <c r="W5" s="1562"/>
      <c r="X5" s="1559"/>
      <c r="Y5" s="1562"/>
      <c r="Z5" s="1565"/>
      <c r="AA5" s="1544"/>
      <c r="AB5" s="725" t="s">
        <v>609</v>
      </c>
      <c r="AC5" s="725" t="s">
        <v>610</v>
      </c>
      <c r="AD5" s="726" t="s">
        <v>611</v>
      </c>
      <c r="AE5" s="1544"/>
      <c r="AF5" s="964" t="s">
        <v>700</v>
      </c>
      <c r="AG5" s="965" t="s">
        <v>685</v>
      </c>
      <c r="AH5" s="1544"/>
      <c r="AI5" s="725" t="s">
        <v>617</v>
      </c>
      <c r="AJ5" s="964" t="s">
        <v>700</v>
      </c>
      <c r="AK5" s="965" t="s">
        <v>685</v>
      </c>
      <c r="AL5" s="1404"/>
      <c r="AM5" s="724" t="s">
        <v>616</v>
      </c>
      <c r="AN5" s="724" t="s">
        <v>618</v>
      </c>
      <c r="AO5" s="723" t="s">
        <v>614</v>
      </c>
      <c r="AP5" s="964" t="s">
        <v>700</v>
      </c>
      <c r="AQ5" s="965" t="s">
        <v>685</v>
      </c>
      <c r="AR5" s="1407"/>
      <c r="AS5" s="1406"/>
      <c r="AT5" s="1407"/>
      <c r="AU5" s="1406"/>
      <c r="AV5" s="1404"/>
      <c r="AW5" s="724" t="s">
        <v>617</v>
      </c>
      <c r="AX5" s="964" t="s">
        <v>700</v>
      </c>
      <c r="AY5" s="965" t="s">
        <v>685</v>
      </c>
      <c r="AZ5" s="1407"/>
      <c r="BA5" s="1406"/>
      <c r="BB5" s="1407"/>
      <c r="BC5" s="1406"/>
      <c r="BD5" s="1512"/>
      <c r="BE5" s="929" t="s">
        <v>559</v>
      </c>
      <c r="BF5" s="930" t="s">
        <v>376</v>
      </c>
      <c r="BG5" s="931" t="s">
        <v>353</v>
      </c>
      <c r="BH5" s="1515"/>
      <c r="BI5" s="929" t="s">
        <v>559</v>
      </c>
      <c r="BJ5" s="930" t="s">
        <v>376</v>
      </c>
      <c r="BK5" s="932" t="s">
        <v>353</v>
      </c>
      <c r="BL5" s="1548"/>
      <c r="BM5" s="937" t="s">
        <v>559</v>
      </c>
      <c r="BN5" s="938" t="s">
        <v>376</v>
      </c>
      <c r="BO5" s="939" t="s">
        <v>353</v>
      </c>
      <c r="BP5" s="915"/>
      <c r="BQ5" s="915"/>
      <c r="BR5" s="916"/>
      <c r="BS5" s="917"/>
      <c r="BU5" s="1674" t="s">
        <v>616</v>
      </c>
      <c r="BV5" s="1676" t="s">
        <v>618</v>
      </c>
      <c r="BW5" s="1678" t="s">
        <v>574</v>
      </c>
      <c r="BX5" s="1678" t="s">
        <v>709</v>
      </c>
      <c r="BY5" s="1659" t="s">
        <v>682</v>
      </c>
      <c r="BZ5" s="1036"/>
      <c r="CB5" s="1625" t="s">
        <v>569</v>
      </c>
      <c r="CC5" s="1607"/>
      <c r="CD5" s="1608"/>
      <c r="CE5" s="1628" t="s">
        <v>172</v>
      </c>
      <c r="CF5" s="1603" t="s">
        <v>564</v>
      </c>
      <c r="CG5" s="1603" t="s">
        <v>464</v>
      </c>
      <c r="CH5" s="1603" t="s">
        <v>465</v>
      </c>
      <c r="CI5" s="1603" t="s">
        <v>466</v>
      </c>
      <c r="CJ5" s="1603" t="s">
        <v>467</v>
      </c>
      <c r="CK5" s="1603" t="s">
        <v>468</v>
      </c>
      <c r="CL5" s="1603" t="s">
        <v>469</v>
      </c>
      <c r="CM5" s="1603" t="s">
        <v>470</v>
      </c>
      <c r="CN5" s="1603" t="s">
        <v>471</v>
      </c>
      <c r="CO5" s="1603" t="s">
        <v>472</v>
      </c>
      <c r="CP5" s="1603" t="s">
        <v>473</v>
      </c>
      <c r="CQ5" s="1618" t="s">
        <v>474</v>
      </c>
      <c r="CR5" s="1620" t="s">
        <v>565</v>
      </c>
      <c r="CS5" s="1607"/>
      <c r="CT5" s="1608"/>
      <c r="CV5" s="1661" t="s">
        <v>683</v>
      </c>
      <c r="CW5" s="1661"/>
      <c r="CX5" s="1661"/>
      <c r="CY5" s="1661" t="s">
        <v>724</v>
      </c>
      <c r="CZ5" s="1661"/>
    </row>
    <row r="6" spans="1:109" ht="20.25" customHeight="1" thickTop="1" thickBot="1">
      <c r="A6" s="1652"/>
      <c r="B6" s="1655"/>
      <c r="C6" s="1542"/>
      <c r="D6" s="667" t="s">
        <v>8</v>
      </c>
      <c r="E6" s="668">
        <f>SUM(児童数!G8:G17)</f>
        <v>0</v>
      </c>
      <c r="F6" s="668" t="e">
        <f>'4月'!H6</f>
        <v>#VALUE!</v>
      </c>
      <c r="G6" s="669">
        <f>事業費・管理費!C4</f>
        <v>10478</v>
      </c>
      <c r="H6" s="668" t="e">
        <f>INDEX(事業費・管理費!C6:$T$10,MATCH(D6,事業費・管理費!$C$6:$C$10,0),MATCH(基本情報!$AA$4,事業費・管理費!$C$6:$T$6,0))</f>
        <v>#N/A</v>
      </c>
      <c r="I6" s="668" t="e">
        <f>F6-G6-H6</f>
        <v>#VALUE!</v>
      </c>
      <c r="J6" s="668" t="e">
        <f t="shared" si="2"/>
        <v>#VALUE!</v>
      </c>
      <c r="K6" s="668">
        <f t="shared" si="3"/>
        <v>0</v>
      </c>
      <c r="L6" s="706" t="e">
        <f t="shared" si="4"/>
        <v>#N/A</v>
      </c>
      <c r="N6" s="1537" t="s">
        <v>558</v>
      </c>
      <c r="O6" s="1538"/>
      <c r="P6" s="672">
        <f>集計!D16</f>
        <v>0</v>
      </c>
      <c r="T6" s="919"/>
      <c r="U6" s="920"/>
      <c r="V6" s="920"/>
      <c r="W6" s="920"/>
      <c r="X6" s="921"/>
      <c r="Y6" s="920"/>
      <c r="Z6" s="922"/>
      <c r="AA6" s="838" t="s">
        <v>630</v>
      </c>
      <c r="AB6" s="920" t="s">
        <v>632</v>
      </c>
      <c r="AC6" s="920" t="s">
        <v>634</v>
      </c>
      <c r="AD6" s="922" t="s">
        <v>636</v>
      </c>
      <c r="AE6" s="838" t="s">
        <v>638</v>
      </c>
      <c r="AF6" s="923" t="s">
        <v>640</v>
      </c>
      <c r="AG6" s="922" t="s">
        <v>642</v>
      </c>
      <c r="AH6" s="838" t="s">
        <v>644</v>
      </c>
      <c r="AI6" s="924" t="s">
        <v>646</v>
      </c>
      <c r="AJ6" s="923" t="s">
        <v>648</v>
      </c>
      <c r="AK6" s="925" t="s">
        <v>650</v>
      </c>
      <c r="AL6" s="926" t="s">
        <v>652</v>
      </c>
      <c r="AM6" s="824" t="s">
        <v>653</v>
      </c>
      <c r="AN6" s="824" t="s">
        <v>654</v>
      </c>
      <c r="AO6" s="836" t="s">
        <v>655</v>
      </c>
      <c r="AP6" s="927" t="s">
        <v>656</v>
      </c>
      <c r="AQ6" s="837" t="s">
        <v>657</v>
      </c>
      <c r="AR6" s="823" t="s">
        <v>658</v>
      </c>
      <c r="AS6" s="928" t="s">
        <v>659</v>
      </c>
      <c r="AT6" s="823" t="s">
        <v>660</v>
      </c>
      <c r="AU6" s="928" t="s">
        <v>661</v>
      </c>
      <c r="AV6" s="926" t="s">
        <v>662</v>
      </c>
      <c r="AW6" s="824" t="s">
        <v>663</v>
      </c>
      <c r="AX6" s="927" t="s">
        <v>664</v>
      </c>
      <c r="AY6" s="837" t="s">
        <v>665</v>
      </c>
      <c r="AZ6" s="823" t="s">
        <v>666</v>
      </c>
      <c r="BA6" s="928" t="s">
        <v>667</v>
      </c>
      <c r="BB6" s="823" t="s">
        <v>668</v>
      </c>
      <c r="BC6" s="928" t="s">
        <v>669</v>
      </c>
      <c r="BD6" s="933"/>
      <c r="BE6" s="935" t="e">
        <f>1-BF6-BG6</f>
        <v>#VALUE!</v>
      </c>
      <c r="BF6" s="935" t="e">
        <f>$CW$58</f>
        <v>#VALUE!</v>
      </c>
      <c r="BG6" s="936" t="e">
        <f>$CX$58</f>
        <v>#N/A</v>
      </c>
      <c r="BH6" s="934"/>
      <c r="BI6" s="935" t="e">
        <f>1-BJ6-BK6</f>
        <v>#VALUE!</v>
      </c>
      <c r="BJ6" s="935" t="e">
        <f>$CW$58</f>
        <v>#VALUE!</v>
      </c>
      <c r="BK6" s="942" t="e">
        <f>$CX$58</f>
        <v>#N/A</v>
      </c>
      <c r="BL6" s="940"/>
      <c r="BM6" s="941" t="e">
        <f>$CV$58</f>
        <v>#VALUE!</v>
      </c>
      <c r="BN6" s="941" t="e">
        <f>$CW$58</f>
        <v>#VALUE!</v>
      </c>
      <c r="BO6" s="943" t="e">
        <f>$CX$58</f>
        <v>#N/A</v>
      </c>
      <c r="BP6" s="701"/>
      <c r="BQ6" s="701"/>
      <c r="BR6" s="701"/>
      <c r="BS6" s="701"/>
      <c r="BU6" s="1675"/>
      <c r="BV6" s="1677"/>
      <c r="BW6" s="1679"/>
      <c r="BX6" s="1679"/>
      <c r="BY6" s="1660"/>
      <c r="CB6" s="1626"/>
      <c r="CC6" s="1609"/>
      <c r="CD6" s="1429"/>
      <c r="CE6" s="1417"/>
      <c r="CF6" s="1604"/>
      <c r="CG6" s="1604"/>
      <c r="CH6" s="1604"/>
      <c r="CI6" s="1604"/>
      <c r="CJ6" s="1604"/>
      <c r="CK6" s="1604"/>
      <c r="CL6" s="1604"/>
      <c r="CM6" s="1604"/>
      <c r="CN6" s="1604"/>
      <c r="CO6" s="1604"/>
      <c r="CP6" s="1604"/>
      <c r="CQ6" s="1619"/>
      <c r="CR6" s="1621"/>
      <c r="CS6" s="1609"/>
      <c r="CT6" s="1429"/>
      <c r="CV6" s="1073" t="s">
        <v>570</v>
      </c>
      <c r="CW6" s="1075" t="s">
        <v>571</v>
      </c>
      <c r="CX6" s="1076" t="s">
        <v>572</v>
      </c>
      <c r="CY6" s="1074" t="s">
        <v>681</v>
      </c>
      <c r="CZ6" s="677" t="s">
        <v>682</v>
      </c>
    </row>
    <row r="7" spans="1:109" ht="20.25" customHeight="1" thickTop="1" thickBot="1">
      <c r="A7" s="1652"/>
      <c r="B7" s="1655"/>
      <c r="C7" s="1542"/>
      <c r="D7" s="708" t="s">
        <v>9</v>
      </c>
      <c r="E7" s="709">
        <f>SUM(児童数!H8:H17)</f>
        <v>0</v>
      </c>
      <c r="F7" s="709" t="e">
        <f>'4月'!I6</f>
        <v>#VALUE!</v>
      </c>
      <c r="G7" s="709">
        <f>G6</f>
        <v>10478</v>
      </c>
      <c r="H7" s="709" t="e">
        <f>INDEX(事業費・管理費!C6:$T$10,MATCH(D7,事業費・管理費!$C$6:$C$10,0),MATCH(基本情報!$AA$4,事業費・管理費!$C$6:$T$6,0))</f>
        <v>#N/A</v>
      </c>
      <c r="I7" s="709" t="e">
        <f>F7-G7-H7</f>
        <v>#VALUE!</v>
      </c>
      <c r="J7" s="709" t="e">
        <f t="shared" si="2"/>
        <v>#VALUE!</v>
      </c>
      <c r="K7" s="709">
        <f t="shared" si="3"/>
        <v>0</v>
      </c>
      <c r="L7" s="710" t="e">
        <f t="shared" si="4"/>
        <v>#N/A</v>
      </c>
      <c r="N7" s="1089"/>
      <c r="O7" s="1089"/>
      <c r="P7" s="1089"/>
      <c r="T7" s="685">
        <v>1</v>
      </c>
      <c r="U7" s="918">
        <f>月途中入退所情報!D8</f>
        <v>0</v>
      </c>
      <c r="V7" s="918">
        <f>月途中入退所情報!H8</f>
        <v>0</v>
      </c>
      <c r="W7" s="918">
        <f>月途中入退所情報!G8</f>
        <v>0</v>
      </c>
      <c r="X7" s="945">
        <f>月途中入退所情報!I8</f>
        <v>0</v>
      </c>
      <c r="Y7" s="918">
        <f>月途中入退所情報!J8</f>
        <v>0</v>
      </c>
      <c r="Z7" s="975">
        <f>ROUNDDOWN((AA7+AE7+AH7+AL7+AR7+AT7+AV7+AZ7+BB7+BD7+BH7+BL7)*Y7/25,-1)</f>
        <v>0</v>
      </c>
      <c r="AA7" s="976" cm="1">
        <f t="array" ref="AA7">IFERROR(IF(OR($U7=2,$U7=3),
INDEX(単価表!$AY$64:$CC$71,MATCH($V7&amp;$W7,INDEX(単価表!$AY$64:$AY$71&amp;単価表!$AZ$64:$AZ$71,),),MATCH(内訳計算!AA$6,単価表!$AY$63:$CC$63,0)),
INDEX(単価表!$AY$64:$CC$71,MATCH($V7&amp;$W7,INDEX(単価表!$AY$64:$AY$71&amp;単価表!$AZ$64:$AZ$71,),),MATCH(内訳計算!AA$6,単価表!$AY$63:$CC$63,0))),0)</f>
        <v>0</v>
      </c>
      <c r="AB7" s="977" t="e">
        <f>Z7-SUM(AC7:AD7,AF7:AG7,AI7:AK7,AM7:AQ7,AS7,AU7,AW7:AY7,BA7,BC7,BE7:BG7,BI7:BK7,BM7:BO7)</f>
        <v>#VALUE!</v>
      </c>
      <c r="AC7" s="977" cm="1">
        <f t="array" ref="AC7">IFERROR(ROUNDDOWN(IF(OR($U7=2,$U7=3),
INDEX(単価表!$AY$64:$CC$71,MATCH($V7&amp;$W7,INDEX(単価表!$AY$64:$AY$71&amp;単価表!$AZ$64:$AZ$71,),),MATCH(内訳計算!AC$6,単価表!$AY$63:$CC$63,0)),
INDEX(単価表!$AY$64:$CC$71,MATCH($V7&amp;$W7,INDEX(単価表!$AY$64:$AY$71&amp;単価表!$AZ$64:$AZ$71,),),MATCH(内訳計算!AC$6,単価表!$AY$63:$CC$63,0)))*$Y7/25,0),0)</f>
        <v>0</v>
      </c>
      <c r="AD7" s="975" cm="1">
        <f t="array" ref="AD7">IFERROR(ROUNDDOWN(IF(OR($U7=2,$U7=3),
INDEX(単価表!$AY$64:$CC$71,MATCH($V7&amp;$W7,INDEX(単価表!$AY$64:$AY$71&amp;単価表!$AZ$64:$AZ$71,),),MATCH(内訳計算!AD$6,単価表!$AY$63:$CC$63,0)),
INDEX(単価表!$AY$64:$CC$71,MATCH($V7&amp;$W7,INDEX(単価表!$AY$64:$AY$71&amp;単価表!$AZ$64:$AZ$71,),),MATCH(内訳計算!AD$6,単価表!$AY$63:$CC$63,0)))*$Y7/25,0),0)</f>
        <v>0</v>
      </c>
      <c r="AE7" s="976" cm="1">
        <f t="array" ref="AE7">IFERROR(IF(OR($U7=2,$U7=3),
INDEX(単価表!$AY$64:$CC$71,MATCH($V7&amp;$W7,INDEX(単価表!$AY$64:$AY$71&amp;単価表!$AZ$64:$AZ$71,),),MATCH(内訳計算!AE$6,単価表!$AY$63:$CC$63,0)),
INDEX(単価表!$AY$64:$CC$71,MATCH($V7&amp;$W7,INDEX(単価表!$AY$64:$AY$71&amp;単価表!$AZ$64:$AZ$71,),),MATCH(内訳計算!AE$6,単価表!$AY$63:$CC$63,0))),0)</f>
        <v>0</v>
      </c>
      <c r="AF7" s="977" cm="1">
        <f t="array" ref="AF7">IFERROR(ROUNDDOWN(IF(OR($U7=2,$U7=3),
INDEX(単価表!$AY$64:$CC$71,MATCH($V7&amp;$W7,INDEX(単価表!$AY$64:$AY$71&amp;単価表!$AZ$64:$AZ$71,),),MATCH(内訳計算!AF$6,単価表!$AY$63:$CC$63,0)),
INDEX(単価表!$AY$64:$CC$71,MATCH($V7&amp;$W7,INDEX(単価表!$AY$64:$AY$71&amp;単価表!$AZ$64:$AZ$71,),),MATCH(内訳計算!AF$6,単価表!$AY$63:$CC$63,0)))*$Y7/25,0),0)</f>
        <v>0</v>
      </c>
      <c r="AG7" s="975" cm="1">
        <f t="array" ref="AG7">IFERROR(ROUNDDOWN(IF(OR($U7=2,$U7=3),
INDEX(単価表!$AY$64:$CC$71,MATCH($V7&amp;$W7,INDEX(単価表!$AY$64:$AY$71&amp;単価表!$AZ$64:$AZ$71,),),MATCH(内訳計算!AG$6,単価表!$AY$63:$CC$63,0)),
INDEX(単価表!$AY$64:$CC$71,MATCH($V7&amp;$W7,INDEX(単価表!$AY$64:$AY$71&amp;単価表!$AZ$64:$AZ$71,),),MATCH(内訳計算!AG$6,単価表!$AY$63:$CC$63,0)))*$Y7/25,0),0)</f>
        <v>0</v>
      </c>
      <c r="AH7" s="976" cm="1">
        <f t="array" ref="AH7">IFERROR(IF(HLOOKUP($U7,加算と減算!$E$4:$P$10,2,FALSE)="○",IF(OR($U7=2,$U7=3),
INDEX(単価表!$AY$64:$CC$71,MATCH($V7&amp;$W7,INDEX(単価表!$AY$64:$AY$71&amp;単価表!$AZ$64:$AZ$71,),),MATCH(内訳計算!AH$6,単価表!$AY$63:$CC$63,0)),
INDEX(単価表!$AY$64:$CC$71,MATCH($V7&amp;$W7,INDEX(単価表!$AY$64:$AY$71&amp;単価表!$AZ$64:$AZ$71,),),MATCH(内訳計算!AH$6,単価表!$AY$63:$CC$63,0))),0),0)</f>
        <v>0</v>
      </c>
      <c r="AI7" s="978" cm="1">
        <f t="array" ref="AI7">IFERROR(ROUNDDOWN(IF(HLOOKUP($U7,加算と減算!$E$4:$P$10,2,FALSE)="○",IF(OR($U7=2,$U7=3),
INDEX(単価表!$AY$64:$CC$71,MATCH($V7&amp;$W7,INDEX(単価表!$AY$64:$AY$71&amp;単価表!$AZ$64:$AZ$71,),),MATCH(内訳計算!AI$6,単価表!$AY$63:$CC$63,0)),
INDEX(単価表!$AY$64:$CC$71,MATCH($V7&amp;$W7,INDEX(単価表!$AY$64:$AY$71&amp;単価表!$AZ$64:$AZ$71,),),MATCH(内訳計算!AI$6,単価表!$AY$63:$CC$63,0))),0)*$Y7/25,0),0)</f>
        <v>0</v>
      </c>
      <c r="AJ7" s="977" cm="1">
        <f t="array" ref="AJ7">IFERROR(ROUNDDOWN(IF(HLOOKUP($U7,加算と減算!$E$4:$P$10,2,FALSE)="○",IF(OR($U7=2,$U7=3),
INDEX(単価表!$AY$64:$CC$71,MATCH($V7&amp;$W7,INDEX(単価表!$AY$64:$AY$71&amp;単価表!$AZ$64:$AZ$71,),),MATCH(内訳計算!AJ$6,単価表!$AY$63:$CC$63,0)),
INDEX(単価表!$AY$64:$CC$71,MATCH($V7&amp;$W7,INDEX(単価表!$AY$64:$AY$71&amp;単価表!$AZ$64:$AZ$71,),),MATCH(内訳計算!AJ$6,単価表!$AY$63:$CC$63,0))),0)*$Y7/25,0),0)</f>
        <v>0</v>
      </c>
      <c r="AK7" s="975" cm="1">
        <f t="array" ref="AK7">IFERROR(ROUNDDOWN(IF(HLOOKUP($U7,加算と減算!$E$4:$P$10,2,FALSE)="○",IF(OR($U7=2,$U7=3),
INDEX(単価表!$AY$64:$CC$71,MATCH($V7&amp;$W7,INDEX(単価表!$AY$64:$AY$71&amp;単価表!$AZ$64:$AZ$71,),),MATCH(内訳計算!AK$6,単価表!$AY$63:$CC$63,0)),
INDEX(単価表!$AY$64:$CC$71,MATCH($V7&amp;$W7,INDEX(単価表!$AY$64:$AY$71&amp;単価表!$AZ$64:$AZ$71,),),MATCH(内訳計算!AK$6,単価表!$AY$63:$CC$63,0))),0)*$Y7/25,0),0)</f>
        <v>0</v>
      </c>
      <c r="AL7" s="976" cm="1">
        <f t="array" ref="AL7">IFERROR(IF(HLOOKUP($U7,加算と減算!$E$4:$P$10,4,FALSE)="○",IF(OR($U7=2,$U7=3),
INDEX(単価表!$AY$64:$CC$71,MATCH($V7&amp;$W7,INDEX(単価表!$AY$64:$AY$71&amp;単価表!$AZ$64:$AZ$71,),),MATCH(内訳計算!AL$6,単価表!$AY$63:$CC$63,0)),
INDEX(単価表!$AY$64:$CC$71,MATCH($V7&amp;$W7,INDEX(単価表!$AY$64:$AY$71&amp;単価表!$AZ$64:$AZ$71,),),MATCH(内訳計算!AL$6,単価表!$AY$63:$CC$63,0))),0),0)</f>
        <v>0</v>
      </c>
      <c r="AM7" s="977" cm="1">
        <f t="array" ref="AM7">IFERROR(ROUNDDOWN(IF(HLOOKUP($U7,加算と減算!$E$4:$P$10,4,FALSE)="○",IF(OR($U7=2,$U7=3),
INDEX(単価表!$AY$64:$CC$71,MATCH($V7&amp;$W7,INDEX(単価表!$AY$64:$AY$71&amp;単価表!$AZ$64:$AZ$71,),),MATCH(内訳計算!AM$6,単価表!$AY$63:$CC$63,0)),
INDEX(単価表!$AY$64:$CC$71,MATCH($V7&amp;$W7,INDEX(単価表!$AY$64:$AY$71&amp;単価表!$AZ$64:$AZ$71,),),MATCH(内訳計算!AM$6,単価表!$AY$63:$CC$63,0))),0)*$Y7/25,0),0)</f>
        <v>0</v>
      </c>
      <c r="AN7" s="977" cm="1">
        <f t="array" ref="AN7">IFERROR(ROUNDDOWN(IF(HLOOKUP($U7,加算と減算!$E$4:$P$10,4,FALSE)="○",IF(OR($U7=2,$U7=3),
INDEX(単価表!$AY$64:$CC$71,MATCH($V7&amp;$W7,INDEX(単価表!$AY$64:$AY$71&amp;単価表!$AZ$64:$AZ$71,),),MATCH(内訳計算!AN$6,単価表!$AY$63:$CC$63,0)),
INDEX(単価表!$AY$64:$CC$71,MATCH($V7&amp;$W7,INDEX(単価表!$AY$64:$AY$71&amp;単価表!$AZ$64:$AZ$71,),),MATCH(内訳計算!AN$6,単価表!$AY$63:$CC$63,0))),0)*$Y7/25,0),0)</f>
        <v>0</v>
      </c>
      <c r="AO7" s="977" cm="1">
        <f t="array" ref="AO7">IFERROR(ROUNDDOWN(IF(HLOOKUP($U7,加算と減算!$E$4:$P$10,4,FALSE)="○",IF(OR($U7=2,$U7=3),
INDEX(単価表!$AY$64:$CC$71,MATCH($V7&amp;$W7,INDEX(単価表!$AY$64:$AY$71&amp;単価表!$AZ$64:$AZ$71,),),MATCH(内訳計算!AO$6,単価表!$AY$63:$CC$63,0)),
INDEX(単価表!$AY$64:$CC$71,MATCH($V7&amp;$W7,INDEX(単価表!$AY$64:$AY$71&amp;単価表!$AZ$64:$AZ$71,),),MATCH(内訳計算!AO$6,単価表!$AY$63:$CC$63,0))),0)*$Y7/25,0),0)</f>
        <v>0</v>
      </c>
      <c r="AP7" s="977" cm="1">
        <f t="array" ref="AP7">IFERROR(ROUNDDOWN(IF(HLOOKUP($U7,加算と減算!$E$4:$P$10,4,FALSE)="○",IF(OR($U7=2,$U7=3),
INDEX(単価表!$AY$64:$CC$71,MATCH($V7&amp;$W7,INDEX(単価表!$AY$64:$AY$71&amp;単価表!$AZ$64:$AZ$71,),),MATCH(内訳計算!AP$6,単価表!$AY$63:$CC$63,0)),
INDEX(単価表!$AY$64:$CC$71,MATCH($V7&amp;$W7,INDEX(単価表!$AY$64:$AY$71&amp;単価表!$AZ$64:$AZ$71,),),MATCH(内訳計算!AP$6,単価表!$AY$63:$CC$63,0))),0)*$Y7/25,0),0)</f>
        <v>0</v>
      </c>
      <c r="AQ7" s="975" cm="1">
        <f t="array" ref="AQ7">IFERROR(ROUNDDOWN(IF(HLOOKUP($U7,加算と減算!$E$4:$P$10,4,FALSE)="○",IF(OR($U7=2,$U7=3),
INDEX(単価表!$AY$64:$CC$71,MATCH($V7&amp;$W7,INDEX(単価表!$AY$64:$AY$71&amp;単価表!$AZ$64:$AZ$71,),),MATCH(内訳計算!AQ$6,単価表!$AY$63:$CC$63,0)),
INDEX(単価表!$AY$64:$CC$71,MATCH($V7&amp;$W7,INDEX(単価表!$AY$64:$AY$71&amp;単価表!$AZ$64:$AZ$71,),),MATCH(内訳計算!AQ$6,単価表!$AY$63:$CC$63,0))),0)*$Y7/25,0),0)</f>
        <v>0</v>
      </c>
      <c r="AR7" s="976" cm="1">
        <f t="array" ref="AR7">IFERROR(IF(HLOOKUP($U7,加算と減算!$E$4:$P$10,5,FALSE)="○",IF(OR($U7=2,$U7=3),
INDEX(単価表!$AY$64:$CC$71,MATCH($V7&amp;$W7,INDEX(単価表!$AY$64:$AY$71&amp;単価表!$AZ$64:$AZ$71,),),MATCH(内訳計算!AR$6,単価表!$AY$63:$CC$63,0)),
INDEX(単価表!$AY$64:$CC$71,MATCH($V7&amp;$W7,INDEX(単価表!$AY$64:$AY$71&amp;単価表!$AZ$64:$AZ$71,),),MATCH(内訳計算!AR$6,単価表!$AY$63:$CC$63,0))),0),0)</f>
        <v>0</v>
      </c>
      <c r="AS7" s="975" cm="1">
        <f t="array" ref="AS7">IFERROR(ROUNDDOWN(IF(HLOOKUP($U7,加算と減算!$E$4:$P$10,5,FALSE)="○",IF(OR($U7=2,$U7=3),
INDEX(単価表!$AY$64:$CC$71,MATCH($V7&amp;$W7,INDEX(単価表!$AY$64:$AY$71&amp;単価表!$AZ$64:$AZ$71,),),MATCH(内訳計算!AS$6,単価表!$AY$63:$CC$63,0)),
INDEX(単価表!$AY$64:$CC$71,MATCH($V7&amp;$W7,INDEX(単価表!$AY$64:$AY$71&amp;単価表!$AZ$64:$AZ$71,),),MATCH(内訳計算!AS$6,単価表!$AY$63:$CC$63,0))),0)*$Y7/25,0),0)</f>
        <v>0</v>
      </c>
      <c r="AT7" s="976" cm="1">
        <f t="array" ref="AT7">IFERROR(IF(HLOOKUP($U7,加算と減算!$E$4:$P$10,6,FALSE)="○",IF(OR($U7=2,$U7=3),
INDEX(単価表!$AY$64:$CC$71,MATCH($V7&amp;$W7,INDEX(単価表!$AY$64:$AY$71&amp;単価表!$AZ$64:$AZ$71,),),MATCH(内訳計算!AT$6,単価表!$AY$63:$CC$63,0)),
INDEX(単価表!$AY$64:$CC$71,MATCH($V7&amp;$W7,INDEX(単価表!$AY$64:$AY$71&amp;単価表!$AZ$64:$AZ$71,),),MATCH(内訳計算!AT$6,単価表!$AY$63:$CC$63,0))),0),0)</f>
        <v>0</v>
      </c>
      <c r="AU7" s="975" cm="1">
        <f t="array" ref="AU7">IFERROR(ROUNDDOWN(IF(HLOOKUP($U7,加算と減算!$E$4:$P$10,6,FALSE)="○",IF(OR($U7=2,$U7=3),
INDEX(単価表!$AY$64:$CC$71,MATCH($V7&amp;$W7,INDEX(単価表!$AY$64:$AY$71&amp;単価表!$AZ$64:$AZ$71,),),MATCH(内訳計算!AU$6,単価表!$AY$63:$CC$63,0)),
INDEX(単価表!$AY$64:$CC$71,MATCH($V7&amp;$W7,INDEX(単価表!$AY$64:$AY$71&amp;単価表!$AZ$64:$AZ$71,),),MATCH(内訳計算!AU$6,単価表!$AY$63:$CC$63,0))),0)*$Y7/25,0),0)</f>
        <v>0</v>
      </c>
      <c r="AV7" s="976" cm="1">
        <f t="array" ref="AV7">IFERROR(IF(HLOOKUP($U7,加算と減算!$E$4:$P$10,7,FALSE)="○",IF(OR($U7=2,$U7=3),
INDEX(単価表!$AY$64:$CC$71,MATCH($V7&amp;$W7,INDEX(単価表!$AY$64:$AY$71&amp;単価表!$AZ$64:$AZ$71,),),MATCH(内訳計算!AV$6,単価表!$AY$63:$CC$63,0)),
INDEX(単価表!$AY$64:$CC$71,MATCH($V7&amp;$W7,INDEX(単価表!$AY$64:$AY$71&amp;単価表!$AZ$64:$AZ$71,),),MATCH(内訳計算!AV$6,単価表!$AY$63:$CC$63,0))),0),0)</f>
        <v>0</v>
      </c>
      <c r="AW7" s="977" cm="1">
        <f t="array" ref="AW7">IFERROR(ROUNDDOWN(IF(HLOOKUP($U7,加算と減算!$E$4:$P$10,7,FALSE)="○",IF(OR($U7=2,$U7=3),
INDEX(単価表!$AY$64:$CC$71,MATCH($V7&amp;$W7,INDEX(単価表!$AY$64:$AY$71&amp;単価表!$AZ$64:$AZ$71,),),MATCH(内訳計算!AW$6,単価表!$AY$63:$CC$63,0)),
INDEX(単価表!$AY$64:$CC$71,MATCH($V7&amp;$W7,INDEX(単価表!$AY$64:$AY$71&amp;単価表!$AZ$64:$AZ$71,),),MATCH(内訳計算!AW$6,単価表!$AY$63:$CC$63,0))),0)*$Y7/25,0),0)</f>
        <v>0</v>
      </c>
      <c r="AX7" s="977" cm="1">
        <f t="array" ref="AX7">IFERROR(ROUNDDOWN(IF(HLOOKUP($U7,加算と減算!$E$4:$P$10,7,FALSE)="○",IF(OR($U7=2,$U7=3),
INDEX(単価表!$AY$64:$CC$71,MATCH($V7&amp;$W7,INDEX(単価表!$AY$64:$AY$71&amp;単価表!$AZ$64:$AZ$71,),),MATCH(内訳計算!AX$6,単価表!$AY$63:$CC$63,0)),
INDEX(単価表!$AY$64:$CC$71,MATCH($V7&amp;$W7,INDEX(単価表!$AY$64:$AY$71&amp;単価表!$AZ$64:$AZ$71,),),MATCH(内訳計算!AX$6,単価表!$AY$63:$CC$63,0))),0)*$Y7/25,0),0)</f>
        <v>0</v>
      </c>
      <c r="AY7" s="975" cm="1">
        <f t="array" ref="AY7">IFERROR(ROUNDDOWN(IF(HLOOKUP($U7,加算と減算!$E$4:$P$10,7,FALSE)="○",IF(OR($U7=2,$U7=3),
INDEX(単価表!$AY$64:$CC$71,MATCH($V7&amp;$W7,INDEX(単価表!$AY$64:$AY$71&amp;単価表!$AZ$64:$AZ$71,),),MATCH(内訳計算!AY$6,単価表!$AY$63:$CC$63,0)),
INDEX(単価表!$AY$64:$CC$71,MATCH($V7&amp;$W7,INDEX(単価表!$AY$64:$AY$71&amp;単価表!$AZ$64:$AZ$71,),),MATCH(内訳計算!AY$6,単価表!$AY$63:$CC$63,0))),0)*$Y7/25,0),0)</f>
        <v>0</v>
      </c>
      <c r="AZ7" s="976" cm="1">
        <f t="array" ref="AZ7">IFERROR(IF(X7="○",INDEX(単価表!$AY$64:$CC$71,MATCH($V7&amp;$W7,INDEX(単価表!$AY$64:$AY$71&amp;単価表!$AZ$64:$AZ$71,),),MATCH(内訳計算!AZ$6,単価表!$AY$63:$CC$63,0)),0),0)</f>
        <v>0</v>
      </c>
      <c r="BA7" s="975" cm="1">
        <f t="array" ref="BA7">IFERROR(ROUNDDOWN(INDEX(単価表!$AY$64:$CC$71,MATCH($V7&amp;$W7,INDEX(単価表!$AY$64:$AY$71&amp;単価表!$AZ$64:$AZ$71,),),MATCH(内訳計算!BA$6,単価表!$AY$63:$CC$63,0))*$Y7/25,0),0)</f>
        <v>0</v>
      </c>
      <c r="BB7" s="976" cm="1">
        <f t="array" ref="BB7">IFERROR(INDEX(単価表!$AY$64:$CC$71,MATCH($V7&amp;$W7,INDEX(単価表!$AY$64:$AY$71&amp;単価表!$AZ$64:$AZ$71,),),MATCH(内訳計算!BB$6,単価表!$AY$63:$CC$63,0)),0)</f>
        <v>0</v>
      </c>
      <c r="BC7" s="975" cm="1">
        <f t="array" ref="BC7">IFERROR(ROUNDDOWN(INDEX(単価表!$AY$64:$CC$71,MATCH($V7&amp;$W7,INDEX(単価表!$AY$64:$AY$71&amp;単価表!$AZ$64:$AZ$71,),),MATCH(内訳計算!BC$6,単価表!$AY$63:$CC$63,0))*$Y7/25,0),0)</f>
        <v>0</v>
      </c>
      <c r="BD7" s="979">
        <f>IFERROR(IF(HLOOKUP($U7,加算と減算!$E$31:$P$32,2,FALSE)="○",IF(OR($U7=2,$U7=3),-(単価表!$AZ$7+単価表!$BA$7*基本情報!$G$7),-(単価表!$AZ$7+単価表!$BA$7*基本情報!$G$7)),0),0)</f>
        <v>0</v>
      </c>
      <c r="BE7" s="980" t="e">
        <f>ROUNDDOWN($BD7*$Y7/25,0)-BF7-BG7</f>
        <v>#VALUE!</v>
      </c>
      <c r="BF7" s="980" t="e">
        <f>ROUNDDOWN($BD7*$Y7/25*$BF$6,0)</f>
        <v>#VALUE!</v>
      </c>
      <c r="BG7" s="981" t="e">
        <f>ROUNDDOWN($BD7*$Y7/25*$BG$6,0)</f>
        <v>#N/A</v>
      </c>
      <c r="BH7" s="982">
        <f>IFERROR(IF(基本情報!$E$12&lt;&gt;"",-ROUNDDOWN((AA7+AE7+AH7+AL7)*基本情報!$H$12/100,-1),0),0)</f>
        <v>0</v>
      </c>
      <c r="BI7" s="980" t="e">
        <f>ROUNDDOWN($BH7*$Y7/25,0)-BJ7-BK7</f>
        <v>#VALUE!</v>
      </c>
      <c r="BJ7" s="980" t="e">
        <f>ROUNDDOWN($BH7*$Y7/25*$BJ$6,0)</f>
        <v>#VALUE!</v>
      </c>
      <c r="BK7" s="983" t="e">
        <f>ROUNDDOWN($BH7*$Y7/25*$BK$6,0)</f>
        <v>#N/A</v>
      </c>
      <c r="BL7" s="984">
        <f>IFERROR(-ROUNDUP(SUM(AA7,AE7,AH7,AL7,AR7,AT7,AV7,BD7,BH7)*基本情報!$H$14/100,-1),0)</f>
        <v>0</v>
      </c>
      <c r="BM7" s="980" t="e">
        <f>ROUNDDOWN($BL7*$Y7/25,0)-BN7-BO7</f>
        <v>#VALUE!</v>
      </c>
      <c r="BN7" s="980" t="e">
        <f>ROUNDDOWN($BL7*$Y7/25*$BN$6,0)</f>
        <v>#VALUE!</v>
      </c>
      <c r="BO7" s="983" t="e">
        <f>ROUNDDOWN($BL7*$Y7/25*$BO$6,0)</f>
        <v>#N/A</v>
      </c>
      <c r="BP7" s="701"/>
      <c r="BQ7" s="701"/>
      <c r="BR7" s="701"/>
      <c r="BS7" s="701"/>
      <c r="BT7" s="721"/>
      <c r="BU7" s="1040" t="e">
        <f>AB7+AI7+AM7+AW7+BE7+BI7+BM7</f>
        <v>#VALUE!</v>
      </c>
      <c r="BV7" s="1041" t="e">
        <f>AC7+AN7+BA7+BF7+BJ7+BN7</f>
        <v>#VALUE!</v>
      </c>
      <c r="BW7" s="1041" t="e">
        <f>AD7+AO7+AS7+AU7+BC7+BG7+BK7+BO7</f>
        <v>#N/A</v>
      </c>
      <c r="BX7" s="1050">
        <f>AF7+AJ7+AP7+AX7</f>
        <v>0</v>
      </c>
      <c r="BY7" s="1042">
        <f>AG7+AK7+AQ7+AY7</f>
        <v>0</v>
      </c>
      <c r="CB7" s="1626"/>
      <c r="CC7" s="1598" t="s">
        <v>17</v>
      </c>
      <c r="CD7" s="1418"/>
      <c r="CE7" s="734" t="s">
        <v>169</v>
      </c>
      <c r="CF7" s="672" t="e">
        <f>'4月'!AQ6</f>
        <v>#VALUE!</v>
      </c>
      <c r="CG7" s="672" t="e">
        <f>'5月'!AQ6</f>
        <v>#VALUE!</v>
      </c>
      <c r="CH7" s="672" t="e">
        <f>'6月'!AQ6</f>
        <v>#VALUE!</v>
      </c>
      <c r="CI7" s="672" t="e">
        <f>'7月'!AQ6</f>
        <v>#VALUE!</v>
      </c>
      <c r="CJ7" s="672" t="e">
        <f>'8月'!AQ6</f>
        <v>#VALUE!</v>
      </c>
      <c r="CK7" s="672" t="e">
        <f>'9月'!AQ6</f>
        <v>#VALUE!</v>
      </c>
      <c r="CL7" s="672" t="e">
        <f>'10月'!AQ6</f>
        <v>#VALUE!</v>
      </c>
      <c r="CM7" s="672" t="e">
        <f>'11月'!AQ6</f>
        <v>#VALUE!</v>
      </c>
      <c r="CN7" s="672" t="e">
        <f>'12月'!AQ6</f>
        <v>#VALUE!</v>
      </c>
      <c r="CO7" s="672" t="e">
        <f>'1月'!AQ6</f>
        <v>#VALUE!</v>
      </c>
      <c r="CP7" s="672" t="e">
        <f>'2月'!AQ6</f>
        <v>#VALUE!</v>
      </c>
      <c r="CQ7" s="756" t="e">
        <f>'3月'!AQ6</f>
        <v>#VALUE!</v>
      </c>
      <c r="CR7" s="759" t="e">
        <f>SUM(CF7:CQ7)</f>
        <v>#VALUE!</v>
      </c>
      <c r="CS7" s="1598" t="s">
        <v>17</v>
      </c>
      <c r="CT7" s="1418"/>
      <c r="CU7" s="734" t="s">
        <v>169</v>
      </c>
      <c r="CV7" s="771" t="e">
        <f>J8+J14+J21+J27</f>
        <v>#VALUE!</v>
      </c>
      <c r="CW7" s="771">
        <f>K8+K14+K21+K27</f>
        <v>0</v>
      </c>
      <c r="CX7" s="771" t="e">
        <f>L8+L14+L21+L27</f>
        <v>#N/A</v>
      </c>
      <c r="CY7" s="954"/>
      <c r="CZ7" s="954"/>
      <c r="DA7" s="721"/>
      <c r="DB7" s="721"/>
    </row>
    <row r="8" spans="1:109" ht="16.149999999999999" customHeight="1" thickTop="1" thickBot="1">
      <c r="A8" s="1652"/>
      <c r="B8" s="1655"/>
      <c r="C8" s="1543"/>
      <c r="D8" s="711" t="s">
        <v>36</v>
      </c>
      <c r="E8" s="712">
        <f>SUM(E4:E7)</f>
        <v>0</v>
      </c>
      <c r="F8" s="714"/>
      <c r="G8" s="714"/>
      <c r="H8" s="714"/>
      <c r="I8" s="714"/>
      <c r="J8" s="712" t="e">
        <f>SUM(J4:J7)</f>
        <v>#VALUE!</v>
      </c>
      <c r="K8" s="712">
        <f t="shared" ref="K8:L8" si="5">SUM(K4:K7)</f>
        <v>0</v>
      </c>
      <c r="L8" s="713" t="e">
        <f t="shared" si="5"/>
        <v>#N/A</v>
      </c>
      <c r="M8" s="674"/>
      <c r="N8" s="1096"/>
      <c r="O8" s="1097"/>
      <c r="P8" s="1097"/>
      <c r="Q8" s="1098"/>
      <c r="R8" s="1098"/>
      <c r="T8" s="682">
        <v>2</v>
      </c>
      <c r="U8" s="918">
        <f>月途中入退所情報!D9</f>
        <v>0</v>
      </c>
      <c r="V8" s="918">
        <f>月途中入退所情報!H9</f>
        <v>0</v>
      </c>
      <c r="W8" s="918">
        <f>月途中入退所情報!G9</f>
        <v>0</v>
      </c>
      <c r="X8" s="945">
        <f>月途中入退所情報!I9</f>
        <v>0</v>
      </c>
      <c r="Y8" s="918">
        <f>月途中入退所情報!J9</f>
        <v>0</v>
      </c>
      <c r="Z8" s="840">
        <f t="shared" ref="Z8:Z26" si="6">ROUNDDOWN((AA8+AE8+AH8+AL8+AR8+AT8+AV8+AZ8+BB8+BD8+BH8+BL8)*Y8/25,-1)</f>
        <v>0</v>
      </c>
      <c r="AA8" s="976" cm="1">
        <f t="array" ref="AA8">IFERROR(IF(OR($U8=2,$U8=3),
INDEX(単価表!$AY$64:$CC$71,MATCH($V8&amp;$W8,INDEX(単価表!$AY$64:$AY$71&amp;単価表!$AZ$64:$AZ$71,),),MATCH(内訳計算!AA$6,単価表!$AY$63:$CC$63,0)),
INDEX(単価表!$AY$64:$CC$71,MATCH($V8&amp;$W8,INDEX(単価表!$AY$64:$AY$71&amp;単価表!$AZ$64:$AZ$71,),),MATCH(内訳計算!AA$6,単価表!$AY$63:$CC$63,0))),0)</f>
        <v>0</v>
      </c>
      <c r="AB8" s="977" t="e">
        <f t="shared" ref="AB8:AB26" si="7">Z8-SUM(AC8:AD8,AF8:AG8,AI8:AK8,AM8:AQ8,AS8,AU8,AW8:AY8,BA8,BC8,BE8:BG8,BI8:BK8,BM8:BO8)</f>
        <v>#VALUE!</v>
      </c>
      <c r="AC8" s="977" cm="1">
        <f t="array" ref="AC8">IFERROR(ROUNDDOWN(IF(OR($U8=2,$U8=3),
INDEX(単価表!$AY$64:$CC$71,MATCH($V8&amp;$W8,INDEX(単価表!$AY$64:$AY$71&amp;単価表!$AZ$64:$AZ$71,),),MATCH(内訳計算!AC$6,単価表!$AY$63:$CC$63,0)),
INDEX(単価表!$AY$64:$CC$71,MATCH($V8&amp;$W8,INDEX(単価表!$AY$64:$AY$71&amp;単価表!$AZ$64:$AZ$71,),),MATCH(内訳計算!AC$6,単価表!$AY$63:$CC$63,0)))*$Y8/25,0),0)</f>
        <v>0</v>
      </c>
      <c r="AD8" s="975" cm="1">
        <f t="array" ref="AD8">IFERROR(ROUNDDOWN(IF(OR($U8=2,$U8=3),
INDEX(単価表!$AY$64:$CC$71,MATCH($V8&amp;$W8,INDEX(単価表!$AY$64:$AY$71&amp;単価表!$AZ$64:$AZ$71,),),MATCH(内訳計算!AD$6,単価表!$AY$63:$CC$63,0)),
INDEX(単価表!$AY$64:$CC$71,MATCH($V8&amp;$W8,INDEX(単価表!$AY$64:$AY$71&amp;単価表!$AZ$64:$AZ$71,),),MATCH(内訳計算!AD$6,単価表!$AY$63:$CC$63,0)))*$Y8/25,0),0)</f>
        <v>0</v>
      </c>
      <c r="AE8" s="976" cm="1">
        <f t="array" ref="AE8">IFERROR(IF(OR($U8=2,$U8=3),
INDEX(単価表!$AY$64:$CC$71,MATCH($V8&amp;$W8,INDEX(単価表!$AY$64:$AY$71&amp;単価表!$AZ$64:$AZ$71,),),MATCH(内訳計算!AE$6,単価表!$AY$63:$CC$63,0)),
INDEX(単価表!$AY$64:$CC$71,MATCH($V8&amp;$W8,INDEX(単価表!$AY$64:$AY$71&amp;単価表!$AZ$64:$AZ$71,),),MATCH(内訳計算!AE$6,単価表!$AY$63:$CC$63,0))),0)</f>
        <v>0</v>
      </c>
      <c r="AF8" s="977" cm="1">
        <f t="array" ref="AF8">IFERROR(ROUNDDOWN(IF(OR($U8=2,$U8=3),
INDEX(単価表!$AY$64:$CC$71,MATCH($V8&amp;$W8,INDEX(単価表!$AY$64:$AY$71&amp;単価表!$AZ$64:$AZ$71,),),MATCH(内訳計算!AF$6,単価表!$AY$63:$CC$63,0)),
INDEX(単価表!$AY$64:$CC$71,MATCH($V8&amp;$W8,INDEX(単価表!$AY$64:$AY$71&amp;単価表!$AZ$64:$AZ$71,),),MATCH(内訳計算!AF$6,単価表!$AY$63:$CC$63,0)))*$Y8/25,0),0)</f>
        <v>0</v>
      </c>
      <c r="AG8" s="975" cm="1">
        <f t="array" ref="AG8">IFERROR(ROUNDDOWN(IF(OR($U8=2,$U8=3),
INDEX(単価表!$AY$64:$CC$71,MATCH($V8&amp;$W8,INDEX(単価表!$AY$64:$AY$71&amp;単価表!$AZ$64:$AZ$71,),),MATCH(内訳計算!AG$6,単価表!$AY$63:$CC$63,0)),
INDEX(単価表!$AY$64:$CC$71,MATCH($V8&amp;$W8,INDEX(単価表!$AY$64:$AY$71&amp;単価表!$AZ$64:$AZ$71,),),MATCH(内訳計算!AG$6,単価表!$AY$63:$CC$63,0)))*$Y8/25,0),0)</f>
        <v>0</v>
      </c>
      <c r="AH8" s="976" cm="1">
        <f t="array" ref="AH8">IFERROR(IF(HLOOKUP($U8,加算と減算!$E$4:$P$10,2,FALSE)="○",IF(OR($U8=2,$U8=3),
INDEX(単価表!$AY$64:$CC$71,MATCH($V8&amp;$W8,INDEX(単価表!$AY$64:$AY$71&amp;単価表!$AZ$64:$AZ$71,),),MATCH(内訳計算!AH$6,単価表!$AY$63:$CC$63,0)),
INDEX(単価表!$AY$64:$CC$71,MATCH($V8&amp;$W8,INDEX(単価表!$AY$64:$AY$71&amp;単価表!$AZ$64:$AZ$71,),),MATCH(内訳計算!AH$6,単価表!$AY$63:$CC$63,0))),0),0)</f>
        <v>0</v>
      </c>
      <c r="AI8" s="978" cm="1">
        <f t="array" ref="AI8">IFERROR(ROUNDDOWN(IF(HLOOKUP($U8,加算と減算!$E$4:$P$10,2,FALSE)="○",IF(OR($U8=2,$U8=3),
INDEX(単価表!$AY$64:$CC$71,MATCH($V8&amp;$W8,INDEX(単価表!$AY$64:$AY$71&amp;単価表!$AZ$64:$AZ$71,),),MATCH(内訳計算!AI$6,単価表!$AY$63:$CC$63,0)),
INDEX(単価表!$AY$64:$CC$71,MATCH($V8&amp;$W8,INDEX(単価表!$AY$64:$AY$71&amp;単価表!$AZ$64:$AZ$71,),),MATCH(内訳計算!AI$6,単価表!$AY$63:$CC$63,0))),0)*$Y8/25,0),0)</f>
        <v>0</v>
      </c>
      <c r="AJ8" s="977" cm="1">
        <f t="array" ref="AJ8">IFERROR(ROUNDDOWN(IF(HLOOKUP($U8,加算と減算!$E$4:$P$10,2,FALSE)="○",IF(OR($U8=2,$U8=3),
INDEX(単価表!$AY$64:$CC$71,MATCH($V8&amp;$W8,INDEX(単価表!$AY$64:$AY$71&amp;単価表!$AZ$64:$AZ$71,),),MATCH(内訳計算!AJ$6,単価表!$AY$63:$CC$63,0)),
INDEX(単価表!$AY$64:$CC$71,MATCH($V8&amp;$W8,INDEX(単価表!$AY$64:$AY$71&amp;単価表!$AZ$64:$AZ$71,),),MATCH(内訳計算!AJ$6,単価表!$AY$63:$CC$63,0))),0)*$Y8/25,0),0)</f>
        <v>0</v>
      </c>
      <c r="AK8" s="975" cm="1">
        <f t="array" ref="AK8">IFERROR(ROUNDDOWN(IF(HLOOKUP($U8,加算と減算!$E$4:$P$10,2,FALSE)="○",IF(OR($U8=2,$U8=3),
INDEX(単価表!$AY$64:$CC$71,MATCH($V8&amp;$W8,INDEX(単価表!$AY$64:$AY$71&amp;単価表!$AZ$64:$AZ$71,),),MATCH(内訳計算!AK$6,単価表!$AY$63:$CC$63,0)),
INDEX(単価表!$AY$64:$CC$71,MATCH($V8&amp;$W8,INDEX(単価表!$AY$64:$AY$71&amp;単価表!$AZ$64:$AZ$71,),),MATCH(内訳計算!AK$6,単価表!$AY$63:$CC$63,0))),0)*$Y8/25,0),0)</f>
        <v>0</v>
      </c>
      <c r="AL8" s="976" cm="1">
        <f t="array" ref="AL8">IFERROR(IF(HLOOKUP($U8,加算と減算!$E$4:$P$10,4,FALSE)="○",IF(OR($U8=2,$U8=3),
INDEX(単価表!$AY$64:$CC$71,MATCH($V8&amp;$W8,INDEX(単価表!$AY$64:$AY$71&amp;単価表!$AZ$64:$AZ$71,),),MATCH(内訳計算!AL$6,単価表!$AY$63:$CC$63,0)),
INDEX(単価表!$AY$64:$CC$71,MATCH($V8&amp;$W8,INDEX(単価表!$AY$64:$AY$71&amp;単価表!$AZ$64:$AZ$71,),),MATCH(内訳計算!AL$6,単価表!$AY$63:$CC$63,0))),0),0)</f>
        <v>0</v>
      </c>
      <c r="AM8" s="977" cm="1">
        <f t="array" ref="AM8">IFERROR(ROUNDDOWN(IF(HLOOKUP($U8,加算と減算!$E$4:$P$10,4,FALSE)="○",IF(OR($U8=2,$U8=3),
INDEX(単価表!$AY$64:$CC$71,MATCH($V8&amp;$W8,INDEX(単価表!$AY$64:$AY$71&amp;単価表!$AZ$64:$AZ$71,),),MATCH(内訳計算!AM$6,単価表!$AY$63:$CC$63,0)),
INDEX(単価表!$AY$64:$CC$71,MATCH($V8&amp;$W8,INDEX(単価表!$AY$64:$AY$71&amp;単価表!$AZ$64:$AZ$71,),),MATCH(内訳計算!AM$6,単価表!$AY$63:$CC$63,0))),0)*$Y8/25,0),0)</f>
        <v>0</v>
      </c>
      <c r="AN8" s="977" cm="1">
        <f t="array" ref="AN8">IFERROR(ROUNDDOWN(IF(HLOOKUP($U8,加算と減算!$E$4:$P$10,4,FALSE)="○",IF(OR($U8=2,$U8=3),
INDEX(単価表!$AY$64:$CC$71,MATCH($V8&amp;$W8,INDEX(単価表!$AY$64:$AY$71&amp;単価表!$AZ$64:$AZ$71,),),MATCH(内訳計算!AN$6,単価表!$AY$63:$CC$63,0)),
INDEX(単価表!$AY$64:$CC$71,MATCH($V8&amp;$W8,INDEX(単価表!$AY$64:$AY$71&amp;単価表!$AZ$64:$AZ$71,),),MATCH(内訳計算!AN$6,単価表!$AY$63:$CC$63,0))),0)*$Y8/25,0),0)</f>
        <v>0</v>
      </c>
      <c r="AO8" s="977" cm="1">
        <f t="array" ref="AO8">IFERROR(ROUNDDOWN(IF(HLOOKUP($U8,加算と減算!$E$4:$P$10,4,FALSE)="○",IF(OR($U8=2,$U8=3),
INDEX(単価表!$AY$64:$CC$71,MATCH($V8&amp;$W8,INDEX(単価表!$AY$64:$AY$71&amp;単価表!$AZ$64:$AZ$71,),),MATCH(内訳計算!AO$6,単価表!$AY$63:$CC$63,0)),
INDEX(単価表!$AY$64:$CC$71,MATCH($V8&amp;$W8,INDEX(単価表!$AY$64:$AY$71&amp;単価表!$AZ$64:$AZ$71,),),MATCH(内訳計算!AO$6,単価表!$AY$63:$CC$63,0))),0)*$Y8/25,0),0)</f>
        <v>0</v>
      </c>
      <c r="AP8" s="977" cm="1">
        <f t="array" ref="AP8">IFERROR(ROUNDDOWN(IF(HLOOKUP($U8,加算と減算!$E$4:$P$10,4,FALSE)="○",IF(OR($U8=2,$U8=3),
INDEX(単価表!$AY$64:$CC$71,MATCH($V8&amp;$W8,INDEX(単価表!$AY$64:$AY$71&amp;単価表!$AZ$64:$AZ$71,),),MATCH(内訳計算!AP$6,単価表!$AY$63:$CC$63,0)),
INDEX(単価表!$AY$64:$CC$71,MATCH($V8&amp;$W8,INDEX(単価表!$AY$64:$AY$71&amp;単価表!$AZ$64:$AZ$71,),),MATCH(内訳計算!AP$6,単価表!$AY$63:$CC$63,0))),0)*$Y8/25,0),0)</f>
        <v>0</v>
      </c>
      <c r="AQ8" s="975" cm="1">
        <f t="array" ref="AQ8">IFERROR(ROUNDDOWN(IF(HLOOKUP($U8,加算と減算!$E$4:$P$10,4,FALSE)="○",IF(OR($U8=2,$U8=3),
INDEX(単価表!$AY$64:$CC$71,MATCH($V8&amp;$W8,INDEX(単価表!$AY$64:$AY$71&amp;単価表!$AZ$64:$AZ$71,),),MATCH(内訳計算!AQ$6,単価表!$AY$63:$CC$63,0)),
INDEX(単価表!$AY$64:$CC$71,MATCH($V8&amp;$W8,INDEX(単価表!$AY$64:$AY$71&amp;単価表!$AZ$64:$AZ$71,),),MATCH(内訳計算!AQ$6,単価表!$AY$63:$CC$63,0))),0)*$Y8/25,0),0)</f>
        <v>0</v>
      </c>
      <c r="AR8" s="976" cm="1">
        <f t="array" ref="AR8">IFERROR(IF(HLOOKUP($U8,加算と減算!$E$4:$P$10,5,FALSE)="○",IF(OR($U8=2,$U8=3),
INDEX(単価表!$AY$64:$CC$71,MATCH($V8&amp;$W8,INDEX(単価表!$AY$64:$AY$71&amp;単価表!$AZ$64:$AZ$71,),),MATCH(内訳計算!AR$6,単価表!$AY$63:$CC$63,0)),
INDEX(単価表!$AY$64:$CC$71,MATCH($V8&amp;$W8,INDEX(単価表!$AY$64:$AY$71&amp;単価表!$AZ$64:$AZ$71,),),MATCH(内訳計算!AR$6,単価表!$AY$63:$CC$63,0))),0),0)</f>
        <v>0</v>
      </c>
      <c r="AS8" s="975" cm="1">
        <f t="array" ref="AS8">IFERROR(ROUNDDOWN(IF(HLOOKUP($U8,加算と減算!$E$4:$P$10,5,FALSE)="○",IF(OR($U8=2,$U8=3),
INDEX(単価表!$AY$64:$CC$71,MATCH($V8&amp;$W8,INDEX(単価表!$AY$64:$AY$71&amp;単価表!$AZ$64:$AZ$71,),),MATCH(内訳計算!AS$6,単価表!$AY$63:$CC$63,0)),
INDEX(単価表!$AY$64:$CC$71,MATCH($V8&amp;$W8,INDEX(単価表!$AY$64:$AY$71&amp;単価表!$AZ$64:$AZ$71,),),MATCH(内訳計算!AS$6,単価表!$AY$63:$CC$63,0))),0)*$Y8/25,0),0)</f>
        <v>0</v>
      </c>
      <c r="AT8" s="976" cm="1">
        <f t="array" ref="AT8">IFERROR(IF(HLOOKUP($U8,加算と減算!$E$4:$P$10,6,FALSE)="○",IF(OR($U8=2,$U8=3),
INDEX(単価表!$AY$64:$CC$71,MATCH($V8&amp;$W8,INDEX(単価表!$AY$64:$AY$71&amp;単価表!$AZ$64:$AZ$71,),),MATCH(内訳計算!AT$6,単価表!$AY$63:$CC$63,0)),
INDEX(単価表!$AY$64:$CC$71,MATCH($V8&amp;$W8,INDEX(単価表!$AY$64:$AY$71&amp;単価表!$AZ$64:$AZ$71,),),MATCH(内訳計算!AT$6,単価表!$AY$63:$CC$63,0))),0),0)</f>
        <v>0</v>
      </c>
      <c r="AU8" s="975" cm="1">
        <f t="array" ref="AU8">IFERROR(ROUNDDOWN(IF(HLOOKUP($U8,加算と減算!$E$4:$P$10,6,FALSE)="○",IF(OR($U8=2,$U8=3),
INDEX(単価表!$AY$64:$CC$71,MATCH($V8&amp;$W8,INDEX(単価表!$AY$64:$AY$71&amp;単価表!$AZ$64:$AZ$71,),),MATCH(内訳計算!AU$6,単価表!$AY$63:$CC$63,0)),
INDEX(単価表!$AY$64:$CC$71,MATCH($V8&amp;$W8,INDEX(単価表!$AY$64:$AY$71&amp;単価表!$AZ$64:$AZ$71,),),MATCH(内訳計算!AU$6,単価表!$AY$63:$CC$63,0))),0)*$Y8/25,0),0)</f>
        <v>0</v>
      </c>
      <c r="AV8" s="976" cm="1">
        <f t="array" ref="AV8">IFERROR(IF(HLOOKUP($U8,加算と減算!$E$4:$P$10,7,FALSE)="○",IF(OR($U8=2,$U8=3),
INDEX(単価表!$AY$64:$CC$71,MATCH($V8&amp;$W8,INDEX(単価表!$AY$64:$AY$71&amp;単価表!$AZ$64:$AZ$71,),),MATCH(内訳計算!AV$6,単価表!$AY$63:$CC$63,0)),
INDEX(単価表!$AY$64:$CC$71,MATCH($V8&amp;$W8,INDEX(単価表!$AY$64:$AY$71&amp;単価表!$AZ$64:$AZ$71,),),MATCH(内訳計算!AV$6,単価表!$AY$63:$CC$63,0))),0),0)</f>
        <v>0</v>
      </c>
      <c r="AW8" s="977" cm="1">
        <f t="array" ref="AW8">IFERROR(ROUNDDOWN(IF(HLOOKUP($U8,加算と減算!$E$4:$P$10,7,FALSE)="○",IF(OR($U8=2,$U8=3),
INDEX(単価表!$AY$64:$CC$71,MATCH($V8&amp;$W8,INDEX(単価表!$AY$64:$AY$71&amp;単価表!$AZ$64:$AZ$71,),),MATCH(内訳計算!AW$6,単価表!$AY$63:$CC$63,0)),
INDEX(単価表!$AY$64:$CC$71,MATCH($V8&amp;$W8,INDEX(単価表!$AY$64:$AY$71&amp;単価表!$AZ$64:$AZ$71,),),MATCH(内訳計算!AW$6,単価表!$AY$63:$CC$63,0))),0)*$Y8/25,0),0)</f>
        <v>0</v>
      </c>
      <c r="AX8" s="977" cm="1">
        <f t="array" ref="AX8">IFERROR(ROUNDDOWN(IF(HLOOKUP($U8,加算と減算!$E$4:$P$10,7,FALSE)="○",IF(OR($U8=2,$U8=3),
INDEX(単価表!$AY$64:$CC$71,MATCH($V8&amp;$W8,INDEX(単価表!$AY$64:$AY$71&amp;単価表!$AZ$64:$AZ$71,),),MATCH(内訳計算!AX$6,単価表!$AY$63:$CC$63,0)),
INDEX(単価表!$AY$64:$CC$71,MATCH($V8&amp;$W8,INDEX(単価表!$AY$64:$AY$71&amp;単価表!$AZ$64:$AZ$71,),),MATCH(内訳計算!AX$6,単価表!$AY$63:$CC$63,0))),0)*$Y8/25,0),0)</f>
        <v>0</v>
      </c>
      <c r="AY8" s="975" cm="1">
        <f t="array" ref="AY8">IFERROR(ROUNDDOWN(IF(HLOOKUP($U8,加算と減算!$E$4:$P$10,7,FALSE)="○",IF(OR($U8=2,$U8=3),
INDEX(単価表!$AY$64:$CC$71,MATCH($V8&amp;$W8,INDEX(単価表!$AY$64:$AY$71&amp;単価表!$AZ$64:$AZ$71,),),MATCH(内訳計算!AY$6,単価表!$AY$63:$CC$63,0)),
INDEX(単価表!$AY$64:$CC$71,MATCH($V8&amp;$W8,INDEX(単価表!$AY$64:$AY$71&amp;単価表!$AZ$64:$AZ$71,),),MATCH(内訳計算!AY$6,単価表!$AY$63:$CC$63,0))),0)*$Y8/25,0),0)</f>
        <v>0</v>
      </c>
      <c r="AZ8" s="976" cm="1">
        <f t="array" ref="AZ8">IFERROR(IF(X8="○",INDEX(単価表!$AY$64:$CC$71,MATCH($V8&amp;$W8,INDEX(単価表!$AY$64:$AY$71&amp;単価表!$AZ$64:$AZ$71,),),MATCH(内訳計算!AZ$6,単価表!$AY$63:$CC$63,0)),0),0)</f>
        <v>0</v>
      </c>
      <c r="BA8" s="975" cm="1">
        <f t="array" ref="BA8">IFERROR(ROUNDDOWN(INDEX(単価表!$AY$64:$CC$71,MATCH($V8&amp;$W8,INDEX(単価表!$AY$64:$AY$71&amp;単価表!$AZ$64:$AZ$71,),),MATCH(内訳計算!BA$6,単価表!$AY$63:$CC$63,0))*$Y8/25,0),0)</f>
        <v>0</v>
      </c>
      <c r="BB8" s="976" cm="1">
        <f t="array" ref="BB8">IFERROR(INDEX(単価表!$AY$64:$CC$71,MATCH($V8&amp;$W8,INDEX(単価表!$AY$64:$AY$71&amp;単価表!$AZ$64:$AZ$71,),),MATCH(内訳計算!BB$6,単価表!$AY$63:$CC$63,0)),0)</f>
        <v>0</v>
      </c>
      <c r="BC8" s="975" cm="1">
        <f t="array" ref="BC8">IFERROR(ROUNDDOWN(INDEX(単価表!$AY$64:$CC$71,MATCH($V8&amp;$W8,INDEX(単価表!$AY$64:$AY$71&amp;単価表!$AZ$64:$AZ$71,),),MATCH(内訳計算!BC$6,単価表!$AY$63:$CC$63,0))*$Y8/25,0),0)</f>
        <v>0</v>
      </c>
      <c r="BD8" s="985">
        <f>IFERROR(IF(HLOOKUP($U8,加算と減算!$E$31:$P$32,2,FALSE)="○",IF(OR($U8=2,$U8=3),-(単価表!$AZ$7+単価表!$BA$7*基本情報!$G$7),-(単価表!$AZ$7+単価表!$BA$7*基本情報!$G$7)),0),0)</f>
        <v>0</v>
      </c>
      <c r="BE8" s="986" t="e">
        <f t="shared" ref="BE8:BE26" si="8">ROUNDDOWN($BD8*$Y8/25,0)-BF8-BG8</f>
        <v>#VALUE!</v>
      </c>
      <c r="BF8" s="986" t="e">
        <f t="shared" ref="BF8:BF26" si="9">ROUNDDOWN($BD8*$Y8/25*$BF$6,0)</f>
        <v>#VALUE!</v>
      </c>
      <c r="BG8" s="987" t="e">
        <f t="shared" ref="BG8:BG26" si="10">ROUNDDOWN($BD8*$Y8/25*$BG$6,0)</f>
        <v>#N/A</v>
      </c>
      <c r="BH8" s="988">
        <f>IFERROR(IF(基本情報!$E$12&lt;&gt;"",-ROUNDDOWN((AA8+AE8+AH8+AL8)*基本情報!$H$12/100,-1),0),0)</f>
        <v>0</v>
      </c>
      <c r="BI8" s="986" t="e">
        <f t="shared" ref="BI8:BI26" si="11">ROUNDDOWN($BH8*$Y8/25,0)-BJ8-BK8</f>
        <v>#VALUE!</v>
      </c>
      <c r="BJ8" s="986" t="e">
        <f t="shared" ref="BJ8:BJ26" si="12">ROUNDDOWN($BH8*$Y8/25*$BJ$6,0)</f>
        <v>#VALUE!</v>
      </c>
      <c r="BK8" s="989" t="e">
        <f t="shared" ref="BK8:BK26" si="13">ROUNDDOWN($BH8*$Y8/25*$BK$6,0)</f>
        <v>#N/A</v>
      </c>
      <c r="BL8" s="990">
        <f>IFERROR(-ROUNDUP(SUM(AA8,AE8,AH8,AL8,AR8,AT8,AV8,BD8,BH8)*基本情報!$H$14/100,-1),0)</f>
        <v>0</v>
      </c>
      <c r="BM8" s="991" t="e">
        <f t="shared" ref="BM8:BM26" si="14">ROUNDDOWN($BL8*$Y8/25,0)-BN8-BO8</f>
        <v>#VALUE!</v>
      </c>
      <c r="BN8" s="991" t="e">
        <f t="shared" ref="BN8:BN26" si="15">ROUNDDOWN($BL8*$Y8/25*$BN$6,0)</f>
        <v>#VALUE!</v>
      </c>
      <c r="BO8" s="992" t="e">
        <f t="shared" ref="BO8:BO26" si="16">ROUNDDOWN($BL8*$Y8/25*$BO$6,0)</f>
        <v>#N/A</v>
      </c>
      <c r="BP8" s="701"/>
      <c r="BQ8" s="701"/>
      <c r="BR8" s="701"/>
      <c r="BS8" s="701"/>
      <c r="BT8" s="721"/>
      <c r="BU8" s="1043" t="e">
        <f t="shared" ref="BU8:BU26" si="17">AB8+AI8+AM8+AW8+BE8+BI8+BM8</f>
        <v>#VALUE!</v>
      </c>
      <c r="BV8" s="1044" t="e">
        <f t="shared" ref="BV8:BV26" si="18">AC8+AN8+BA8+BF8+BJ8+BN8</f>
        <v>#VALUE!</v>
      </c>
      <c r="BW8" s="1044" t="e">
        <f t="shared" ref="BW8:BW26" si="19">AD8+AO8+AS8+AU8+BC8+BG8+BK8+BO8</f>
        <v>#N/A</v>
      </c>
      <c r="BX8" s="1051">
        <f t="shared" ref="BX8:BX26" si="20">AF8+AJ8+AP8+AX8</f>
        <v>0</v>
      </c>
      <c r="BY8" s="1045">
        <f t="shared" ref="BY8:BY26" si="21">AG8+AK8+AQ8+AY8</f>
        <v>0</v>
      </c>
      <c r="CB8" s="1626"/>
      <c r="CC8" s="1598"/>
      <c r="CD8" s="1418"/>
      <c r="CE8" s="734" t="s">
        <v>167</v>
      </c>
      <c r="CF8" s="672" t="e">
        <f>'4月'!AQ7</f>
        <v>#VALUE!</v>
      </c>
      <c r="CG8" s="672" t="e">
        <f>'5月'!AQ7</f>
        <v>#VALUE!</v>
      </c>
      <c r="CH8" s="672" t="e">
        <f>'6月'!AQ7</f>
        <v>#VALUE!</v>
      </c>
      <c r="CI8" s="672" t="e">
        <f>'7月'!AQ7</f>
        <v>#VALUE!</v>
      </c>
      <c r="CJ8" s="672" t="e">
        <f>'8月'!AQ7</f>
        <v>#VALUE!</v>
      </c>
      <c r="CK8" s="672" t="e">
        <f>'9月'!AQ7</f>
        <v>#VALUE!</v>
      </c>
      <c r="CL8" s="672" t="e">
        <f>'10月'!AQ7</f>
        <v>#VALUE!</v>
      </c>
      <c r="CM8" s="672" t="e">
        <f>'11月'!AQ7</f>
        <v>#VALUE!</v>
      </c>
      <c r="CN8" s="672" t="e">
        <f>'12月'!AQ7</f>
        <v>#VALUE!</v>
      </c>
      <c r="CO8" s="672" t="e">
        <f>'1月'!AQ7</f>
        <v>#VALUE!</v>
      </c>
      <c r="CP8" s="672" t="e">
        <f>'2月'!AQ7</f>
        <v>#VALUE!</v>
      </c>
      <c r="CQ8" s="756" t="e">
        <f>'3月'!AQ7</f>
        <v>#VALUE!</v>
      </c>
      <c r="CR8" s="759" t="e">
        <f t="shared" ref="CR8:CR55" si="22">SUM(CF8:CQ8)</f>
        <v>#VALUE!</v>
      </c>
      <c r="CS8" s="1598"/>
      <c r="CT8" s="1418"/>
      <c r="CU8" s="957" t="s">
        <v>167</v>
      </c>
      <c r="CV8" s="954"/>
      <c r="CW8" s="776"/>
      <c r="CX8" s="954"/>
      <c r="CY8" s="1055" t="e">
        <f>CR8-CZ8</f>
        <v>#VALUE!</v>
      </c>
      <c r="CZ8" s="1055" t="e">
        <f>ROUNDDOWN(CR8*$CW$3/$CU$1,-1)</f>
        <v>#VALUE!</v>
      </c>
      <c r="DA8" s="721"/>
      <c r="DB8" s="721"/>
    </row>
    <row r="9" spans="1:109" s="666" customFormat="1" ht="16.149999999999999" customHeight="1">
      <c r="A9" s="1652"/>
      <c r="B9" s="1655"/>
      <c r="C9" s="1527"/>
      <c r="D9" s="1528"/>
      <c r="E9" s="697" t="s">
        <v>535</v>
      </c>
      <c r="F9" s="697" t="s">
        <v>71</v>
      </c>
      <c r="G9" s="697" t="s">
        <v>536</v>
      </c>
      <c r="H9" s="697" t="s">
        <v>537</v>
      </c>
      <c r="I9" s="697" t="s">
        <v>538</v>
      </c>
      <c r="J9" s="703" t="s">
        <v>539</v>
      </c>
      <c r="K9" s="704" t="s">
        <v>540</v>
      </c>
      <c r="L9" s="705" t="s">
        <v>541</v>
      </c>
      <c r="N9" s="1097"/>
      <c r="O9" s="1099"/>
      <c r="P9" s="1100"/>
      <c r="Q9" s="1101"/>
      <c r="R9" s="1098"/>
      <c r="T9" s="682">
        <v>3</v>
      </c>
      <c r="U9" s="918">
        <f>月途中入退所情報!D10</f>
        <v>0</v>
      </c>
      <c r="V9" s="918">
        <f>月途中入退所情報!H10</f>
        <v>0</v>
      </c>
      <c r="W9" s="918">
        <f>月途中入退所情報!G10</f>
        <v>0</v>
      </c>
      <c r="X9" s="945">
        <f>月途中入退所情報!I10</f>
        <v>0</v>
      </c>
      <c r="Y9" s="918">
        <f>月途中入退所情報!J10</f>
        <v>0</v>
      </c>
      <c r="Z9" s="840">
        <f t="shared" si="6"/>
        <v>0</v>
      </c>
      <c r="AA9" s="976" cm="1">
        <f t="array" ref="AA9">IFERROR(IF(OR($U9=2,$U9=3),
INDEX(単価表!$AY$64:$CC$71,MATCH($V9&amp;$W9,INDEX(単価表!$AY$64:$AY$71&amp;単価表!$AZ$64:$AZ$71,),),MATCH(内訳計算!AA$6,単価表!$AY$63:$CC$63,0)),
INDEX(単価表!$AY$64:$CC$71,MATCH($V9&amp;$W9,INDEX(単価表!$AY$64:$AY$71&amp;単価表!$AZ$64:$AZ$71,),),MATCH(内訳計算!AA$6,単価表!$AY$63:$CC$63,0))),0)</f>
        <v>0</v>
      </c>
      <c r="AB9" s="977" t="e">
        <f t="shared" si="7"/>
        <v>#VALUE!</v>
      </c>
      <c r="AC9" s="977" cm="1">
        <f t="array" ref="AC9">IFERROR(ROUNDDOWN(IF(OR($U9=2,$U9=3),
INDEX(単価表!$AY$64:$CC$71,MATCH($V9&amp;$W9,INDEX(単価表!$AY$64:$AY$71&amp;単価表!$AZ$64:$AZ$71,),),MATCH(内訳計算!AC$6,単価表!$AY$63:$CC$63,0)),
INDEX(単価表!$AY$64:$CC$71,MATCH($V9&amp;$W9,INDEX(単価表!$AY$64:$AY$71&amp;単価表!$AZ$64:$AZ$71,),),MATCH(内訳計算!AC$6,単価表!$AY$63:$CC$63,0)))*$Y9/25,0),0)</f>
        <v>0</v>
      </c>
      <c r="AD9" s="975" cm="1">
        <f t="array" ref="AD9">IFERROR(ROUNDDOWN(IF(OR($U9=2,$U9=3),
INDEX(単価表!$AY$64:$CC$71,MATCH($V9&amp;$W9,INDEX(単価表!$AY$64:$AY$71&amp;単価表!$AZ$64:$AZ$71,),),MATCH(内訳計算!AD$6,単価表!$AY$63:$CC$63,0)),
INDEX(単価表!$AY$64:$CC$71,MATCH($V9&amp;$W9,INDEX(単価表!$AY$64:$AY$71&amp;単価表!$AZ$64:$AZ$71,),),MATCH(内訳計算!AD$6,単価表!$AY$63:$CC$63,0)))*$Y9/25,0),0)</f>
        <v>0</v>
      </c>
      <c r="AE9" s="976" cm="1">
        <f t="array" ref="AE9">IFERROR(IF(OR($U9=2,$U9=3),
INDEX(単価表!$AY$64:$CC$71,MATCH($V9&amp;$W9,INDEX(単価表!$AY$64:$AY$71&amp;単価表!$AZ$64:$AZ$71,),),MATCH(内訳計算!AE$6,単価表!$AY$63:$CC$63,0)),
INDEX(単価表!$AY$64:$CC$71,MATCH($V9&amp;$W9,INDEX(単価表!$AY$64:$AY$71&amp;単価表!$AZ$64:$AZ$71,),),MATCH(内訳計算!AE$6,単価表!$AY$63:$CC$63,0))),0)</f>
        <v>0</v>
      </c>
      <c r="AF9" s="977" cm="1">
        <f t="array" ref="AF9">IFERROR(ROUNDDOWN(IF(OR($U9=2,$U9=3),
INDEX(単価表!$AY$64:$CC$71,MATCH($V9&amp;$W9,INDEX(単価表!$AY$64:$AY$71&amp;単価表!$AZ$64:$AZ$71,),),MATCH(内訳計算!AF$6,単価表!$AY$63:$CC$63,0)),
INDEX(単価表!$AY$64:$CC$71,MATCH($V9&amp;$W9,INDEX(単価表!$AY$64:$AY$71&amp;単価表!$AZ$64:$AZ$71,),),MATCH(内訳計算!AF$6,単価表!$AY$63:$CC$63,0)))*$Y9/25,0),0)</f>
        <v>0</v>
      </c>
      <c r="AG9" s="975" cm="1">
        <f t="array" ref="AG9">IFERROR(ROUNDDOWN(IF(OR($U9=2,$U9=3),
INDEX(単価表!$AY$64:$CC$71,MATCH($V9&amp;$W9,INDEX(単価表!$AY$64:$AY$71&amp;単価表!$AZ$64:$AZ$71,),),MATCH(内訳計算!AG$6,単価表!$AY$63:$CC$63,0)),
INDEX(単価表!$AY$64:$CC$71,MATCH($V9&amp;$W9,INDEX(単価表!$AY$64:$AY$71&amp;単価表!$AZ$64:$AZ$71,),),MATCH(内訳計算!AG$6,単価表!$AY$63:$CC$63,0)))*$Y9/25,0),0)</f>
        <v>0</v>
      </c>
      <c r="AH9" s="976" cm="1">
        <f t="array" ref="AH9">IFERROR(IF(HLOOKUP($U9,加算と減算!$E$4:$P$10,2,FALSE)="○",IF(OR($U9=2,$U9=3),
INDEX(単価表!$AY$64:$CC$71,MATCH($V9&amp;$W9,INDEX(単価表!$AY$64:$AY$71&amp;単価表!$AZ$64:$AZ$71,),),MATCH(内訳計算!AH$6,単価表!$AY$63:$CC$63,0)),
INDEX(単価表!$AY$64:$CC$71,MATCH($V9&amp;$W9,INDEX(単価表!$AY$64:$AY$71&amp;単価表!$AZ$64:$AZ$71,),),MATCH(内訳計算!AH$6,単価表!$AY$63:$CC$63,0))),0),0)</f>
        <v>0</v>
      </c>
      <c r="AI9" s="978" cm="1">
        <f t="array" ref="AI9">IFERROR(ROUNDDOWN(IF(HLOOKUP($U9,加算と減算!$E$4:$P$10,2,FALSE)="○",IF(OR($U9=2,$U9=3),
INDEX(単価表!$AY$64:$CC$71,MATCH($V9&amp;$W9,INDEX(単価表!$AY$64:$AY$71&amp;単価表!$AZ$64:$AZ$71,),),MATCH(内訳計算!AI$6,単価表!$AY$63:$CC$63,0)),
INDEX(単価表!$AY$64:$CC$71,MATCH($V9&amp;$W9,INDEX(単価表!$AY$64:$AY$71&amp;単価表!$AZ$64:$AZ$71,),),MATCH(内訳計算!AI$6,単価表!$AY$63:$CC$63,0))),0)*$Y9/25,0),0)</f>
        <v>0</v>
      </c>
      <c r="AJ9" s="977" cm="1">
        <f t="array" ref="AJ9">IFERROR(ROUNDDOWN(IF(HLOOKUP($U9,加算と減算!$E$4:$P$10,2,FALSE)="○",IF(OR($U9=2,$U9=3),
INDEX(単価表!$AY$64:$CC$71,MATCH($V9&amp;$W9,INDEX(単価表!$AY$64:$AY$71&amp;単価表!$AZ$64:$AZ$71,),),MATCH(内訳計算!AJ$6,単価表!$AY$63:$CC$63,0)),
INDEX(単価表!$AY$64:$CC$71,MATCH($V9&amp;$W9,INDEX(単価表!$AY$64:$AY$71&amp;単価表!$AZ$64:$AZ$71,),),MATCH(内訳計算!AJ$6,単価表!$AY$63:$CC$63,0))),0)*$Y9/25,0),0)</f>
        <v>0</v>
      </c>
      <c r="AK9" s="975" cm="1">
        <f t="array" ref="AK9">IFERROR(ROUNDDOWN(IF(HLOOKUP($U9,加算と減算!$E$4:$P$10,2,FALSE)="○",IF(OR($U9=2,$U9=3),
INDEX(単価表!$AY$64:$CC$71,MATCH($V9&amp;$W9,INDEX(単価表!$AY$64:$AY$71&amp;単価表!$AZ$64:$AZ$71,),),MATCH(内訳計算!AK$6,単価表!$AY$63:$CC$63,0)),
INDEX(単価表!$AY$64:$CC$71,MATCH($V9&amp;$W9,INDEX(単価表!$AY$64:$AY$71&amp;単価表!$AZ$64:$AZ$71,),),MATCH(内訳計算!AK$6,単価表!$AY$63:$CC$63,0))),0)*$Y9/25,0),0)</f>
        <v>0</v>
      </c>
      <c r="AL9" s="976" cm="1">
        <f t="array" ref="AL9">IFERROR(IF(HLOOKUP($U9,加算と減算!$E$4:$P$10,4,FALSE)="○",IF(OR($U9=2,$U9=3),
INDEX(単価表!$AY$64:$CC$71,MATCH($V9&amp;$W9,INDEX(単価表!$AY$64:$AY$71&amp;単価表!$AZ$64:$AZ$71,),),MATCH(内訳計算!AL$6,単価表!$AY$63:$CC$63,0)),
INDEX(単価表!$AY$64:$CC$71,MATCH($V9&amp;$W9,INDEX(単価表!$AY$64:$AY$71&amp;単価表!$AZ$64:$AZ$71,),),MATCH(内訳計算!AL$6,単価表!$AY$63:$CC$63,0))),0),0)</f>
        <v>0</v>
      </c>
      <c r="AM9" s="977" cm="1">
        <f t="array" ref="AM9">IFERROR(ROUNDDOWN(IF(HLOOKUP($U9,加算と減算!$E$4:$P$10,4,FALSE)="○",IF(OR($U9=2,$U9=3),
INDEX(単価表!$AY$64:$CC$71,MATCH($V9&amp;$W9,INDEX(単価表!$AY$64:$AY$71&amp;単価表!$AZ$64:$AZ$71,),),MATCH(内訳計算!AM$6,単価表!$AY$63:$CC$63,0)),
INDEX(単価表!$AY$64:$CC$71,MATCH($V9&amp;$W9,INDEX(単価表!$AY$64:$AY$71&amp;単価表!$AZ$64:$AZ$71,),),MATCH(内訳計算!AM$6,単価表!$AY$63:$CC$63,0))),0)*$Y9/25,0),0)</f>
        <v>0</v>
      </c>
      <c r="AN9" s="977" cm="1">
        <f t="array" ref="AN9">IFERROR(ROUNDDOWN(IF(HLOOKUP($U9,加算と減算!$E$4:$P$10,4,FALSE)="○",IF(OR($U9=2,$U9=3),
INDEX(単価表!$AY$64:$CC$71,MATCH($V9&amp;$W9,INDEX(単価表!$AY$64:$AY$71&amp;単価表!$AZ$64:$AZ$71,),),MATCH(内訳計算!AN$6,単価表!$AY$63:$CC$63,0)),
INDEX(単価表!$AY$64:$CC$71,MATCH($V9&amp;$W9,INDEX(単価表!$AY$64:$AY$71&amp;単価表!$AZ$64:$AZ$71,),),MATCH(内訳計算!AN$6,単価表!$AY$63:$CC$63,0))),0)*$Y9/25,0),0)</f>
        <v>0</v>
      </c>
      <c r="AO9" s="977" cm="1">
        <f t="array" ref="AO9">IFERROR(ROUNDDOWN(IF(HLOOKUP($U9,加算と減算!$E$4:$P$10,4,FALSE)="○",IF(OR($U9=2,$U9=3),
INDEX(単価表!$AY$64:$CC$71,MATCH($V9&amp;$W9,INDEX(単価表!$AY$64:$AY$71&amp;単価表!$AZ$64:$AZ$71,),),MATCH(内訳計算!AO$6,単価表!$AY$63:$CC$63,0)),
INDEX(単価表!$AY$64:$CC$71,MATCH($V9&amp;$W9,INDEX(単価表!$AY$64:$AY$71&amp;単価表!$AZ$64:$AZ$71,),),MATCH(内訳計算!AO$6,単価表!$AY$63:$CC$63,0))),0)*$Y9/25,0),0)</f>
        <v>0</v>
      </c>
      <c r="AP9" s="977" cm="1">
        <f t="array" ref="AP9">IFERROR(ROUNDDOWN(IF(HLOOKUP($U9,加算と減算!$E$4:$P$10,4,FALSE)="○",IF(OR($U9=2,$U9=3),
INDEX(単価表!$AY$64:$CC$71,MATCH($V9&amp;$W9,INDEX(単価表!$AY$64:$AY$71&amp;単価表!$AZ$64:$AZ$71,),),MATCH(内訳計算!AP$6,単価表!$AY$63:$CC$63,0)),
INDEX(単価表!$AY$64:$CC$71,MATCH($V9&amp;$W9,INDEX(単価表!$AY$64:$AY$71&amp;単価表!$AZ$64:$AZ$71,),),MATCH(内訳計算!AP$6,単価表!$AY$63:$CC$63,0))),0)*$Y9/25,0),0)</f>
        <v>0</v>
      </c>
      <c r="AQ9" s="975" cm="1">
        <f t="array" ref="AQ9">IFERROR(ROUNDDOWN(IF(HLOOKUP($U9,加算と減算!$E$4:$P$10,4,FALSE)="○",IF(OR($U9=2,$U9=3),
INDEX(単価表!$AY$64:$CC$71,MATCH($V9&amp;$W9,INDEX(単価表!$AY$64:$AY$71&amp;単価表!$AZ$64:$AZ$71,),),MATCH(内訳計算!AQ$6,単価表!$AY$63:$CC$63,0)),
INDEX(単価表!$AY$64:$CC$71,MATCH($V9&amp;$W9,INDEX(単価表!$AY$64:$AY$71&amp;単価表!$AZ$64:$AZ$71,),),MATCH(内訳計算!AQ$6,単価表!$AY$63:$CC$63,0))),0)*$Y9/25,0),0)</f>
        <v>0</v>
      </c>
      <c r="AR9" s="976" cm="1">
        <f t="array" ref="AR9">IFERROR(IF(HLOOKUP($U9,加算と減算!$E$4:$P$10,5,FALSE)="○",IF(OR($U9=2,$U9=3),
INDEX(単価表!$AY$64:$CC$71,MATCH($V9&amp;$W9,INDEX(単価表!$AY$64:$AY$71&amp;単価表!$AZ$64:$AZ$71,),),MATCH(内訳計算!AR$6,単価表!$AY$63:$CC$63,0)),
INDEX(単価表!$AY$64:$CC$71,MATCH($V9&amp;$W9,INDEX(単価表!$AY$64:$AY$71&amp;単価表!$AZ$64:$AZ$71,),),MATCH(内訳計算!AR$6,単価表!$AY$63:$CC$63,0))),0),0)</f>
        <v>0</v>
      </c>
      <c r="AS9" s="975" cm="1">
        <f t="array" ref="AS9">IFERROR(ROUNDDOWN(IF(HLOOKUP($U9,加算と減算!$E$4:$P$10,5,FALSE)="○",IF(OR($U9=2,$U9=3),
INDEX(単価表!$AY$64:$CC$71,MATCH($V9&amp;$W9,INDEX(単価表!$AY$64:$AY$71&amp;単価表!$AZ$64:$AZ$71,),),MATCH(内訳計算!AS$6,単価表!$AY$63:$CC$63,0)),
INDEX(単価表!$AY$64:$CC$71,MATCH($V9&amp;$W9,INDEX(単価表!$AY$64:$AY$71&amp;単価表!$AZ$64:$AZ$71,),),MATCH(内訳計算!AS$6,単価表!$AY$63:$CC$63,0))),0)*$Y9/25,0),0)</f>
        <v>0</v>
      </c>
      <c r="AT9" s="976" cm="1">
        <f t="array" ref="AT9">IFERROR(IF(HLOOKUP($U9,加算と減算!$E$4:$P$10,6,FALSE)="○",IF(OR($U9=2,$U9=3),
INDEX(単価表!$AY$64:$CC$71,MATCH($V9&amp;$W9,INDEX(単価表!$AY$64:$AY$71&amp;単価表!$AZ$64:$AZ$71,),),MATCH(内訳計算!AT$6,単価表!$AY$63:$CC$63,0)),
INDEX(単価表!$AY$64:$CC$71,MATCH($V9&amp;$W9,INDEX(単価表!$AY$64:$AY$71&amp;単価表!$AZ$64:$AZ$71,),),MATCH(内訳計算!AT$6,単価表!$AY$63:$CC$63,0))),0),0)</f>
        <v>0</v>
      </c>
      <c r="AU9" s="975" cm="1">
        <f t="array" ref="AU9">IFERROR(ROUNDDOWN(IF(HLOOKUP($U9,加算と減算!$E$4:$P$10,6,FALSE)="○",IF(OR($U9=2,$U9=3),
INDEX(単価表!$AY$64:$CC$71,MATCH($V9&amp;$W9,INDEX(単価表!$AY$64:$AY$71&amp;単価表!$AZ$64:$AZ$71,),),MATCH(内訳計算!AU$6,単価表!$AY$63:$CC$63,0)),
INDEX(単価表!$AY$64:$CC$71,MATCH($V9&amp;$W9,INDEX(単価表!$AY$64:$AY$71&amp;単価表!$AZ$64:$AZ$71,),),MATCH(内訳計算!AU$6,単価表!$AY$63:$CC$63,0))),0)*$Y9/25,0),0)</f>
        <v>0</v>
      </c>
      <c r="AV9" s="976" cm="1">
        <f t="array" ref="AV9">IFERROR(IF(HLOOKUP($U9,加算と減算!$E$4:$P$10,7,FALSE)="○",IF(OR($U9=2,$U9=3),
INDEX(単価表!$AY$64:$CC$71,MATCH($V9&amp;$W9,INDEX(単価表!$AY$64:$AY$71&amp;単価表!$AZ$64:$AZ$71,),),MATCH(内訳計算!AV$6,単価表!$AY$63:$CC$63,0)),
INDEX(単価表!$AY$64:$CC$71,MATCH($V9&amp;$W9,INDEX(単価表!$AY$64:$AY$71&amp;単価表!$AZ$64:$AZ$71,),),MATCH(内訳計算!AV$6,単価表!$AY$63:$CC$63,0))),0),0)</f>
        <v>0</v>
      </c>
      <c r="AW9" s="977" cm="1">
        <f t="array" ref="AW9">IFERROR(ROUNDDOWN(IF(HLOOKUP($U9,加算と減算!$E$4:$P$10,7,FALSE)="○",IF(OR($U9=2,$U9=3),
INDEX(単価表!$AY$64:$CC$71,MATCH($V9&amp;$W9,INDEX(単価表!$AY$64:$AY$71&amp;単価表!$AZ$64:$AZ$71,),),MATCH(内訳計算!AW$6,単価表!$AY$63:$CC$63,0)),
INDEX(単価表!$AY$64:$CC$71,MATCH($V9&amp;$W9,INDEX(単価表!$AY$64:$AY$71&amp;単価表!$AZ$64:$AZ$71,),),MATCH(内訳計算!AW$6,単価表!$AY$63:$CC$63,0))),0)*$Y9/25,0),0)</f>
        <v>0</v>
      </c>
      <c r="AX9" s="977" cm="1">
        <f t="array" ref="AX9">IFERROR(ROUNDDOWN(IF(HLOOKUP($U9,加算と減算!$E$4:$P$10,7,FALSE)="○",IF(OR($U9=2,$U9=3),
INDEX(単価表!$AY$64:$CC$71,MATCH($V9&amp;$W9,INDEX(単価表!$AY$64:$AY$71&amp;単価表!$AZ$64:$AZ$71,),),MATCH(内訳計算!AX$6,単価表!$AY$63:$CC$63,0)),
INDEX(単価表!$AY$64:$CC$71,MATCH($V9&amp;$W9,INDEX(単価表!$AY$64:$AY$71&amp;単価表!$AZ$64:$AZ$71,),),MATCH(内訳計算!AX$6,単価表!$AY$63:$CC$63,0))),0)*$Y9/25,0),0)</f>
        <v>0</v>
      </c>
      <c r="AY9" s="975" cm="1">
        <f t="array" ref="AY9">IFERROR(ROUNDDOWN(IF(HLOOKUP($U9,加算と減算!$E$4:$P$10,7,FALSE)="○",IF(OR($U9=2,$U9=3),
INDEX(単価表!$AY$64:$CC$71,MATCH($V9&amp;$W9,INDEX(単価表!$AY$64:$AY$71&amp;単価表!$AZ$64:$AZ$71,),),MATCH(内訳計算!AY$6,単価表!$AY$63:$CC$63,0)),
INDEX(単価表!$AY$64:$CC$71,MATCH($V9&amp;$W9,INDEX(単価表!$AY$64:$AY$71&amp;単価表!$AZ$64:$AZ$71,),),MATCH(内訳計算!AY$6,単価表!$AY$63:$CC$63,0))),0)*$Y9/25,0),0)</f>
        <v>0</v>
      </c>
      <c r="AZ9" s="976" cm="1">
        <f t="array" ref="AZ9">IFERROR(IF(X9="○",INDEX(単価表!$AY$64:$CC$71,MATCH($V9&amp;$W9,INDEX(単価表!$AY$64:$AY$71&amp;単価表!$AZ$64:$AZ$71,),),MATCH(内訳計算!AZ$6,単価表!$AY$63:$CC$63,0)),0),0)</f>
        <v>0</v>
      </c>
      <c r="BA9" s="975" cm="1">
        <f t="array" ref="BA9">IFERROR(ROUNDDOWN(INDEX(単価表!$AY$64:$CC$71,MATCH($V9&amp;$W9,INDEX(単価表!$AY$64:$AY$71&amp;単価表!$AZ$64:$AZ$71,),),MATCH(内訳計算!BA$6,単価表!$AY$63:$CC$63,0))*$Y9/25,0),0)</f>
        <v>0</v>
      </c>
      <c r="BB9" s="976" cm="1">
        <f t="array" ref="BB9">IFERROR(INDEX(単価表!$AY$64:$CC$71,MATCH($V9&amp;$W9,INDEX(単価表!$AY$64:$AY$71&amp;単価表!$AZ$64:$AZ$71,),),MATCH(内訳計算!BB$6,単価表!$AY$63:$CC$63,0)),0)</f>
        <v>0</v>
      </c>
      <c r="BC9" s="975" cm="1">
        <f t="array" ref="BC9">IFERROR(ROUNDDOWN(INDEX(単価表!$AY$64:$CC$71,MATCH($V9&amp;$W9,INDEX(単価表!$AY$64:$AY$71&amp;単価表!$AZ$64:$AZ$71,),),MATCH(内訳計算!BC$6,単価表!$AY$63:$CC$63,0))*$Y9/25,0),0)</f>
        <v>0</v>
      </c>
      <c r="BD9" s="985">
        <f>IFERROR(IF(HLOOKUP($U9,加算と減算!$E$31:$P$32,2,FALSE)="○",IF(OR($U9=2,$U9=3),-(単価表!$AZ$7+単価表!$BA$7*基本情報!$G$7),-(単価表!$AZ$7+単価表!$BA$7*基本情報!$G$7)),0),0)</f>
        <v>0</v>
      </c>
      <c r="BE9" s="986" t="e">
        <f t="shared" si="8"/>
        <v>#VALUE!</v>
      </c>
      <c r="BF9" s="986" t="e">
        <f t="shared" si="9"/>
        <v>#VALUE!</v>
      </c>
      <c r="BG9" s="987" t="e">
        <f t="shared" si="10"/>
        <v>#N/A</v>
      </c>
      <c r="BH9" s="988">
        <f>IFERROR(IF(基本情報!$E$12&lt;&gt;"",-ROUNDDOWN((AA9+AE9+AH9+AL9)*基本情報!$H$12/100,-1),0),0)</f>
        <v>0</v>
      </c>
      <c r="BI9" s="986" t="e">
        <f t="shared" si="11"/>
        <v>#VALUE!</v>
      </c>
      <c r="BJ9" s="986" t="e">
        <f t="shared" si="12"/>
        <v>#VALUE!</v>
      </c>
      <c r="BK9" s="989" t="e">
        <f t="shared" si="13"/>
        <v>#N/A</v>
      </c>
      <c r="BL9" s="990">
        <f>IFERROR(-ROUNDUP(SUM(AA9,AE9,AH9,AL9,AR9,AT9,AV9,BD9,BH9)*基本情報!$H$14/100,-1),0)</f>
        <v>0</v>
      </c>
      <c r="BM9" s="991" t="e">
        <f t="shared" si="14"/>
        <v>#VALUE!</v>
      </c>
      <c r="BN9" s="991" t="e">
        <f t="shared" si="15"/>
        <v>#VALUE!</v>
      </c>
      <c r="BO9" s="992" t="e">
        <f t="shared" si="16"/>
        <v>#N/A</v>
      </c>
      <c r="BP9" s="701"/>
      <c r="BQ9" s="701"/>
      <c r="BR9" s="701"/>
      <c r="BS9" s="701"/>
      <c r="BT9" s="721"/>
      <c r="BU9" s="1043" t="e">
        <f t="shared" si="17"/>
        <v>#VALUE!</v>
      </c>
      <c r="BV9" s="1044" t="e">
        <f t="shared" si="18"/>
        <v>#VALUE!</v>
      </c>
      <c r="BW9" s="1044" t="e">
        <f t="shared" si="19"/>
        <v>#N/A</v>
      </c>
      <c r="BX9" s="1051">
        <f t="shared" si="20"/>
        <v>0</v>
      </c>
      <c r="BY9" s="1046">
        <f t="shared" si="21"/>
        <v>0</v>
      </c>
      <c r="BZ9" s="681"/>
      <c r="CA9" s="681"/>
      <c r="CB9" s="1626"/>
      <c r="CC9" s="1599" t="s">
        <v>203</v>
      </c>
      <c r="CD9" s="1422" t="s">
        <v>37</v>
      </c>
      <c r="CE9" s="740" t="s">
        <v>559</v>
      </c>
      <c r="CF9" s="672">
        <f>'4月'!AQ8</f>
        <v>0</v>
      </c>
      <c r="CG9" s="672">
        <f>'5月'!AQ8</f>
        <v>0</v>
      </c>
      <c r="CH9" s="672">
        <f>'6月'!AQ8</f>
        <v>0</v>
      </c>
      <c r="CI9" s="672">
        <f>'7月'!AQ8</f>
        <v>0</v>
      </c>
      <c r="CJ9" s="672">
        <f>'8月'!AQ8</f>
        <v>0</v>
      </c>
      <c r="CK9" s="672">
        <f>'9月'!AQ8</f>
        <v>0</v>
      </c>
      <c r="CL9" s="672">
        <f>'10月'!AQ8</f>
        <v>0</v>
      </c>
      <c r="CM9" s="672">
        <f>'11月'!AQ8</f>
        <v>0</v>
      </c>
      <c r="CN9" s="672">
        <f>'12月'!AQ8</f>
        <v>0</v>
      </c>
      <c r="CO9" s="672">
        <f>'1月'!AQ8</f>
        <v>0</v>
      </c>
      <c r="CP9" s="672">
        <f>'2月'!AQ8</f>
        <v>0</v>
      </c>
      <c r="CQ9" s="756">
        <f>'3月'!AQ8</f>
        <v>0</v>
      </c>
      <c r="CR9" s="759">
        <f t="shared" si="22"/>
        <v>0</v>
      </c>
      <c r="CS9" s="1599" t="s">
        <v>203</v>
      </c>
      <c r="CT9" s="1422" t="s">
        <v>37</v>
      </c>
      <c r="CU9" s="959" t="s">
        <v>559</v>
      </c>
      <c r="CV9" s="771">
        <f>CR9</f>
        <v>0</v>
      </c>
      <c r="CW9" s="776"/>
      <c r="CX9" s="776"/>
      <c r="CY9" s="955"/>
      <c r="CZ9" s="955"/>
      <c r="DA9" s="721"/>
      <c r="DB9" s="721"/>
      <c r="DC9" s="664"/>
      <c r="DD9" s="664"/>
      <c r="DE9" s="664"/>
    </row>
    <row r="10" spans="1:109" ht="16.149999999999999" customHeight="1">
      <c r="A10" s="1652"/>
      <c r="B10" s="1655"/>
      <c r="C10" s="1542" t="s">
        <v>16</v>
      </c>
      <c r="D10" s="667" t="s">
        <v>6</v>
      </c>
      <c r="E10" s="668">
        <f>SUM(児童数!J8:J17)</f>
        <v>0</v>
      </c>
      <c r="F10" s="668" t="e">
        <f>'4月'!J6</f>
        <v>#VALUE!</v>
      </c>
      <c r="G10" s="668">
        <f>G4</f>
        <v>1809</v>
      </c>
      <c r="H10" s="668" t="e">
        <f>INDEX(事業費・管理費!$C$11:$T$15,MATCH(D10,事業費・管理費!$C$11:$C$15,0),MATCH(基本情報!$AA$4,事業費・管理費!$C$11:$T$11,0))</f>
        <v>#N/A</v>
      </c>
      <c r="I10" s="668" t="e">
        <f>F10-G10-H10</f>
        <v>#VALUE!</v>
      </c>
      <c r="J10" s="668" t="e">
        <f>E10*I10</f>
        <v>#VALUE!</v>
      </c>
      <c r="K10" s="668">
        <f>E10*G10</f>
        <v>0</v>
      </c>
      <c r="L10" s="706" t="e">
        <f>E10*H10</f>
        <v>#N/A</v>
      </c>
      <c r="M10" s="674"/>
      <c r="N10" s="1097"/>
      <c r="O10" s="1099"/>
      <c r="P10" s="770"/>
      <c r="Q10" s="1101"/>
      <c r="R10" s="1098"/>
      <c r="T10" s="682">
        <v>4</v>
      </c>
      <c r="U10" s="918">
        <f>月途中入退所情報!D11</f>
        <v>0</v>
      </c>
      <c r="V10" s="918">
        <f>月途中入退所情報!H11</f>
        <v>0</v>
      </c>
      <c r="W10" s="918">
        <f>月途中入退所情報!G11</f>
        <v>0</v>
      </c>
      <c r="X10" s="945">
        <f>月途中入退所情報!I11</f>
        <v>0</v>
      </c>
      <c r="Y10" s="918">
        <f>月途中入退所情報!J11</f>
        <v>0</v>
      </c>
      <c r="Z10" s="840">
        <f t="shared" si="6"/>
        <v>0</v>
      </c>
      <c r="AA10" s="976" cm="1">
        <f t="array" ref="AA10">IFERROR(IF(OR($U10=2,$U10=3),
INDEX(単価表!$AY$64:$CC$71,MATCH($V10&amp;$W10,INDEX(単価表!$AY$64:$AY$71&amp;単価表!$AZ$64:$AZ$71,),),MATCH(内訳計算!AA$6,単価表!$AY$63:$CC$63,0)),
INDEX(単価表!$AY$64:$CC$71,MATCH($V10&amp;$W10,INDEX(単価表!$AY$64:$AY$71&amp;単価表!$AZ$64:$AZ$71,),),MATCH(内訳計算!AA$6,単価表!$AY$63:$CC$63,0))),0)</f>
        <v>0</v>
      </c>
      <c r="AB10" s="977" t="e">
        <f t="shared" si="7"/>
        <v>#VALUE!</v>
      </c>
      <c r="AC10" s="977" cm="1">
        <f t="array" ref="AC10">IFERROR(ROUNDDOWN(IF(OR($U10=2,$U10=3),
INDEX(単価表!$AY$64:$CC$71,MATCH($V10&amp;$W10,INDEX(単価表!$AY$64:$AY$71&amp;単価表!$AZ$64:$AZ$71,),),MATCH(内訳計算!AC$6,単価表!$AY$63:$CC$63,0)),
INDEX(単価表!$AY$64:$CC$71,MATCH($V10&amp;$W10,INDEX(単価表!$AY$64:$AY$71&amp;単価表!$AZ$64:$AZ$71,),),MATCH(内訳計算!AC$6,単価表!$AY$63:$CC$63,0)))*$Y10/25,0),0)</f>
        <v>0</v>
      </c>
      <c r="AD10" s="975" cm="1">
        <f t="array" ref="AD10">IFERROR(ROUNDDOWN(IF(OR($U10=2,$U10=3),
INDEX(単価表!$AY$64:$CC$71,MATCH($V10&amp;$W10,INDEX(単価表!$AY$64:$AY$71&amp;単価表!$AZ$64:$AZ$71,),),MATCH(内訳計算!AD$6,単価表!$AY$63:$CC$63,0)),
INDEX(単価表!$AY$64:$CC$71,MATCH($V10&amp;$W10,INDEX(単価表!$AY$64:$AY$71&amp;単価表!$AZ$64:$AZ$71,),),MATCH(内訳計算!AD$6,単価表!$AY$63:$CC$63,0)))*$Y10/25,0),0)</f>
        <v>0</v>
      </c>
      <c r="AE10" s="976" cm="1">
        <f t="array" ref="AE10">IFERROR(IF(OR($U10=2,$U10=3),
INDEX(単価表!$AY$64:$CC$71,MATCH($V10&amp;$W10,INDEX(単価表!$AY$64:$AY$71&amp;単価表!$AZ$64:$AZ$71,),),MATCH(内訳計算!AE$6,単価表!$AY$63:$CC$63,0)),
INDEX(単価表!$AY$64:$CC$71,MATCH($V10&amp;$W10,INDEX(単価表!$AY$64:$AY$71&amp;単価表!$AZ$64:$AZ$71,),),MATCH(内訳計算!AE$6,単価表!$AY$63:$CC$63,0))),0)</f>
        <v>0</v>
      </c>
      <c r="AF10" s="977" cm="1">
        <f t="array" ref="AF10">IFERROR(ROUNDDOWN(IF(OR($U10=2,$U10=3),
INDEX(単価表!$AY$64:$CC$71,MATCH($V10&amp;$W10,INDEX(単価表!$AY$64:$AY$71&amp;単価表!$AZ$64:$AZ$71,),),MATCH(内訳計算!AF$6,単価表!$AY$63:$CC$63,0)),
INDEX(単価表!$AY$64:$CC$71,MATCH($V10&amp;$W10,INDEX(単価表!$AY$64:$AY$71&amp;単価表!$AZ$64:$AZ$71,),),MATCH(内訳計算!AF$6,単価表!$AY$63:$CC$63,0)))*$Y10/25,0),0)</f>
        <v>0</v>
      </c>
      <c r="AG10" s="975" cm="1">
        <f t="array" ref="AG10">IFERROR(ROUNDDOWN(IF(OR($U10=2,$U10=3),
INDEX(単価表!$AY$64:$CC$71,MATCH($V10&amp;$W10,INDEX(単価表!$AY$64:$AY$71&amp;単価表!$AZ$64:$AZ$71,),),MATCH(内訳計算!AG$6,単価表!$AY$63:$CC$63,0)),
INDEX(単価表!$AY$64:$CC$71,MATCH($V10&amp;$W10,INDEX(単価表!$AY$64:$AY$71&amp;単価表!$AZ$64:$AZ$71,),),MATCH(内訳計算!AG$6,単価表!$AY$63:$CC$63,0)))*$Y10/25,0),0)</f>
        <v>0</v>
      </c>
      <c r="AH10" s="976" cm="1">
        <f t="array" ref="AH10">IFERROR(IF(HLOOKUP($U10,加算と減算!$E$4:$P$10,2,FALSE)="○",IF(OR($U10=2,$U10=3),
INDEX(単価表!$AY$64:$CC$71,MATCH($V10&amp;$W10,INDEX(単価表!$AY$64:$AY$71&amp;単価表!$AZ$64:$AZ$71,),),MATCH(内訳計算!AH$6,単価表!$AY$63:$CC$63,0)),
INDEX(単価表!$AY$64:$CC$71,MATCH($V10&amp;$W10,INDEX(単価表!$AY$64:$AY$71&amp;単価表!$AZ$64:$AZ$71,),),MATCH(内訳計算!AH$6,単価表!$AY$63:$CC$63,0))),0),0)</f>
        <v>0</v>
      </c>
      <c r="AI10" s="978" cm="1">
        <f t="array" ref="AI10">IFERROR(ROUNDDOWN(IF(HLOOKUP($U10,加算と減算!$E$4:$P$10,2,FALSE)="○",IF(OR($U10=2,$U10=3),
INDEX(単価表!$AY$64:$CC$71,MATCH($V10&amp;$W10,INDEX(単価表!$AY$64:$AY$71&amp;単価表!$AZ$64:$AZ$71,),),MATCH(内訳計算!AI$6,単価表!$AY$63:$CC$63,0)),
INDEX(単価表!$AY$64:$CC$71,MATCH($V10&amp;$W10,INDEX(単価表!$AY$64:$AY$71&amp;単価表!$AZ$64:$AZ$71,),),MATCH(内訳計算!AI$6,単価表!$AY$63:$CC$63,0))),0)*$Y10/25,0),0)</f>
        <v>0</v>
      </c>
      <c r="AJ10" s="977" cm="1">
        <f t="array" ref="AJ10">IFERROR(ROUNDDOWN(IF(HLOOKUP($U10,加算と減算!$E$4:$P$10,2,FALSE)="○",IF(OR($U10=2,$U10=3),
INDEX(単価表!$AY$64:$CC$71,MATCH($V10&amp;$W10,INDEX(単価表!$AY$64:$AY$71&amp;単価表!$AZ$64:$AZ$71,),),MATCH(内訳計算!AJ$6,単価表!$AY$63:$CC$63,0)),
INDEX(単価表!$AY$64:$CC$71,MATCH($V10&amp;$W10,INDEX(単価表!$AY$64:$AY$71&amp;単価表!$AZ$64:$AZ$71,),),MATCH(内訳計算!AJ$6,単価表!$AY$63:$CC$63,0))),0)*$Y10/25,0),0)</f>
        <v>0</v>
      </c>
      <c r="AK10" s="975" cm="1">
        <f t="array" ref="AK10">IFERROR(ROUNDDOWN(IF(HLOOKUP($U10,加算と減算!$E$4:$P$10,2,FALSE)="○",IF(OR($U10=2,$U10=3),
INDEX(単価表!$AY$64:$CC$71,MATCH($V10&amp;$W10,INDEX(単価表!$AY$64:$AY$71&amp;単価表!$AZ$64:$AZ$71,),),MATCH(内訳計算!AK$6,単価表!$AY$63:$CC$63,0)),
INDEX(単価表!$AY$64:$CC$71,MATCH($V10&amp;$W10,INDEX(単価表!$AY$64:$AY$71&amp;単価表!$AZ$64:$AZ$71,),),MATCH(内訳計算!AK$6,単価表!$AY$63:$CC$63,0))),0)*$Y10/25,0),0)</f>
        <v>0</v>
      </c>
      <c r="AL10" s="976" cm="1">
        <f t="array" ref="AL10">IFERROR(IF(HLOOKUP($U10,加算と減算!$E$4:$P$10,4,FALSE)="○",IF(OR($U10=2,$U10=3),
INDEX(単価表!$AY$64:$CC$71,MATCH($V10&amp;$W10,INDEX(単価表!$AY$64:$AY$71&amp;単価表!$AZ$64:$AZ$71,),),MATCH(内訳計算!AL$6,単価表!$AY$63:$CC$63,0)),
INDEX(単価表!$AY$64:$CC$71,MATCH($V10&amp;$W10,INDEX(単価表!$AY$64:$AY$71&amp;単価表!$AZ$64:$AZ$71,),),MATCH(内訳計算!AL$6,単価表!$AY$63:$CC$63,0))),0),0)</f>
        <v>0</v>
      </c>
      <c r="AM10" s="977" cm="1">
        <f t="array" ref="AM10">IFERROR(ROUNDDOWN(IF(HLOOKUP($U10,加算と減算!$E$4:$P$10,4,FALSE)="○",IF(OR($U10=2,$U10=3),
INDEX(単価表!$AY$64:$CC$71,MATCH($V10&amp;$W10,INDEX(単価表!$AY$64:$AY$71&amp;単価表!$AZ$64:$AZ$71,),),MATCH(内訳計算!AM$6,単価表!$AY$63:$CC$63,0)),
INDEX(単価表!$AY$64:$CC$71,MATCH($V10&amp;$W10,INDEX(単価表!$AY$64:$AY$71&amp;単価表!$AZ$64:$AZ$71,),),MATCH(内訳計算!AM$6,単価表!$AY$63:$CC$63,0))),0)*$Y10/25,0),0)</f>
        <v>0</v>
      </c>
      <c r="AN10" s="977" cm="1">
        <f t="array" ref="AN10">IFERROR(ROUNDDOWN(IF(HLOOKUP($U10,加算と減算!$E$4:$P$10,4,FALSE)="○",IF(OR($U10=2,$U10=3),
INDEX(単価表!$AY$64:$CC$71,MATCH($V10&amp;$W10,INDEX(単価表!$AY$64:$AY$71&amp;単価表!$AZ$64:$AZ$71,),),MATCH(内訳計算!AN$6,単価表!$AY$63:$CC$63,0)),
INDEX(単価表!$AY$64:$CC$71,MATCH($V10&amp;$W10,INDEX(単価表!$AY$64:$AY$71&amp;単価表!$AZ$64:$AZ$71,),),MATCH(内訳計算!AN$6,単価表!$AY$63:$CC$63,0))),0)*$Y10/25,0),0)</f>
        <v>0</v>
      </c>
      <c r="AO10" s="977" cm="1">
        <f t="array" ref="AO10">IFERROR(ROUNDDOWN(IF(HLOOKUP($U10,加算と減算!$E$4:$P$10,4,FALSE)="○",IF(OR($U10=2,$U10=3),
INDEX(単価表!$AY$64:$CC$71,MATCH($V10&amp;$W10,INDEX(単価表!$AY$64:$AY$71&amp;単価表!$AZ$64:$AZ$71,),),MATCH(内訳計算!AO$6,単価表!$AY$63:$CC$63,0)),
INDEX(単価表!$AY$64:$CC$71,MATCH($V10&amp;$W10,INDEX(単価表!$AY$64:$AY$71&amp;単価表!$AZ$64:$AZ$71,),),MATCH(内訳計算!AO$6,単価表!$AY$63:$CC$63,0))),0)*$Y10/25,0),0)</f>
        <v>0</v>
      </c>
      <c r="AP10" s="977" cm="1">
        <f t="array" ref="AP10">IFERROR(ROUNDDOWN(IF(HLOOKUP($U10,加算と減算!$E$4:$P$10,4,FALSE)="○",IF(OR($U10=2,$U10=3),
INDEX(単価表!$AY$64:$CC$71,MATCH($V10&amp;$W10,INDEX(単価表!$AY$64:$AY$71&amp;単価表!$AZ$64:$AZ$71,),),MATCH(内訳計算!AP$6,単価表!$AY$63:$CC$63,0)),
INDEX(単価表!$AY$64:$CC$71,MATCH($V10&amp;$W10,INDEX(単価表!$AY$64:$AY$71&amp;単価表!$AZ$64:$AZ$71,),),MATCH(内訳計算!AP$6,単価表!$AY$63:$CC$63,0))),0)*$Y10/25,0),0)</f>
        <v>0</v>
      </c>
      <c r="AQ10" s="975" cm="1">
        <f t="array" ref="AQ10">IFERROR(ROUNDDOWN(IF(HLOOKUP($U10,加算と減算!$E$4:$P$10,4,FALSE)="○",IF(OR($U10=2,$U10=3),
INDEX(単価表!$AY$64:$CC$71,MATCH($V10&amp;$W10,INDEX(単価表!$AY$64:$AY$71&amp;単価表!$AZ$64:$AZ$71,),),MATCH(内訳計算!AQ$6,単価表!$AY$63:$CC$63,0)),
INDEX(単価表!$AY$64:$CC$71,MATCH($V10&amp;$W10,INDEX(単価表!$AY$64:$AY$71&amp;単価表!$AZ$64:$AZ$71,),),MATCH(内訳計算!AQ$6,単価表!$AY$63:$CC$63,0))),0)*$Y10/25,0),0)</f>
        <v>0</v>
      </c>
      <c r="AR10" s="976" cm="1">
        <f t="array" ref="AR10">IFERROR(IF(HLOOKUP($U10,加算と減算!$E$4:$P$10,5,FALSE)="○",IF(OR($U10=2,$U10=3),
INDEX(単価表!$AY$64:$CC$71,MATCH($V10&amp;$W10,INDEX(単価表!$AY$64:$AY$71&amp;単価表!$AZ$64:$AZ$71,),),MATCH(内訳計算!AR$6,単価表!$AY$63:$CC$63,0)),
INDEX(単価表!$AY$64:$CC$71,MATCH($V10&amp;$W10,INDEX(単価表!$AY$64:$AY$71&amp;単価表!$AZ$64:$AZ$71,),),MATCH(内訳計算!AR$6,単価表!$AY$63:$CC$63,0))),0),0)</f>
        <v>0</v>
      </c>
      <c r="AS10" s="975" cm="1">
        <f t="array" ref="AS10">IFERROR(ROUNDDOWN(IF(HLOOKUP($U10,加算と減算!$E$4:$P$10,5,FALSE)="○",IF(OR($U10=2,$U10=3),
INDEX(単価表!$AY$64:$CC$71,MATCH($V10&amp;$W10,INDEX(単価表!$AY$64:$AY$71&amp;単価表!$AZ$64:$AZ$71,),),MATCH(内訳計算!AS$6,単価表!$AY$63:$CC$63,0)),
INDEX(単価表!$AY$64:$CC$71,MATCH($V10&amp;$W10,INDEX(単価表!$AY$64:$AY$71&amp;単価表!$AZ$64:$AZ$71,),),MATCH(内訳計算!AS$6,単価表!$AY$63:$CC$63,0))),0)*$Y10/25,0),0)</f>
        <v>0</v>
      </c>
      <c r="AT10" s="976" cm="1">
        <f t="array" ref="AT10">IFERROR(IF(HLOOKUP($U10,加算と減算!$E$4:$P$10,6,FALSE)="○",IF(OR($U10=2,$U10=3),
INDEX(単価表!$AY$64:$CC$71,MATCH($V10&amp;$W10,INDEX(単価表!$AY$64:$AY$71&amp;単価表!$AZ$64:$AZ$71,),),MATCH(内訳計算!AT$6,単価表!$AY$63:$CC$63,0)),
INDEX(単価表!$AY$64:$CC$71,MATCH($V10&amp;$W10,INDEX(単価表!$AY$64:$AY$71&amp;単価表!$AZ$64:$AZ$71,),),MATCH(内訳計算!AT$6,単価表!$AY$63:$CC$63,0))),0),0)</f>
        <v>0</v>
      </c>
      <c r="AU10" s="975" cm="1">
        <f t="array" ref="AU10">IFERROR(ROUNDDOWN(IF(HLOOKUP($U10,加算と減算!$E$4:$P$10,6,FALSE)="○",IF(OR($U10=2,$U10=3),
INDEX(単価表!$AY$64:$CC$71,MATCH($V10&amp;$W10,INDEX(単価表!$AY$64:$AY$71&amp;単価表!$AZ$64:$AZ$71,),),MATCH(内訳計算!AU$6,単価表!$AY$63:$CC$63,0)),
INDEX(単価表!$AY$64:$CC$71,MATCH($V10&amp;$W10,INDEX(単価表!$AY$64:$AY$71&amp;単価表!$AZ$64:$AZ$71,),),MATCH(内訳計算!AU$6,単価表!$AY$63:$CC$63,0))),0)*$Y10/25,0),0)</f>
        <v>0</v>
      </c>
      <c r="AV10" s="976" cm="1">
        <f t="array" ref="AV10">IFERROR(IF(HLOOKUP($U10,加算と減算!$E$4:$P$10,7,FALSE)="○",IF(OR($U10=2,$U10=3),
INDEX(単価表!$AY$64:$CC$71,MATCH($V10&amp;$W10,INDEX(単価表!$AY$64:$AY$71&amp;単価表!$AZ$64:$AZ$71,),),MATCH(内訳計算!AV$6,単価表!$AY$63:$CC$63,0)),
INDEX(単価表!$AY$64:$CC$71,MATCH($V10&amp;$W10,INDEX(単価表!$AY$64:$AY$71&amp;単価表!$AZ$64:$AZ$71,),),MATCH(内訳計算!AV$6,単価表!$AY$63:$CC$63,0))),0),0)</f>
        <v>0</v>
      </c>
      <c r="AW10" s="977" cm="1">
        <f t="array" ref="AW10">IFERROR(ROUNDDOWN(IF(HLOOKUP($U10,加算と減算!$E$4:$P$10,7,FALSE)="○",IF(OR($U10=2,$U10=3),
INDEX(単価表!$AY$64:$CC$71,MATCH($V10&amp;$W10,INDEX(単価表!$AY$64:$AY$71&amp;単価表!$AZ$64:$AZ$71,),),MATCH(内訳計算!AW$6,単価表!$AY$63:$CC$63,0)),
INDEX(単価表!$AY$64:$CC$71,MATCH($V10&amp;$W10,INDEX(単価表!$AY$64:$AY$71&amp;単価表!$AZ$64:$AZ$71,),),MATCH(内訳計算!AW$6,単価表!$AY$63:$CC$63,0))),0)*$Y10/25,0),0)</f>
        <v>0</v>
      </c>
      <c r="AX10" s="977" cm="1">
        <f t="array" ref="AX10">IFERROR(ROUNDDOWN(IF(HLOOKUP($U10,加算と減算!$E$4:$P$10,7,FALSE)="○",IF(OR($U10=2,$U10=3),
INDEX(単価表!$AY$64:$CC$71,MATCH($V10&amp;$W10,INDEX(単価表!$AY$64:$AY$71&amp;単価表!$AZ$64:$AZ$71,),),MATCH(内訳計算!AX$6,単価表!$AY$63:$CC$63,0)),
INDEX(単価表!$AY$64:$CC$71,MATCH($V10&amp;$W10,INDEX(単価表!$AY$64:$AY$71&amp;単価表!$AZ$64:$AZ$71,),),MATCH(内訳計算!AX$6,単価表!$AY$63:$CC$63,0))),0)*$Y10/25,0),0)</f>
        <v>0</v>
      </c>
      <c r="AY10" s="975" cm="1">
        <f t="array" ref="AY10">IFERROR(ROUNDDOWN(IF(HLOOKUP($U10,加算と減算!$E$4:$P$10,7,FALSE)="○",IF(OR($U10=2,$U10=3),
INDEX(単価表!$AY$64:$CC$71,MATCH($V10&amp;$W10,INDEX(単価表!$AY$64:$AY$71&amp;単価表!$AZ$64:$AZ$71,),),MATCH(内訳計算!AY$6,単価表!$AY$63:$CC$63,0)),
INDEX(単価表!$AY$64:$CC$71,MATCH($V10&amp;$W10,INDEX(単価表!$AY$64:$AY$71&amp;単価表!$AZ$64:$AZ$71,),),MATCH(内訳計算!AY$6,単価表!$AY$63:$CC$63,0))),0)*$Y10/25,0),0)</f>
        <v>0</v>
      </c>
      <c r="AZ10" s="976" cm="1">
        <f t="array" ref="AZ10">IFERROR(IF(X10="○",INDEX(単価表!$AY$64:$CC$71,MATCH($V10&amp;$W10,INDEX(単価表!$AY$64:$AY$71&amp;単価表!$AZ$64:$AZ$71,),),MATCH(内訳計算!AZ$6,単価表!$AY$63:$CC$63,0)),0),0)</f>
        <v>0</v>
      </c>
      <c r="BA10" s="975" cm="1">
        <f t="array" ref="BA10">IFERROR(ROUNDDOWN(INDEX(単価表!$AY$64:$CC$71,MATCH($V10&amp;$W10,INDEX(単価表!$AY$64:$AY$71&amp;単価表!$AZ$64:$AZ$71,),),MATCH(内訳計算!BA$6,単価表!$AY$63:$CC$63,0))*$Y10/25,0),0)</f>
        <v>0</v>
      </c>
      <c r="BB10" s="976" cm="1">
        <f t="array" ref="BB10">IFERROR(INDEX(単価表!$AY$64:$CC$71,MATCH($V10&amp;$W10,INDEX(単価表!$AY$64:$AY$71&amp;単価表!$AZ$64:$AZ$71,),),MATCH(内訳計算!BB$6,単価表!$AY$63:$CC$63,0)),0)</f>
        <v>0</v>
      </c>
      <c r="BC10" s="975" cm="1">
        <f t="array" ref="BC10">IFERROR(ROUNDDOWN(INDEX(単価表!$AY$64:$CC$71,MATCH($V10&amp;$W10,INDEX(単価表!$AY$64:$AY$71&amp;単価表!$AZ$64:$AZ$71,),),MATCH(内訳計算!BC$6,単価表!$AY$63:$CC$63,0))*$Y10/25,0),0)</f>
        <v>0</v>
      </c>
      <c r="BD10" s="985">
        <f>IFERROR(IF(HLOOKUP($U10,加算と減算!$E$31:$P$32,2,FALSE)="○",IF(OR($U10=2,$U10=3),-(単価表!$AZ$7+単価表!$BA$7*基本情報!$G$7),-(単価表!$AZ$7+単価表!$BA$7*基本情報!$G$7)),0),0)</f>
        <v>0</v>
      </c>
      <c r="BE10" s="986" t="e">
        <f t="shared" si="8"/>
        <v>#VALUE!</v>
      </c>
      <c r="BF10" s="986" t="e">
        <f t="shared" si="9"/>
        <v>#VALUE!</v>
      </c>
      <c r="BG10" s="987" t="e">
        <f t="shared" si="10"/>
        <v>#N/A</v>
      </c>
      <c r="BH10" s="988">
        <f>IFERROR(IF(基本情報!$E$12&lt;&gt;"",-ROUNDDOWN((AA10+AE10+AH10+AL10)*基本情報!$H$12/100,-1),0),0)</f>
        <v>0</v>
      </c>
      <c r="BI10" s="986" t="e">
        <f t="shared" si="11"/>
        <v>#VALUE!</v>
      </c>
      <c r="BJ10" s="986" t="e">
        <f t="shared" si="12"/>
        <v>#VALUE!</v>
      </c>
      <c r="BK10" s="989" t="e">
        <f t="shared" si="13"/>
        <v>#N/A</v>
      </c>
      <c r="BL10" s="990">
        <f>IFERROR(-ROUNDUP(SUM(AA10,AE10,AH10,AL10,AR10,AT10,AV10,BD10,BH10)*基本情報!$H$14/100,-1),0)</f>
        <v>0</v>
      </c>
      <c r="BM10" s="991" t="e">
        <f t="shared" si="14"/>
        <v>#VALUE!</v>
      </c>
      <c r="BN10" s="991" t="e">
        <f t="shared" si="15"/>
        <v>#VALUE!</v>
      </c>
      <c r="BO10" s="992" t="e">
        <f t="shared" si="16"/>
        <v>#N/A</v>
      </c>
      <c r="BP10" s="784"/>
      <c r="BQ10" s="784"/>
      <c r="BR10" s="784"/>
      <c r="BS10" s="784"/>
      <c r="BT10" s="721"/>
      <c r="BU10" s="1043" t="e">
        <f t="shared" si="17"/>
        <v>#VALUE!</v>
      </c>
      <c r="BV10" s="1044" t="e">
        <f t="shared" si="18"/>
        <v>#VALUE!</v>
      </c>
      <c r="BW10" s="1044" t="e">
        <f t="shared" si="19"/>
        <v>#N/A</v>
      </c>
      <c r="BX10" s="1051">
        <f t="shared" si="20"/>
        <v>0</v>
      </c>
      <c r="BY10" s="1045">
        <f t="shared" si="21"/>
        <v>0</v>
      </c>
      <c r="CB10" s="1626"/>
      <c r="CC10" s="1600"/>
      <c r="CD10" s="1422"/>
      <c r="CE10" s="734" t="s">
        <v>167</v>
      </c>
      <c r="CF10" s="672">
        <f>'4月'!AQ9</f>
        <v>0</v>
      </c>
      <c r="CG10" s="672">
        <f>'5月'!AQ9</f>
        <v>0</v>
      </c>
      <c r="CH10" s="672">
        <f>'6月'!AQ9</f>
        <v>0</v>
      </c>
      <c r="CI10" s="672">
        <f>'7月'!AQ9</f>
        <v>0</v>
      </c>
      <c r="CJ10" s="672">
        <f>'8月'!AQ9</f>
        <v>0</v>
      </c>
      <c r="CK10" s="672">
        <f>'9月'!AQ9</f>
        <v>0</v>
      </c>
      <c r="CL10" s="672">
        <f>'10月'!AQ9</f>
        <v>0</v>
      </c>
      <c r="CM10" s="672">
        <f>'11月'!AQ9</f>
        <v>0</v>
      </c>
      <c r="CN10" s="672">
        <f>'12月'!AQ9</f>
        <v>0</v>
      </c>
      <c r="CO10" s="672">
        <f>'1月'!AQ9</f>
        <v>0</v>
      </c>
      <c r="CP10" s="672">
        <f>'2月'!AQ9</f>
        <v>0</v>
      </c>
      <c r="CQ10" s="756">
        <f>'3月'!AQ9</f>
        <v>0</v>
      </c>
      <c r="CR10" s="759">
        <f t="shared" si="22"/>
        <v>0</v>
      </c>
      <c r="CS10" s="1600"/>
      <c r="CT10" s="1422"/>
      <c r="CU10" s="957" t="s">
        <v>167</v>
      </c>
      <c r="CV10" s="954"/>
      <c r="CW10" s="776"/>
      <c r="CX10" s="954"/>
      <c r="CY10" s="1055" t="e">
        <f>CR10-CZ10</f>
        <v>#DIV/0!</v>
      </c>
      <c r="CZ10" s="1055" t="e">
        <f>ROUNDDOWN(CR10*$CW$3/$CU$1,-1)</f>
        <v>#DIV/0!</v>
      </c>
      <c r="DA10" s="721"/>
      <c r="DB10" s="721"/>
    </row>
    <row r="11" spans="1:109" ht="16.149999999999999" customHeight="1">
      <c r="A11" s="1652"/>
      <c r="B11" s="1655"/>
      <c r="C11" s="1542"/>
      <c r="D11" s="667" t="s">
        <v>7</v>
      </c>
      <c r="E11" s="668">
        <f>SUM(児童数!K8:K17)</f>
        <v>0</v>
      </c>
      <c r="F11" s="707" t="e">
        <f>'4月'!K6</f>
        <v>#VALUE!</v>
      </c>
      <c r="G11" s="668">
        <f>G5</f>
        <v>1809</v>
      </c>
      <c r="H11" s="668" t="e">
        <f>INDEX(事業費・管理費!$C$11:$T$15,MATCH(D11,事業費・管理費!$C$11:$C$15,0),MATCH(基本情報!$AA$4,事業費・管理費!$C$11:$T$11,0))</f>
        <v>#N/A</v>
      </c>
      <c r="I11" s="668" t="e">
        <f>F11-G11-H11</f>
        <v>#VALUE!</v>
      </c>
      <c r="J11" s="668" t="e">
        <f t="shared" ref="J11:J13" si="23">E11*I11</f>
        <v>#VALUE!</v>
      </c>
      <c r="K11" s="668">
        <f t="shared" ref="K11:K13" si="24">E11*G11</f>
        <v>0</v>
      </c>
      <c r="L11" s="706" t="e">
        <f t="shared" ref="L11:L13" si="25">E11*H11</f>
        <v>#N/A</v>
      </c>
      <c r="M11" s="674"/>
      <c r="N11" s="1097"/>
      <c r="O11" s="1099"/>
      <c r="P11" s="770"/>
      <c r="Q11" s="1101"/>
      <c r="R11" s="1098"/>
      <c r="T11" s="682">
        <v>5</v>
      </c>
      <c r="U11" s="918">
        <f>月途中入退所情報!D12</f>
        <v>0</v>
      </c>
      <c r="V11" s="918">
        <f>月途中入退所情報!H12</f>
        <v>0</v>
      </c>
      <c r="W11" s="918">
        <f>月途中入退所情報!G12</f>
        <v>0</v>
      </c>
      <c r="X11" s="945">
        <f>月途中入退所情報!I12</f>
        <v>0</v>
      </c>
      <c r="Y11" s="918">
        <f>月途中入退所情報!J12</f>
        <v>0</v>
      </c>
      <c r="Z11" s="840">
        <f t="shared" si="6"/>
        <v>0</v>
      </c>
      <c r="AA11" s="976" cm="1">
        <f t="array" ref="AA11">IFERROR(IF(OR($U11=2,$U11=3),
INDEX(単価表!$AY$64:$CC$71,MATCH($V11&amp;$W11,INDEX(単価表!$AY$64:$AY$71&amp;単価表!$AZ$64:$AZ$71,),),MATCH(内訳計算!AA$6,単価表!$AY$63:$CC$63,0)),
INDEX(単価表!$AY$64:$CC$71,MATCH($V11&amp;$W11,INDEX(単価表!$AY$64:$AY$71&amp;単価表!$AZ$64:$AZ$71,),),MATCH(内訳計算!AA$6,単価表!$AY$63:$CC$63,0))),0)</f>
        <v>0</v>
      </c>
      <c r="AB11" s="977" t="e">
        <f t="shared" si="7"/>
        <v>#VALUE!</v>
      </c>
      <c r="AC11" s="977" cm="1">
        <f t="array" ref="AC11">IFERROR(ROUNDDOWN(IF(OR($U11=2,$U11=3),
INDEX(単価表!$AY$64:$CC$71,MATCH($V11&amp;$W11,INDEX(単価表!$AY$64:$AY$71&amp;単価表!$AZ$64:$AZ$71,),),MATCH(内訳計算!AC$6,単価表!$AY$63:$CC$63,0)),
INDEX(単価表!$AY$64:$CC$71,MATCH($V11&amp;$W11,INDEX(単価表!$AY$64:$AY$71&amp;単価表!$AZ$64:$AZ$71,),),MATCH(内訳計算!AC$6,単価表!$AY$63:$CC$63,0)))*$Y11/25,0),0)</f>
        <v>0</v>
      </c>
      <c r="AD11" s="975" cm="1">
        <f t="array" ref="AD11">IFERROR(ROUNDDOWN(IF(OR($U11=2,$U11=3),
INDEX(単価表!$AY$64:$CC$71,MATCH($V11&amp;$W11,INDEX(単価表!$AY$64:$AY$71&amp;単価表!$AZ$64:$AZ$71,),),MATCH(内訳計算!AD$6,単価表!$AY$63:$CC$63,0)),
INDEX(単価表!$AY$64:$CC$71,MATCH($V11&amp;$W11,INDEX(単価表!$AY$64:$AY$71&amp;単価表!$AZ$64:$AZ$71,),),MATCH(内訳計算!AD$6,単価表!$AY$63:$CC$63,0)))*$Y11/25,0),0)</f>
        <v>0</v>
      </c>
      <c r="AE11" s="976" cm="1">
        <f t="array" ref="AE11">IFERROR(IF(OR($U11=2,$U11=3),
INDEX(単価表!$AY$64:$CC$71,MATCH($V11&amp;$W11,INDEX(単価表!$AY$64:$AY$71&amp;単価表!$AZ$64:$AZ$71,),),MATCH(内訳計算!AE$6,単価表!$AY$63:$CC$63,0)),
INDEX(単価表!$AY$64:$CC$71,MATCH($V11&amp;$W11,INDEX(単価表!$AY$64:$AY$71&amp;単価表!$AZ$64:$AZ$71,),),MATCH(内訳計算!AE$6,単価表!$AY$63:$CC$63,0))),0)</f>
        <v>0</v>
      </c>
      <c r="AF11" s="977" cm="1">
        <f t="array" ref="AF11">IFERROR(ROUNDDOWN(IF(OR($U11=2,$U11=3),
INDEX(単価表!$AY$64:$CC$71,MATCH($V11&amp;$W11,INDEX(単価表!$AY$64:$AY$71&amp;単価表!$AZ$64:$AZ$71,),),MATCH(内訳計算!AF$6,単価表!$AY$63:$CC$63,0)),
INDEX(単価表!$AY$64:$CC$71,MATCH($V11&amp;$W11,INDEX(単価表!$AY$64:$AY$71&amp;単価表!$AZ$64:$AZ$71,),),MATCH(内訳計算!AF$6,単価表!$AY$63:$CC$63,0)))*$Y11/25,0),0)</f>
        <v>0</v>
      </c>
      <c r="AG11" s="975" cm="1">
        <f t="array" ref="AG11">IFERROR(ROUNDDOWN(IF(OR($U11=2,$U11=3),
INDEX(単価表!$AY$64:$CC$71,MATCH($V11&amp;$W11,INDEX(単価表!$AY$64:$AY$71&amp;単価表!$AZ$64:$AZ$71,),),MATCH(内訳計算!AG$6,単価表!$AY$63:$CC$63,0)),
INDEX(単価表!$AY$64:$CC$71,MATCH($V11&amp;$W11,INDEX(単価表!$AY$64:$AY$71&amp;単価表!$AZ$64:$AZ$71,),),MATCH(内訳計算!AG$6,単価表!$AY$63:$CC$63,0)))*$Y11/25,0),0)</f>
        <v>0</v>
      </c>
      <c r="AH11" s="976" cm="1">
        <f t="array" ref="AH11">IFERROR(IF(HLOOKUP($U11,加算と減算!$E$4:$P$10,2,FALSE)="○",IF(OR($U11=2,$U11=3),
INDEX(単価表!$AY$64:$CC$71,MATCH($V11&amp;$W11,INDEX(単価表!$AY$64:$AY$71&amp;単価表!$AZ$64:$AZ$71,),),MATCH(内訳計算!AH$6,単価表!$AY$63:$CC$63,0)),
INDEX(単価表!$AY$64:$CC$71,MATCH($V11&amp;$W11,INDEX(単価表!$AY$64:$AY$71&amp;単価表!$AZ$64:$AZ$71,),),MATCH(内訳計算!AH$6,単価表!$AY$63:$CC$63,0))),0),0)</f>
        <v>0</v>
      </c>
      <c r="AI11" s="978" cm="1">
        <f t="array" ref="AI11">IFERROR(ROUNDDOWN(IF(HLOOKUP($U11,加算と減算!$E$4:$P$10,2,FALSE)="○",IF(OR($U11=2,$U11=3),
INDEX(単価表!$AY$64:$CC$71,MATCH($V11&amp;$W11,INDEX(単価表!$AY$64:$AY$71&amp;単価表!$AZ$64:$AZ$71,),),MATCH(内訳計算!AI$6,単価表!$AY$63:$CC$63,0)),
INDEX(単価表!$AY$64:$CC$71,MATCH($V11&amp;$W11,INDEX(単価表!$AY$64:$AY$71&amp;単価表!$AZ$64:$AZ$71,),),MATCH(内訳計算!AI$6,単価表!$AY$63:$CC$63,0))),0)*$Y11/25,0),0)</f>
        <v>0</v>
      </c>
      <c r="AJ11" s="977" cm="1">
        <f t="array" ref="AJ11">IFERROR(ROUNDDOWN(IF(HLOOKUP($U11,加算と減算!$E$4:$P$10,2,FALSE)="○",IF(OR($U11=2,$U11=3),
INDEX(単価表!$AY$64:$CC$71,MATCH($V11&amp;$W11,INDEX(単価表!$AY$64:$AY$71&amp;単価表!$AZ$64:$AZ$71,),),MATCH(内訳計算!AJ$6,単価表!$AY$63:$CC$63,0)),
INDEX(単価表!$AY$64:$CC$71,MATCH($V11&amp;$W11,INDEX(単価表!$AY$64:$AY$71&amp;単価表!$AZ$64:$AZ$71,),),MATCH(内訳計算!AJ$6,単価表!$AY$63:$CC$63,0))),0)*$Y11/25,0),0)</f>
        <v>0</v>
      </c>
      <c r="AK11" s="975" cm="1">
        <f t="array" ref="AK11">IFERROR(ROUNDDOWN(IF(HLOOKUP($U11,加算と減算!$E$4:$P$10,2,FALSE)="○",IF(OR($U11=2,$U11=3),
INDEX(単価表!$AY$64:$CC$71,MATCH($V11&amp;$W11,INDEX(単価表!$AY$64:$AY$71&amp;単価表!$AZ$64:$AZ$71,),),MATCH(内訳計算!AK$6,単価表!$AY$63:$CC$63,0)),
INDEX(単価表!$AY$64:$CC$71,MATCH($V11&amp;$W11,INDEX(単価表!$AY$64:$AY$71&amp;単価表!$AZ$64:$AZ$71,),),MATCH(内訳計算!AK$6,単価表!$AY$63:$CC$63,0))),0)*$Y11/25,0),0)</f>
        <v>0</v>
      </c>
      <c r="AL11" s="976" cm="1">
        <f t="array" ref="AL11">IFERROR(IF(HLOOKUP($U11,加算と減算!$E$4:$P$10,4,FALSE)="○",IF(OR($U11=2,$U11=3),
INDEX(単価表!$AY$64:$CC$71,MATCH($V11&amp;$W11,INDEX(単価表!$AY$64:$AY$71&amp;単価表!$AZ$64:$AZ$71,),),MATCH(内訳計算!AL$6,単価表!$AY$63:$CC$63,0)),
INDEX(単価表!$AY$64:$CC$71,MATCH($V11&amp;$W11,INDEX(単価表!$AY$64:$AY$71&amp;単価表!$AZ$64:$AZ$71,),),MATCH(内訳計算!AL$6,単価表!$AY$63:$CC$63,0))),0),0)</f>
        <v>0</v>
      </c>
      <c r="AM11" s="977" cm="1">
        <f t="array" ref="AM11">IFERROR(ROUNDDOWN(IF(HLOOKUP($U11,加算と減算!$E$4:$P$10,4,FALSE)="○",IF(OR($U11=2,$U11=3),
INDEX(単価表!$AY$64:$CC$71,MATCH($V11&amp;$W11,INDEX(単価表!$AY$64:$AY$71&amp;単価表!$AZ$64:$AZ$71,),),MATCH(内訳計算!AM$6,単価表!$AY$63:$CC$63,0)),
INDEX(単価表!$AY$64:$CC$71,MATCH($V11&amp;$W11,INDEX(単価表!$AY$64:$AY$71&amp;単価表!$AZ$64:$AZ$71,),),MATCH(内訳計算!AM$6,単価表!$AY$63:$CC$63,0))),0)*$Y11/25,0),0)</f>
        <v>0</v>
      </c>
      <c r="AN11" s="977" cm="1">
        <f t="array" ref="AN11">IFERROR(ROUNDDOWN(IF(HLOOKUP($U11,加算と減算!$E$4:$P$10,4,FALSE)="○",IF(OR($U11=2,$U11=3),
INDEX(単価表!$AY$64:$CC$71,MATCH($V11&amp;$W11,INDEX(単価表!$AY$64:$AY$71&amp;単価表!$AZ$64:$AZ$71,),),MATCH(内訳計算!AN$6,単価表!$AY$63:$CC$63,0)),
INDEX(単価表!$AY$64:$CC$71,MATCH($V11&amp;$W11,INDEX(単価表!$AY$64:$AY$71&amp;単価表!$AZ$64:$AZ$71,),),MATCH(内訳計算!AN$6,単価表!$AY$63:$CC$63,0))),0)*$Y11/25,0),0)</f>
        <v>0</v>
      </c>
      <c r="AO11" s="977" cm="1">
        <f t="array" ref="AO11">IFERROR(ROUNDDOWN(IF(HLOOKUP($U11,加算と減算!$E$4:$P$10,4,FALSE)="○",IF(OR($U11=2,$U11=3),
INDEX(単価表!$AY$64:$CC$71,MATCH($V11&amp;$W11,INDEX(単価表!$AY$64:$AY$71&amp;単価表!$AZ$64:$AZ$71,),),MATCH(内訳計算!AO$6,単価表!$AY$63:$CC$63,0)),
INDEX(単価表!$AY$64:$CC$71,MATCH($V11&amp;$W11,INDEX(単価表!$AY$64:$AY$71&amp;単価表!$AZ$64:$AZ$71,),),MATCH(内訳計算!AO$6,単価表!$AY$63:$CC$63,0))),0)*$Y11/25,0),0)</f>
        <v>0</v>
      </c>
      <c r="AP11" s="977" cm="1">
        <f t="array" ref="AP11">IFERROR(ROUNDDOWN(IF(HLOOKUP($U11,加算と減算!$E$4:$P$10,4,FALSE)="○",IF(OR($U11=2,$U11=3),
INDEX(単価表!$AY$64:$CC$71,MATCH($V11&amp;$W11,INDEX(単価表!$AY$64:$AY$71&amp;単価表!$AZ$64:$AZ$71,),),MATCH(内訳計算!AP$6,単価表!$AY$63:$CC$63,0)),
INDEX(単価表!$AY$64:$CC$71,MATCH($V11&amp;$W11,INDEX(単価表!$AY$64:$AY$71&amp;単価表!$AZ$64:$AZ$71,),),MATCH(内訳計算!AP$6,単価表!$AY$63:$CC$63,0))),0)*$Y11/25,0),0)</f>
        <v>0</v>
      </c>
      <c r="AQ11" s="975" cm="1">
        <f t="array" ref="AQ11">IFERROR(ROUNDDOWN(IF(HLOOKUP($U11,加算と減算!$E$4:$P$10,4,FALSE)="○",IF(OR($U11=2,$U11=3),
INDEX(単価表!$AY$64:$CC$71,MATCH($V11&amp;$W11,INDEX(単価表!$AY$64:$AY$71&amp;単価表!$AZ$64:$AZ$71,),),MATCH(内訳計算!AQ$6,単価表!$AY$63:$CC$63,0)),
INDEX(単価表!$AY$64:$CC$71,MATCH($V11&amp;$W11,INDEX(単価表!$AY$64:$AY$71&amp;単価表!$AZ$64:$AZ$71,),),MATCH(内訳計算!AQ$6,単価表!$AY$63:$CC$63,0))),0)*$Y11/25,0),0)</f>
        <v>0</v>
      </c>
      <c r="AR11" s="976" cm="1">
        <f t="array" ref="AR11">IFERROR(IF(HLOOKUP($U11,加算と減算!$E$4:$P$10,5,FALSE)="○",IF(OR($U11=2,$U11=3),
INDEX(単価表!$AY$64:$CC$71,MATCH($V11&amp;$W11,INDEX(単価表!$AY$64:$AY$71&amp;単価表!$AZ$64:$AZ$71,),),MATCH(内訳計算!AR$6,単価表!$AY$63:$CC$63,0)),
INDEX(単価表!$AY$64:$CC$71,MATCH($V11&amp;$W11,INDEX(単価表!$AY$64:$AY$71&amp;単価表!$AZ$64:$AZ$71,),),MATCH(内訳計算!AR$6,単価表!$AY$63:$CC$63,0))),0),0)</f>
        <v>0</v>
      </c>
      <c r="AS11" s="975" cm="1">
        <f t="array" ref="AS11">IFERROR(ROUNDDOWN(IF(HLOOKUP($U11,加算と減算!$E$4:$P$10,5,FALSE)="○",IF(OR($U11=2,$U11=3),
INDEX(単価表!$AY$64:$CC$71,MATCH($V11&amp;$W11,INDEX(単価表!$AY$64:$AY$71&amp;単価表!$AZ$64:$AZ$71,),),MATCH(内訳計算!AS$6,単価表!$AY$63:$CC$63,0)),
INDEX(単価表!$AY$64:$CC$71,MATCH($V11&amp;$W11,INDEX(単価表!$AY$64:$AY$71&amp;単価表!$AZ$64:$AZ$71,),),MATCH(内訳計算!AS$6,単価表!$AY$63:$CC$63,0))),0)*$Y11/25,0),0)</f>
        <v>0</v>
      </c>
      <c r="AT11" s="976" cm="1">
        <f t="array" ref="AT11">IFERROR(IF(HLOOKUP($U11,加算と減算!$E$4:$P$10,6,FALSE)="○",IF(OR($U11=2,$U11=3),
INDEX(単価表!$AY$64:$CC$71,MATCH($V11&amp;$W11,INDEX(単価表!$AY$64:$AY$71&amp;単価表!$AZ$64:$AZ$71,),),MATCH(内訳計算!AT$6,単価表!$AY$63:$CC$63,0)),
INDEX(単価表!$AY$64:$CC$71,MATCH($V11&amp;$W11,INDEX(単価表!$AY$64:$AY$71&amp;単価表!$AZ$64:$AZ$71,),),MATCH(内訳計算!AT$6,単価表!$AY$63:$CC$63,0))),0),0)</f>
        <v>0</v>
      </c>
      <c r="AU11" s="975" cm="1">
        <f t="array" ref="AU11">IFERROR(ROUNDDOWN(IF(HLOOKUP($U11,加算と減算!$E$4:$P$10,6,FALSE)="○",IF(OR($U11=2,$U11=3),
INDEX(単価表!$AY$64:$CC$71,MATCH($V11&amp;$W11,INDEX(単価表!$AY$64:$AY$71&amp;単価表!$AZ$64:$AZ$71,),),MATCH(内訳計算!AU$6,単価表!$AY$63:$CC$63,0)),
INDEX(単価表!$AY$64:$CC$71,MATCH($V11&amp;$W11,INDEX(単価表!$AY$64:$AY$71&amp;単価表!$AZ$64:$AZ$71,),),MATCH(内訳計算!AU$6,単価表!$AY$63:$CC$63,0))),0)*$Y11/25,0),0)</f>
        <v>0</v>
      </c>
      <c r="AV11" s="976" cm="1">
        <f t="array" ref="AV11">IFERROR(IF(HLOOKUP($U11,加算と減算!$E$4:$P$10,7,FALSE)="○",IF(OR($U11=2,$U11=3),
INDEX(単価表!$AY$64:$CC$71,MATCH($V11&amp;$W11,INDEX(単価表!$AY$64:$AY$71&amp;単価表!$AZ$64:$AZ$71,),),MATCH(内訳計算!AV$6,単価表!$AY$63:$CC$63,0)),
INDEX(単価表!$AY$64:$CC$71,MATCH($V11&amp;$W11,INDEX(単価表!$AY$64:$AY$71&amp;単価表!$AZ$64:$AZ$71,),),MATCH(内訳計算!AV$6,単価表!$AY$63:$CC$63,0))),0),0)</f>
        <v>0</v>
      </c>
      <c r="AW11" s="977" cm="1">
        <f t="array" ref="AW11">IFERROR(ROUNDDOWN(IF(HLOOKUP($U11,加算と減算!$E$4:$P$10,7,FALSE)="○",IF(OR($U11=2,$U11=3),
INDEX(単価表!$AY$64:$CC$71,MATCH($V11&amp;$W11,INDEX(単価表!$AY$64:$AY$71&amp;単価表!$AZ$64:$AZ$71,),),MATCH(内訳計算!AW$6,単価表!$AY$63:$CC$63,0)),
INDEX(単価表!$AY$64:$CC$71,MATCH($V11&amp;$W11,INDEX(単価表!$AY$64:$AY$71&amp;単価表!$AZ$64:$AZ$71,),),MATCH(内訳計算!AW$6,単価表!$AY$63:$CC$63,0))),0)*$Y11/25,0),0)</f>
        <v>0</v>
      </c>
      <c r="AX11" s="977" cm="1">
        <f t="array" ref="AX11">IFERROR(ROUNDDOWN(IF(HLOOKUP($U11,加算と減算!$E$4:$P$10,7,FALSE)="○",IF(OR($U11=2,$U11=3),
INDEX(単価表!$AY$64:$CC$71,MATCH($V11&amp;$W11,INDEX(単価表!$AY$64:$AY$71&amp;単価表!$AZ$64:$AZ$71,),),MATCH(内訳計算!AX$6,単価表!$AY$63:$CC$63,0)),
INDEX(単価表!$AY$64:$CC$71,MATCH($V11&amp;$W11,INDEX(単価表!$AY$64:$AY$71&amp;単価表!$AZ$64:$AZ$71,),),MATCH(内訳計算!AX$6,単価表!$AY$63:$CC$63,0))),0)*$Y11/25,0),0)</f>
        <v>0</v>
      </c>
      <c r="AY11" s="975" cm="1">
        <f t="array" ref="AY11">IFERROR(ROUNDDOWN(IF(HLOOKUP($U11,加算と減算!$E$4:$P$10,7,FALSE)="○",IF(OR($U11=2,$U11=3),
INDEX(単価表!$AY$64:$CC$71,MATCH($V11&amp;$W11,INDEX(単価表!$AY$64:$AY$71&amp;単価表!$AZ$64:$AZ$71,),),MATCH(内訳計算!AY$6,単価表!$AY$63:$CC$63,0)),
INDEX(単価表!$AY$64:$CC$71,MATCH($V11&amp;$W11,INDEX(単価表!$AY$64:$AY$71&amp;単価表!$AZ$64:$AZ$71,),),MATCH(内訳計算!AY$6,単価表!$AY$63:$CC$63,0))),0)*$Y11/25,0),0)</f>
        <v>0</v>
      </c>
      <c r="AZ11" s="976" cm="1">
        <f t="array" ref="AZ11">IFERROR(IF(X11="○",INDEX(単価表!$AY$64:$CC$71,MATCH($V11&amp;$W11,INDEX(単価表!$AY$64:$AY$71&amp;単価表!$AZ$64:$AZ$71,),),MATCH(内訳計算!AZ$6,単価表!$AY$63:$CC$63,0)),0),0)</f>
        <v>0</v>
      </c>
      <c r="BA11" s="975" cm="1">
        <f t="array" ref="BA11">IFERROR(ROUNDDOWN(INDEX(単価表!$AY$64:$CC$71,MATCH($V11&amp;$W11,INDEX(単価表!$AY$64:$AY$71&amp;単価表!$AZ$64:$AZ$71,),),MATCH(内訳計算!BA$6,単価表!$AY$63:$CC$63,0))*$Y11/25,0),0)</f>
        <v>0</v>
      </c>
      <c r="BB11" s="976" cm="1">
        <f t="array" ref="BB11">IFERROR(INDEX(単価表!$AY$64:$CC$71,MATCH($V11&amp;$W11,INDEX(単価表!$AY$64:$AY$71&amp;単価表!$AZ$64:$AZ$71,),),MATCH(内訳計算!BB$6,単価表!$AY$63:$CC$63,0)),0)</f>
        <v>0</v>
      </c>
      <c r="BC11" s="975" cm="1">
        <f t="array" ref="BC11">IFERROR(ROUNDDOWN(INDEX(単価表!$AY$64:$CC$71,MATCH($V11&amp;$W11,INDEX(単価表!$AY$64:$AY$71&amp;単価表!$AZ$64:$AZ$71,),),MATCH(内訳計算!BC$6,単価表!$AY$63:$CC$63,0))*$Y11/25,0),0)</f>
        <v>0</v>
      </c>
      <c r="BD11" s="985">
        <f>IFERROR(IF(HLOOKUP($U11,加算と減算!$E$31:$P$32,2,FALSE)="○",IF(OR($U11=2,$U11=3),-(単価表!$AZ$7+単価表!$BA$7*基本情報!$G$7),-(単価表!$AZ$7+単価表!$BA$7*基本情報!$G$7)),0),0)</f>
        <v>0</v>
      </c>
      <c r="BE11" s="986" t="e">
        <f t="shared" si="8"/>
        <v>#VALUE!</v>
      </c>
      <c r="BF11" s="986" t="e">
        <f t="shared" si="9"/>
        <v>#VALUE!</v>
      </c>
      <c r="BG11" s="987" t="e">
        <f t="shared" si="10"/>
        <v>#N/A</v>
      </c>
      <c r="BH11" s="988">
        <f>IFERROR(IF(基本情報!$E$12&lt;&gt;"",-ROUNDDOWN((AA11+AE11+AH11+AL11)*基本情報!$H$12/100,-1),0),0)</f>
        <v>0</v>
      </c>
      <c r="BI11" s="986" t="e">
        <f t="shared" si="11"/>
        <v>#VALUE!</v>
      </c>
      <c r="BJ11" s="986" t="e">
        <f t="shared" si="12"/>
        <v>#VALUE!</v>
      </c>
      <c r="BK11" s="989" t="e">
        <f t="shared" si="13"/>
        <v>#N/A</v>
      </c>
      <c r="BL11" s="990">
        <f>IFERROR(-ROUNDUP(SUM(AA11,AE11,AH11,AL11,AR11,AT11,AV11,BD11,BH11)*基本情報!$H$14/100,-1),0)</f>
        <v>0</v>
      </c>
      <c r="BM11" s="991" t="e">
        <f t="shared" si="14"/>
        <v>#VALUE!</v>
      </c>
      <c r="BN11" s="991" t="e">
        <f t="shared" si="15"/>
        <v>#VALUE!</v>
      </c>
      <c r="BO11" s="992" t="e">
        <f t="shared" si="16"/>
        <v>#N/A</v>
      </c>
      <c r="BP11" s="701"/>
      <c r="BQ11" s="701"/>
      <c r="BR11" s="701"/>
      <c r="BS11" s="701"/>
      <c r="BT11" s="721"/>
      <c r="BU11" s="1043" t="e">
        <f t="shared" si="17"/>
        <v>#VALUE!</v>
      </c>
      <c r="BV11" s="1044" t="e">
        <f t="shared" si="18"/>
        <v>#VALUE!</v>
      </c>
      <c r="BW11" s="1044" t="e">
        <f t="shared" si="19"/>
        <v>#N/A</v>
      </c>
      <c r="BX11" s="1051">
        <f t="shared" si="20"/>
        <v>0</v>
      </c>
      <c r="BY11" s="1045">
        <f t="shared" si="21"/>
        <v>0</v>
      </c>
      <c r="CB11" s="1626"/>
      <c r="CC11" s="1600"/>
      <c r="CD11" s="383" t="s">
        <v>69</v>
      </c>
      <c r="CE11" s="736"/>
      <c r="CF11" s="672">
        <f>'4月'!AQ10</f>
        <v>0</v>
      </c>
      <c r="CG11" s="672">
        <f>'5月'!AQ10</f>
        <v>0</v>
      </c>
      <c r="CH11" s="672">
        <f>'6月'!AQ10</f>
        <v>0</v>
      </c>
      <c r="CI11" s="672">
        <f>'7月'!AQ10</f>
        <v>0</v>
      </c>
      <c r="CJ11" s="672">
        <f>'8月'!AQ10</f>
        <v>0</v>
      </c>
      <c r="CK11" s="672">
        <f>'9月'!AQ10</f>
        <v>0</v>
      </c>
      <c r="CL11" s="672">
        <f>'10月'!AQ10</f>
        <v>0</v>
      </c>
      <c r="CM11" s="672">
        <f>'11月'!AQ10</f>
        <v>0</v>
      </c>
      <c r="CN11" s="672">
        <f>'12月'!AQ10</f>
        <v>0</v>
      </c>
      <c r="CO11" s="672">
        <f>'1月'!AQ10</f>
        <v>0</v>
      </c>
      <c r="CP11" s="672">
        <f>'2月'!AQ10</f>
        <v>0</v>
      </c>
      <c r="CQ11" s="756">
        <f>'3月'!AQ10</f>
        <v>0</v>
      </c>
      <c r="CR11" s="759">
        <f t="shared" si="22"/>
        <v>0</v>
      </c>
      <c r="CS11" s="1600"/>
      <c r="CT11" s="383" t="s">
        <v>69</v>
      </c>
      <c r="CU11" s="736"/>
      <c r="CV11" s="771" t="e">
        <f>Q101</f>
        <v>#DIV/0!</v>
      </c>
      <c r="CW11" s="771">
        <f>Q99</f>
        <v>0</v>
      </c>
      <c r="CX11" s="771">
        <f>Q100</f>
        <v>0</v>
      </c>
      <c r="CY11" s="1055">
        <f>IFERROR(Q97,0)</f>
        <v>0</v>
      </c>
      <c r="CZ11" s="1055">
        <f>IFERROR(Q98,0)</f>
        <v>0</v>
      </c>
      <c r="DA11" s="721"/>
      <c r="DB11" s="721"/>
    </row>
    <row r="12" spans="1:109" ht="16.149999999999999" customHeight="1">
      <c r="A12" s="1652"/>
      <c r="B12" s="1655"/>
      <c r="C12" s="1542"/>
      <c r="D12" s="667" t="s">
        <v>8</v>
      </c>
      <c r="E12" s="668">
        <f>SUM(児童数!L8:L17)</f>
        <v>0</v>
      </c>
      <c r="F12" s="668" t="e">
        <f>'4月'!L6</f>
        <v>#VALUE!</v>
      </c>
      <c r="G12" s="668">
        <f>G6</f>
        <v>10478</v>
      </c>
      <c r="H12" s="668" t="e">
        <f>INDEX(事業費・管理費!$C$11:$T$15,MATCH(D12,事業費・管理費!$C$11:$C$15,0),MATCH(基本情報!$AA$4,事業費・管理費!$C$11:$T$11,0))</f>
        <v>#N/A</v>
      </c>
      <c r="I12" s="668" t="e">
        <f>F12-G12-H12</f>
        <v>#VALUE!</v>
      </c>
      <c r="J12" s="668" t="e">
        <f t="shared" si="23"/>
        <v>#VALUE!</v>
      </c>
      <c r="K12" s="668">
        <f t="shared" si="24"/>
        <v>0</v>
      </c>
      <c r="L12" s="706" t="e">
        <f t="shared" si="25"/>
        <v>#N/A</v>
      </c>
      <c r="M12" s="674"/>
      <c r="N12" s="696"/>
      <c r="O12" s="696"/>
      <c r="P12" s="696"/>
      <c r="T12" s="682">
        <v>6</v>
      </c>
      <c r="U12" s="918">
        <f>月途中入退所情報!D13</f>
        <v>0</v>
      </c>
      <c r="V12" s="918">
        <f>月途中入退所情報!H13</f>
        <v>0</v>
      </c>
      <c r="W12" s="918">
        <f>月途中入退所情報!G13</f>
        <v>0</v>
      </c>
      <c r="X12" s="945">
        <f>月途中入退所情報!I13</f>
        <v>0</v>
      </c>
      <c r="Y12" s="918">
        <f>月途中入退所情報!J13</f>
        <v>0</v>
      </c>
      <c r="Z12" s="993">
        <f t="shared" si="6"/>
        <v>0</v>
      </c>
      <c r="AA12" s="976" cm="1">
        <f t="array" ref="AA12">IFERROR(IF(OR($U12=2,$U12=3),
INDEX(単価表!$AY$64:$CC$71,MATCH($V12&amp;$W12,INDEX(単価表!$AY$64:$AY$71&amp;単価表!$AZ$64:$AZ$71,),),MATCH(内訳計算!AA$6,単価表!$AY$63:$CC$63,0)),
INDEX(単価表!$AY$64:$CC$71,MATCH($V12&amp;$W12,INDEX(単価表!$AY$64:$AY$71&amp;単価表!$AZ$64:$AZ$71,),),MATCH(内訳計算!AA$6,単価表!$AY$63:$CC$63,0))),0)</f>
        <v>0</v>
      </c>
      <c r="AB12" s="977" t="e">
        <f t="shared" si="7"/>
        <v>#VALUE!</v>
      </c>
      <c r="AC12" s="977" cm="1">
        <f t="array" ref="AC12">IFERROR(ROUNDDOWN(IF(OR($U12=2,$U12=3),
INDEX(単価表!$AY$64:$CC$71,MATCH($V12&amp;$W12,INDEX(単価表!$AY$64:$AY$71&amp;単価表!$AZ$64:$AZ$71,),),MATCH(内訳計算!AC$6,単価表!$AY$63:$CC$63,0)),
INDEX(単価表!$AY$64:$CC$71,MATCH($V12&amp;$W12,INDEX(単価表!$AY$64:$AY$71&amp;単価表!$AZ$64:$AZ$71,),),MATCH(内訳計算!AC$6,単価表!$AY$63:$CC$63,0)))*$Y12/25,0),0)</f>
        <v>0</v>
      </c>
      <c r="AD12" s="975" cm="1">
        <f t="array" ref="AD12">IFERROR(ROUNDDOWN(IF(OR($U12=2,$U12=3),
INDEX(単価表!$AY$64:$CC$71,MATCH($V12&amp;$W12,INDEX(単価表!$AY$64:$AY$71&amp;単価表!$AZ$64:$AZ$71,),),MATCH(内訳計算!AD$6,単価表!$AY$63:$CC$63,0)),
INDEX(単価表!$AY$64:$CC$71,MATCH($V12&amp;$W12,INDEX(単価表!$AY$64:$AY$71&amp;単価表!$AZ$64:$AZ$71,),),MATCH(内訳計算!AD$6,単価表!$AY$63:$CC$63,0)))*$Y12/25,0),0)</f>
        <v>0</v>
      </c>
      <c r="AE12" s="976" cm="1">
        <f t="array" ref="AE12">IFERROR(IF(OR($U12=2,$U12=3),
INDEX(単価表!$AY$64:$CC$71,MATCH($V12&amp;$W12,INDEX(単価表!$AY$64:$AY$71&amp;単価表!$AZ$64:$AZ$71,),),MATCH(内訳計算!AE$6,単価表!$AY$63:$CC$63,0)),
INDEX(単価表!$AY$64:$CC$71,MATCH($V12&amp;$W12,INDEX(単価表!$AY$64:$AY$71&amp;単価表!$AZ$64:$AZ$71,),),MATCH(内訳計算!AE$6,単価表!$AY$63:$CC$63,0))),0)</f>
        <v>0</v>
      </c>
      <c r="AF12" s="977" cm="1">
        <f t="array" ref="AF12">IFERROR(ROUNDDOWN(IF(OR($U12=2,$U12=3),
INDEX(単価表!$AY$64:$CC$71,MATCH($V12&amp;$W12,INDEX(単価表!$AY$64:$AY$71&amp;単価表!$AZ$64:$AZ$71,),),MATCH(内訳計算!AF$6,単価表!$AY$63:$CC$63,0)),
INDEX(単価表!$AY$64:$CC$71,MATCH($V12&amp;$W12,INDEX(単価表!$AY$64:$AY$71&amp;単価表!$AZ$64:$AZ$71,),),MATCH(内訳計算!AF$6,単価表!$AY$63:$CC$63,0)))*$Y12/25,0),0)</f>
        <v>0</v>
      </c>
      <c r="AG12" s="975" cm="1">
        <f t="array" ref="AG12">IFERROR(ROUNDDOWN(IF(OR($U12=2,$U12=3),
INDEX(単価表!$AY$64:$CC$71,MATCH($V12&amp;$W12,INDEX(単価表!$AY$64:$AY$71&amp;単価表!$AZ$64:$AZ$71,),),MATCH(内訳計算!AG$6,単価表!$AY$63:$CC$63,0)),
INDEX(単価表!$AY$64:$CC$71,MATCH($V12&amp;$W12,INDEX(単価表!$AY$64:$AY$71&amp;単価表!$AZ$64:$AZ$71,),),MATCH(内訳計算!AG$6,単価表!$AY$63:$CC$63,0)))*$Y12/25,0),0)</f>
        <v>0</v>
      </c>
      <c r="AH12" s="976" cm="1">
        <f t="array" ref="AH12">IFERROR(IF(HLOOKUP($U12,加算と減算!$E$4:$P$10,2,FALSE)="○",IF(OR($U12=2,$U12=3),
INDEX(単価表!$AY$64:$CC$71,MATCH($V12&amp;$W12,INDEX(単価表!$AY$64:$AY$71&amp;単価表!$AZ$64:$AZ$71,),),MATCH(内訳計算!AH$6,単価表!$AY$63:$CC$63,0)),
INDEX(単価表!$AY$64:$CC$71,MATCH($V12&amp;$W12,INDEX(単価表!$AY$64:$AY$71&amp;単価表!$AZ$64:$AZ$71,),),MATCH(内訳計算!AH$6,単価表!$AY$63:$CC$63,0))),0),0)</f>
        <v>0</v>
      </c>
      <c r="AI12" s="978" cm="1">
        <f t="array" ref="AI12">IFERROR(ROUNDDOWN(IF(HLOOKUP($U12,加算と減算!$E$4:$P$10,2,FALSE)="○",IF(OR($U12=2,$U12=3),
INDEX(単価表!$AY$64:$CC$71,MATCH($V12&amp;$W12,INDEX(単価表!$AY$64:$AY$71&amp;単価表!$AZ$64:$AZ$71,),),MATCH(内訳計算!AI$6,単価表!$AY$63:$CC$63,0)),
INDEX(単価表!$AY$64:$CC$71,MATCH($V12&amp;$W12,INDEX(単価表!$AY$64:$AY$71&amp;単価表!$AZ$64:$AZ$71,),),MATCH(内訳計算!AI$6,単価表!$AY$63:$CC$63,0))),0)*$Y12/25,0),0)</f>
        <v>0</v>
      </c>
      <c r="AJ12" s="977" cm="1">
        <f t="array" ref="AJ12">IFERROR(ROUNDDOWN(IF(HLOOKUP($U12,加算と減算!$E$4:$P$10,2,FALSE)="○",IF(OR($U12=2,$U12=3),
INDEX(単価表!$AY$64:$CC$71,MATCH($V12&amp;$W12,INDEX(単価表!$AY$64:$AY$71&amp;単価表!$AZ$64:$AZ$71,),),MATCH(内訳計算!AJ$6,単価表!$AY$63:$CC$63,0)),
INDEX(単価表!$AY$64:$CC$71,MATCH($V12&amp;$W12,INDEX(単価表!$AY$64:$AY$71&amp;単価表!$AZ$64:$AZ$71,),),MATCH(内訳計算!AJ$6,単価表!$AY$63:$CC$63,0))),0)*$Y12/25,0),0)</f>
        <v>0</v>
      </c>
      <c r="AK12" s="975" cm="1">
        <f t="array" ref="AK12">IFERROR(ROUNDDOWN(IF(HLOOKUP($U12,加算と減算!$E$4:$P$10,2,FALSE)="○",IF(OR($U12=2,$U12=3),
INDEX(単価表!$AY$64:$CC$71,MATCH($V12&amp;$W12,INDEX(単価表!$AY$64:$AY$71&amp;単価表!$AZ$64:$AZ$71,),),MATCH(内訳計算!AK$6,単価表!$AY$63:$CC$63,0)),
INDEX(単価表!$AY$64:$CC$71,MATCH($V12&amp;$W12,INDEX(単価表!$AY$64:$AY$71&amp;単価表!$AZ$64:$AZ$71,),),MATCH(内訳計算!AK$6,単価表!$AY$63:$CC$63,0))),0)*$Y12/25,0),0)</f>
        <v>0</v>
      </c>
      <c r="AL12" s="976" cm="1">
        <f t="array" ref="AL12">IFERROR(IF(HLOOKUP($U12,加算と減算!$E$4:$P$10,4,FALSE)="○",IF(OR($U12=2,$U12=3),
INDEX(単価表!$AY$64:$CC$71,MATCH($V12&amp;$W12,INDEX(単価表!$AY$64:$AY$71&amp;単価表!$AZ$64:$AZ$71,),),MATCH(内訳計算!AL$6,単価表!$AY$63:$CC$63,0)),
INDEX(単価表!$AY$64:$CC$71,MATCH($V12&amp;$W12,INDEX(単価表!$AY$64:$AY$71&amp;単価表!$AZ$64:$AZ$71,),),MATCH(内訳計算!AL$6,単価表!$AY$63:$CC$63,0))),0),0)</f>
        <v>0</v>
      </c>
      <c r="AM12" s="977" cm="1">
        <f t="array" ref="AM12">IFERROR(ROUNDDOWN(IF(HLOOKUP($U12,加算と減算!$E$4:$P$10,4,FALSE)="○",IF(OR($U12=2,$U12=3),
INDEX(単価表!$AY$64:$CC$71,MATCH($V12&amp;$W12,INDEX(単価表!$AY$64:$AY$71&amp;単価表!$AZ$64:$AZ$71,),),MATCH(内訳計算!AM$6,単価表!$AY$63:$CC$63,0)),
INDEX(単価表!$AY$64:$CC$71,MATCH($V12&amp;$W12,INDEX(単価表!$AY$64:$AY$71&amp;単価表!$AZ$64:$AZ$71,),),MATCH(内訳計算!AM$6,単価表!$AY$63:$CC$63,0))),0)*$Y12/25,0),0)</f>
        <v>0</v>
      </c>
      <c r="AN12" s="977" cm="1">
        <f t="array" ref="AN12">IFERROR(ROUNDDOWN(IF(HLOOKUP($U12,加算と減算!$E$4:$P$10,4,FALSE)="○",IF(OR($U12=2,$U12=3),
INDEX(単価表!$AY$64:$CC$71,MATCH($V12&amp;$W12,INDEX(単価表!$AY$64:$AY$71&amp;単価表!$AZ$64:$AZ$71,),),MATCH(内訳計算!AN$6,単価表!$AY$63:$CC$63,0)),
INDEX(単価表!$AY$64:$CC$71,MATCH($V12&amp;$W12,INDEX(単価表!$AY$64:$AY$71&amp;単価表!$AZ$64:$AZ$71,),),MATCH(内訳計算!AN$6,単価表!$AY$63:$CC$63,0))),0)*$Y12/25,0),0)</f>
        <v>0</v>
      </c>
      <c r="AO12" s="977" cm="1">
        <f t="array" ref="AO12">IFERROR(ROUNDDOWN(IF(HLOOKUP($U12,加算と減算!$E$4:$P$10,4,FALSE)="○",IF(OR($U12=2,$U12=3),
INDEX(単価表!$AY$64:$CC$71,MATCH($V12&amp;$W12,INDEX(単価表!$AY$64:$AY$71&amp;単価表!$AZ$64:$AZ$71,),),MATCH(内訳計算!AO$6,単価表!$AY$63:$CC$63,0)),
INDEX(単価表!$AY$64:$CC$71,MATCH($V12&amp;$W12,INDEX(単価表!$AY$64:$AY$71&amp;単価表!$AZ$64:$AZ$71,),),MATCH(内訳計算!AO$6,単価表!$AY$63:$CC$63,0))),0)*$Y12/25,0),0)</f>
        <v>0</v>
      </c>
      <c r="AP12" s="977" cm="1">
        <f t="array" ref="AP12">IFERROR(ROUNDDOWN(IF(HLOOKUP($U12,加算と減算!$E$4:$P$10,4,FALSE)="○",IF(OR($U12=2,$U12=3),
INDEX(単価表!$AY$64:$CC$71,MATCH($V12&amp;$W12,INDEX(単価表!$AY$64:$AY$71&amp;単価表!$AZ$64:$AZ$71,),),MATCH(内訳計算!AP$6,単価表!$AY$63:$CC$63,0)),
INDEX(単価表!$AY$64:$CC$71,MATCH($V12&amp;$W12,INDEX(単価表!$AY$64:$AY$71&amp;単価表!$AZ$64:$AZ$71,),),MATCH(内訳計算!AP$6,単価表!$AY$63:$CC$63,0))),0)*$Y12/25,0),0)</f>
        <v>0</v>
      </c>
      <c r="AQ12" s="975" cm="1">
        <f t="array" ref="AQ12">IFERROR(ROUNDDOWN(IF(HLOOKUP($U12,加算と減算!$E$4:$P$10,4,FALSE)="○",IF(OR($U12=2,$U12=3),
INDEX(単価表!$AY$64:$CC$71,MATCH($V12&amp;$W12,INDEX(単価表!$AY$64:$AY$71&amp;単価表!$AZ$64:$AZ$71,),),MATCH(内訳計算!AQ$6,単価表!$AY$63:$CC$63,0)),
INDEX(単価表!$AY$64:$CC$71,MATCH($V12&amp;$W12,INDEX(単価表!$AY$64:$AY$71&amp;単価表!$AZ$64:$AZ$71,),),MATCH(内訳計算!AQ$6,単価表!$AY$63:$CC$63,0))),0)*$Y12/25,0),0)</f>
        <v>0</v>
      </c>
      <c r="AR12" s="976" cm="1">
        <f t="array" ref="AR12">IFERROR(IF(HLOOKUP($U12,加算と減算!$E$4:$P$10,5,FALSE)="○",IF(OR($U12=2,$U12=3),
INDEX(単価表!$AY$64:$CC$71,MATCH($V12&amp;$W12,INDEX(単価表!$AY$64:$AY$71&amp;単価表!$AZ$64:$AZ$71,),),MATCH(内訳計算!AR$6,単価表!$AY$63:$CC$63,0)),
INDEX(単価表!$AY$64:$CC$71,MATCH($V12&amp;$W12,INDEX(単価表!$AY$64:$AY$71&amp;単価表!$AZ$64:$AZ$71,),),MATCH(内訳計算!AR$6,単価表!$AY$63:$CC$63,0))),0),0)</f>
        <v>0</v>
      </c>
      <c r="AS12" s="975" cm="1">
        <f t="array" ref="AS12">IFERROR(ROUNDDOWN(IF(HLOOKUP($U12,加算と減算!$E$4:$P$10,5,FALSE)="○",IF(OR($U12=2,$U12=3),
INDEX(単価表!$AY$64:$CC$71,MATCH($V12&amp;$W12,INDEX(単価表!$AY$64:$AY$71&amp;単価表!$AZ$64:$AZ$71,),),MATCH(内訳計算!AS$6,単価表!$AY$63:$CC$63,0)),
INDEX(単価表!$AY$64:$CC$71,MATCH($V12&amp;$W12,INDEX(単価表!$AY$64:$AY$71&amp;単価表!$AZ$64:$AZ$71,),),MATCH(内訳計算!AS$6,単価表!$AY$63:$CC$63,0))),0)*$Y12/25,0),0)</f>
        <v>0</v>
      </c>
      <c r="AT12" s="976" cm="1">
        <f t="array" ref="AT12">IFERROR(IF(HLOOKUP($U12,加算と減算!$E$4:$P$10,6,FALSE)="○",IF(OR($U12=2,$U12=3),
INDEX(単価表!$AY$64:$CC$71,MATCH($V12&amp;$W12,INDEX(単価表!$AY$64:$AY$71&amp;単価表!$AZ$64:$AZ$71,),),MATCH(内訳計算!AT$6,単価表!$AY$63:$CC$63,0)),
INDEX(単価表!$AY$64:$CC$71,MATCH($V12&amp;$W12,INDEX(単価表!$AY$64:$AY$71&amp;単価表!$AZ$64:$AZ$71,),),MATCH(内訳計算!AT$6,単価表!$AY$63:$CC$63,0))),0),0)</f>
        <v>0</v>
      </c>
      <c r="AU12" s="975" cm="1">
        <f t="array" ref="AU12">IFERROR(ROUNDDOWN(IF(HLOOKUP($U12,加算と減算!$E$4:$P$10,6,FALSE)="○",IF(OR($U12=2,$U12=3),
INDEX(単価表!$AY$64:$CC$71,MATCH($V12&amp;$W12,INDEX(単価表!$AY$64:$AY$71&amp;単価表!$AZ$64:$AZ$71,),),MATCH(内訳計算!AU$6,単価表!$AY$63:$CC$63,0)),
INDEX(単価表!$AY$64:$CC$71,MATCH($V12&amp;$W12,INDEX(単価表!$AY$64:$AY$71&amp;単価表!$AZ$64:$AZ$71,),),MATCH(内訳計算!AU$6,単価表!$AY$63:$CC$63,0))),0)*$Y12/25,0),0)</f>
        <v>0</v>
      </c>
      <c r="AV12" s="976" cm="1">
        <f t="array" ref="AV12">IFERROR(IF(HLOOKUP($U12,加算と減算!$E$4:$P$10,7,FALSE)="○",IF(OR($U12=2,$U12=3),
INDEX(単価表!$AY$64:$CC$71,MATCH($V12&amp;$W12,INDEX(単価表!$AY$64:$AY$71&amp;単価表!$AZ$64:$AZ$71,),),MATCH(内訳計算!AV$6,単価表!$AY$63:$CC$63,0)),
INDEX(単価表!$AY$64:$CC$71,MATCH($V12&amp;$W12,INDEX(単価表!$AY$64:$AY$71&amp;単価表!$AZ$64:$AZ$71,),),MATCH(内訳計算!AV$6,単価表!$AY$63:$CC$63,0))),0),0)</f>
        <v>0</v>
      </c>
      <c r="AW12" s="977" cm="1">
        <f t="array" ref="AW12">IFERROR(ROUNDDOWN(IF(HLOOKUP($U12,加算と減算!$E$4:$P$10,7,FALSE)="○",IF(OR($U12=2,$U12=3),
INDEX(単価表!$AY$64:$CC$71,MATCH($V12&amp;$W12,INDEX(単価表!$AY$64:$AY$71&amp;単価表!$AZ$64:$AZ$71,),),MATCH(内訳計算!AW$6,単価表!$AY$63:$CC$63,0)),
INDEX(単価表!$AY$64:$CC$71,MATCH($V12&amp;$W12,INDEX(単価表!$AY$64:$AY$71&amp;単価表!$AZ$64:$AZ$71,),),MATCH(内訳計算!AW$6,単価表!$AY$63:$CC$63,0))),0)*$Y12/25,0),0)</f>
        <v>0</v>
      </c>
      <c r="AX12" s="977" cm="1">
        <f t="array" ref="AX12">IFERROR(ROUNDDOWN(IF(HLOOKUP($U12,加算と減算!$E$4:$P$10,7,FALSE)="○",IF(OR($U12=2,$U12=3),
INDEX(単価表!$AY$64:$CC$71,MATCH($V12&amp;$W12,INDEX(単価表!$AY$64:$AY$71&amp;単価表!$AZ$64:$AZ$71,),),MATCH(内訳計算!AX$6,単価表!$AY$63:$CC$63,0)),
INDEX(単価表!$AY$64:$CC$71,MATCH($V12&amp;$W12,INDEX(単価表!$AY$64:$AY$71&amp;単価表!$AZ$64:$AZ$71,),),MATCH(内訳計算!AX$6,単価表!$AY$63:$CC$63,0))),0)*$Y12/25,0),0)</f>
        <v>0</v>
      </c>
      <c r="AY12" s="975" cm="1">
        <f t="array" ref="AY12">IFERROR(ROUNDDOWN(IF(HLOOKUP($U12,加算と減算!$E$4:$P$10,7,FALSE)="○",IF(OR($U12=2,$U12=3),
INDEX(単価表!$AY$64:$CC$71,MATCH($V12&amp;$W12,INDEX(単価表!$AY$64:$AY$71&amp;単価表!$AZ$64:$AZ$71,),),MATCH(内訳計算!AY$6,単価表!$AY$63:$CC$63,0)),
INDEX(単価表!$AY$64:$CC$71,MATCH($V12&amp;$W12,INDEX(単価表!$AY$64:$AY$71&amp;単価表!$AZ$64:$AZ$71,),),MATCH(内訳計算!AY$6,単価表!$AY$63:$CC$63,0))),0)*$Y12/25,0),0)</f>
        <v>0</v>
      </c>
      <c r="AZ12" s="976" cm="1">
        <f t="array" ref="AZ12">IFERROR(IF(X12="○",INDEX(単価表!$AY$64:$CC$71,MATCH($V12&amp;$W12,INDEX(単価表!$AY$64:$AY$71&amp;単価表!$AZ$64:$AZ$71,),),MATCH(内訳計算!AZ$6,単価表!$AY$63:$CC$63,0)),0),0)</f>
        <v>0</v>
      </c>
      <c r="BA12" s="975" cm="1">
        <f t="array" ref="BA12">IFERROR(ROUNDDOWN(INDEX(単価表!$AY$64:$CC$71,MATCH($V12&amp;$W12,INDEX(単価表!$AY$64:$AY$71&amp;単価表!$AZ$64:$AZ$71,),),MATCH(内訳計算!BA$6,単価表!$AY$63:$CC$63,0))*$Y12/25,0),0)</f>
        <v>0</v>
      </c>
      <c r="BB12" s="976" cm="1">
        <f t="array" ref="BB12">IFERROR(INDEX(単価表!$AY$64:$CC$71,MATCH($V12&amp;$W12,INDEX(単価表!$AY$64:$AY$71&amp;単価表!$AZ$64:$AZ$71,),),MATCH(内訳計算!BB$6,単価表!$AY$63:$CC$63,0)),0)</f>
        <v>0</v>
      </c>
      <c r="BC12" s="975" cm="1">
        <f t="array" ref="BC12">IFERROR(ROUNDDOWN(INDEX(単価表!$AY$64:$CC$71,MATCH($V12&amp;$W12,INDEX(単価表!$AY$64:$AY$71&amp;単価表!$AZ$64:$AZ$71,),),MATCH(内訳計算!BC$6,単価表!$AY$63:$CC$63,0))*$Y12/25,0),0)</f>
        <v>0</v>
      </c>
      <c r="BD12" s="985">
        <f>IFERROR(IF(HLOOKUP($U12,加算と減算!$E$31:$P$32,2,FALSE)="○",IF(OR($U12=2,$U12=3),-(単価表!$AZ$7+単価表!$BA$7*基本情報!$G$7),-(単価表!$AZ$7+単価表!$BA$7*基本情報!$G$7)),0),0)</f>
        <v>0</v>
      </c>
      <c r="BE12" s="986" t="e">
        <f t="shared" si="8"/>
        <v>#VALUE!</v>
      </c>
      <c r="BF12" s="986" t="e">
        <f t="shared" si="9"/>
        <v>#VALUE!</v>
      </c>
      <c r="BG12" s="987" t="e">
        <f t="shared" si="10"/>
        <v>#N/A</v>
      </c>
      <c r="BH12" s="988">
        <f>IFERROR(IF(基本情報!$E$12&lt;&gt;"",-ROUNDDOWN((AA12+AE12+AH12+AL12)*基本情報!$H$12/100,-1),0),0)</f>
        <v>0</v>
      </c>
      <c r="BI12" s="986" t="e">
        <f t="shared" si="11"/>
        <v>#VALUE!</v>
      </c>
      <c r="BJ12" s="986" t="e">
        <f t="shared" si="12"/>
        <v>#VALUE!</v>
      </c>
      <c r="BK12" s="989" t="e">
        <f t="shared" si="13"/>
        <v>#N/A</v>
      </c>
      <c r="BL12" s="990">
        <f>IFERROR(-ROUNDUP(SUM(AA12,AE12,AH12,AL12,AR12,AT12,AV12,BD12,BH12)*基本情報!$H$14/100,-1),0)</f>
        <v>0</v>
      </c>
      <c r="BM12" s="991" t="e">
        <f t="shared" si="14"/>
        <v>#VALUE!</v>
      </c>
      <c r="BN12" s="991" t="e">
        <f t="shared" si="15"/>
        <v>#VALUE!</v>
      </c>
      <c r="BO12" s="992" t="e">
        <f t="shared" si="16"/>
        <v>#N/A</v>
      </c>
      <c r="BP12" s="701"/>
      <c r="BQ12" s="701"/>
      <c r="BR12" s="701"/>
      <c r="BS12" s="701"/>
      <c r="BT12" s="721"/>
      <c r="BU12" s="1043" t="e">
        <f t="shared" si="17"/>
        <v>#VALUE!</v>
      </c>
      <c r="BV12" s="1044" t="e">
        <f t="shared" si="18"/>
        <v>#VALUE!</v>
      </c>
      <c r="BW12" s="1044" t="e">
        <f t="shared" si="19"/>
        <v>#N/A</v>
      </c>
      <c r="BX12" s="1051">
        <f t="shared" si="20"/>
        <v>0</v>
      </c>
      <c r="BY12" s="1045">
        <f t="shared" si="21"/>
        <v>0</v>
      </c>
      <c r="CB12" s="1626"/>
      <c r="CC12" s="1600"/>
      <c r="CD12" s="1422" t="s">
        <v>161</v>
      </c>
      <c r="CE12" s="734" t="s">
        <v>169</v>
      </c>
      <c r="CF12" s="672">
        <f>'4月'!AQ11</f>
        <v>0</v>
      </c>
      <c r="CG12" s="672">
        <f>'5月'!AQ11</f>
        <v>0</v>
      </c>
      <c r="CH12" s="672">
        <f>'6月'!AQ11</f>
        <v>0</v>
      </c>
      <c r="CI12" s="672">
        <f>'7月'!AQ11</f>
        <v>0</v>
      </c>
      <c r="CJ12" s="672">
        <f>'8月'!AQ11</f>
        <v>0</v>
      </c>
      <c r="CK12" s="672">
        <f>'9月'!AQ11</f>
        <v>0</v>
      </c>
      <c r="CL12" s="672">
        <f>'10月'!AQ11</f>
        <v>0</v>
      </c>
      <c r="CM12" s="672">
        <f>'11月'!AQ11</f>
        <v>0</v>
      </c>
      <c r="CN12" s="672">
        <f>'12月'!AQ11</f>
        <v>0</v>
      </c>
      <c r="CO12" s="672">
        <f>'1月'!AQ11</f>
        <v>0</v>
      </c>
      <c r="CP12" s="672">
        <f>'2月'!AQ11</f>
        <v>0</v>
      </c>
      <c r="CQ12" s="756">
        <f>'3月'!AQ11</f>
        <v>0</v>
      </c>
      <c r="CR12" s="759">
        <f t="shared" si="22"/>
        <v>0</v>
      </c>
      <c r="CS12" s="1600"/>
      <c r="CT12" s="1422" t="s">
        <v>161</v>
      </c>
      <c r="CU12" s="734" t="s">
        <v>169</v>
      </c>
      <c r="CV12" s="771">
        <f>M61+M62</f>
        <v>0</v>
      </c>
      <c r="CW12" s="771">
        <f>N61+N62</f>
        <v>0</v>
      </c>
      <c r="CX12" s="771">
        <f>O61+O62</f>
        <v>0</v>
      </c>
      <c r="CY12" s="954"/>
      <c r="CZ12" s="954"/>
      <c r="DA12" s="721"/>
      <c r="DB12" s="721"/>
    </row>
    <row r="13" spans="1:109" ht="16.149999999999999" customHeight="1" thickBot="1">
      <c r="A13" s="1652"/>
      <c r="B13" s="1655"/>
      <c r="C13" s="1542"/>
      <c r="D13" s="708" t="s">
        <v>9</v>
      </c>
      <c r="E13" s="709">
        <f>SUM(児童数!M8:M17)</f>
        <v>0</v>
      </c>
      <c r="F13" s="709" t="e">
        <f>'4月'!M6</f>
        <v>#VALUE!</v>
      </c>
      <c r="G13" s="709">
        <f>G7</f>
        <v>10478</v>
      </c>
      <c r="H13" s="709" t="e">
        <f>INDEX(事業費・管理費!$C$11:$T$15,MATCH(D13,事業費・管理費!$C$11:$C$15,0),MATCH(基本情報!$AA$4,事業費・管理費!$C$11:$T$11,0))</f>
        <v>#N/A</v>
      </c>
      <c r="I13" s="709" t="e">
        <f>F13-G13-H13</f>
        <v>#VALUE!</v>
      </c>
      <c r="J13" s="709" t="e">
        <f t="shared" si="23"/>
        <v>#VALUE!</v>
      </c>
      <c r="K13" s="709">
        <f t="shared" si="24"/>
        <v>0</v>
      </c>
      <c r="L13" s="710" t="e">
        <f t="shared" si="25"/>
        <v>#N/A</v>
      </c>
      <c r="M13" s="674"/>
      <c r="N13" s="1081"/>
      <c r="O13" s="1081"/>
      <c r="P13" s="1081"/>
      <c r="Q13" s="1077"/>
      <c r="R13" s="1077"/>
      <c r="T13" s="682">
        <v>7</v>
      </c>
      <c r="U13" s="918">
        <f>月途中入退所情報!D14</f>
        <v>0</v>
      </c>
      <c r="V13" s="918">
        <f>月途中入退所情報!H14</f>
        <v>0</v>
      </c>
      <c r="W13" s="918">
        <f>月途中入退所情報!G14</f>
        <v>0</v>
      </c>
      <c r="X13" s="945">
        <f>月途中入退所情報!I14</f>
        <v>0</v>
      </c>
      <c r="Y13" s="918">
        <f>月途中入退所情報!J14</f>
        <v>0</v>
      </c>
      <c r="Z13" s="840">
        <f t="shared" si="6"/>
        <v>0</v>
      </c>
      <c r="AA13" s="976" cm="1">
        <f t="array" ref="AA13">IFERROR(IF(OR($U13=2,$U13=3),
INDEX(単価表!$AY$64:$CC$71,MATCH($V13&amp;$W13,INDEX(単価表!$AY$64:$AY$71&amp;単価表!$AZ$64:$AZ$71,),),MATCH(内訳計算!AA$6,単価表!$AY$63:$CC$63,0)),
INDEX(単価表!$AY$64:$CC$71,MATCH($V13&amp;$W13,INDEX(単価表!$AY$64:$AY$71&amp;単価表!$AZ$64:$AZ$71,),),MATCH(内訳計算!AA$6,単価表!$AY$63:$CC$63,0))),0)</f>
        <v>0</v>
      </c>
      <c r="AB13" s="977" t="e">
        <f t="shared" si="7"/>
        <v>#VALUE!</v>
      </c>
      <c r="AC13" s="977" cm="1">
        <f t="array" ref="AC13">IFERROR(ROUNDDOWN(IF(OR($U13=2,$U13=3),
INDEX(単価表!$AY$64:$CC$71,MATCH($V13&amp;$W13,INDEX(単価表!$AY$64:$AY$71&amp;単価表!$AZ$64:$AZ$71,),),MATCH(内訳計算!AC$6,単価表!$AY$63:$CC$63,0)),
INDEX(単価表!$AY$64:$CC$71,MATCH($V13&amp;$W13,INDEX(単価表!$AY$64:$AY$71&amp;単価表!$AZ$64:$AZ$71,),),MATCH(内訳計算!AC$6,単価表!$AY$63:$CC$63,0)))*$Y13/25,0),0)</f>
        <v>0</v>
      </c>
      <c r="AD13" s="975" cm="1">
        <f t="array" ref="AD13">IFERROR(ROUNDDOWN(IF(OR($U13=2,$U13=3),
INDEX(単価表!$AY$64:$CC$71,MATCH($V13&amp;$W13,INDEX(単価表!$AY$64:$AY$71&amp;単価表!$AZ$64:$AZ$71,),),MATCH(内訳計算!AD$6,単価表!$AY$63:$CC$63,0)),
INDEX(単価表!$AY$64:$CC$71,MATCH($V13&amp;$W13,INDEX(単価表!$AY$64:$AY$71&amp;単価表!$AZ$64:$AZ$71,),),MATCH(内訳計算!AD$6,単価表!$AY$63:$CC$63,0)))*$Y13/25,0),0)</f>
        <v>0</v>
      </c>
      <c r="AE13" s="976" cm="1">
        <f t="array" ref="AE13">IFERROR(IF(OR($U13=2,$U13=3),
INDEX(単価表!$AY$64:$CC$71,MATCH($V13&amp;$W13,INDEX(単価表!$AY$64:$AY$71&amp;単価表!$AZ$64:$AZ$71,),),MATCH(内訳計算!AE$6,単価表!$AY$63:$CC$63,0)),
INDEX(単価表!$AY$64:$CC$71,MATCH($V13&amp;$W13,INDEX(単価表!$AY$64:$AY$71&amp;単価表!$AZ$64:$AZ$71,),),MATCH(内訳計算!AE$6,単価表!$AY$63:$CC$63,0))),0)</f>
        <v>0</v>
      </c>
      <c r="AF13" s="977" cm="1">
        <f t="array" ref="AF13">IFERROR(ROUNDDOWN(IF(OR($U13=2,$U13=3),
INDEX(単価表!$AY$64:$CC$71,MATCH($V13&amp;$W13,INDEX(単価表!$AY$64:$AY$71&amp;単価表!$AZ$64:$AZ$71,),),MATCH(内訳計算!AF$6,単価表!$AY$63:$CC$63,0)),
INDEX(単価表!$AY$64:$CC$71,MATCH($V13&amp;$W13,INDEX(単価表!$AY$64:$AY$71&amp;単価表!$AZ$64:$AZ$71,),),MATCH(内訳計算!AF$6,単価表!$AY$63:$CC$63,0)))*$Y13/25,0),0)</f>
        <v>0</v>
      </c>
      <c r="AG13" s="975" cm="1">
        <f t="array" ref="AG13">IFERROR(ROUNDDOWN(IF(OR($U13=2,$U13=3),
INDEX(単価表!$AY$64:$CC$71,MATCH($V13&amp;$W13,INDEX(単価表!$AY$64:$AY$71&amp;単価表!$AZ$64:$AZ$71,),),MATCH(内訳計算!AG$6,単価表!$AY$63:$CC$63,0)),
INDEX(単価表!$AY$64:$CC$71,MATCH($V13&amp;$W13,INDEX(単価表!$AY$64:$AY$71&amp;単価表!$AZ$64:$AZ$71,),),MATCH(内訳計算!AG$6,単価表!$AY$63:$CC$63,0)))*$Y13/25,0),0)</f>
        <v>0</v>
      </c>
      <c r="AH13" s="976" cm="1">
        <f t="array" ref="AH13">IFERROR(IF(HLOOKUP($U13,加算と減算!$E$4:$P$10,2,FALSE)="○",IF(OR($U13=2,$U13=3),
INDEX(単価表!$AY$64:$CC$71,MATCH($V13&amp;$W13,INDEX(単価表!$AY$64:$AY$71&amp;単価表!$AZ$64:$AZ$71,),),MATCH(内訳計算!AH$6,単価表!$AY$63:$CC$63,0)),
INDEX(単価表!$AY$64:$CC$71,MATCH($V13&amp;$W13,INDEX(単価表!$AY$64:$AY$71&amp;単価表!$AZ$64:$AZ$71,),),MATCH(内訳計算!AH$6,単価表!$AY$63:$CC$63,0))),0),0)</f>
        <v>0</v>
      </c>
      <c r="AI13" s="978" cm="1">
        <f t="array" ref="AI13">IFERROR(ROUNDDOWN(IF(HLOOKUP($U13,加算と減算!$E$4:$P$10,2,FALSE)="○",IF(OR($U13=2,$U13=3),
INDEX(単価表!$AY$64:$CC$71,MATCH($V13&amp;$W13,INDEX(単価表!$AY$64:$AY$71&amp;単価表!$AZ$64:$AZ$71,),),MATCH(内訳計算!AI$6,単価表!$AY$63:$CC$63,0)),
INDEX(単価表!$AY$64:$CC$71,MATCH($V13&amp;$W13,INDEX(単価表!$AY$64:$AY$71&amp;単価表!$AZ$64:$AZ$71,),),MATCH(内訳計算!AI$6,単価表!$AY$63:$CC$63,0))),0)*$Y13/25,0),0)</f>
        <v>0</v>
      </c>
      <c r="AJ13" s="977" cm="1">
        <f t="array" ref="AJ13">IFERROR(ROUNDDOWN(IF(HLOOKUP($U13,加算と減算!$E$4:$P$10,2,FALSE)="○",IF(OR($U13=2,$U13=3),
INDEX(単価表!$AY$64:$CC$71,MATCH($V13&amp;$W13,INDEX(単価表!$AY$64:$AY$71&amp;単価表!$AZ$64:$AZ$71,),),MATCH(内訳計算!AJ$6,単価表!$AY$63:$CC$63,0)),
INDEX(単価表!$AY$64:$CC$71,MATCH($V13&amp;$W13,INDEX(単価表!$AY$64:$AY$71&amp;単価表!$AZ$64:$AZ$71,),),MATCH(内訳計算!AJ$6,単価表!$AY$63:$CC$63,0))),0)*$Y13/25,0),0)</f>
        <v>0</v>
      </c>
      <c r="AK13" s="975" cm="1">
        <f t="array" ref="AK13">IFERROR(ROUNDDOWN(IF(HLOOKUP($U13,加算と減算!$E$4:$P$10,2,FALSE)="○",IF(OR($U13=2,$U13=3),
INDEX(単価表!$AY$64:$CC$71,MATCH($V13&amp;$W13,INDEX(単価表!$AY$64:$AY$71&amp;単価表!$AZ$64:$AZ$71,),),MATCH(内訳計算!AK$6,単価表!$AY$63:$CC$63,0)),
INDEX(単価表!$AY$64:$CC$71,MATCH($V13&amp;$W13,INDEX(単価表!$AY$64:$AY$71&amp;単価表!$AZ$64:$AZ$71,),),MATCH(内訳計算!AK$6,単価表!$AY$63:$CC$63,0))),0)*$Y13/25,0),0)</f>
        <v>0</v>
      </c>
      <c r="AL13" s="976" cm="1">
        <f t="array" ref="AL13">IFERROR(IF(HLOOKUP($U13,加算と減算!$E$4:$P$10,4,FALSE)="○",IF(OR($U13=2,$U13=3),
INDEX(単価表!$AY$64:$CC$71,MATCH($V13&amp;$W13,INDEX(単価表!$AY$64:$AY$71&amp;単価表!$AZ$64:$AZ$71,),),MATCH(内訳計算!AL$6,単価表!$AY$63:$CC$63,0)),
INDEX(単価表!$AY$64:$CC$71,MATCH($V13&amp;$W13,INDEX(単価表!$AY$64:$AY$71&amp;単価表!$AZ$64:$AZ$71,),),MATCH(内訳計算!AL$6,単価表!$AY$63:$CC$63,0))),0),0)</f>
        <v>0</v>
      </c>
      <c r="AM13" s="977" cm="1">
        <f t="array" ref="AM13">IFERROR(ROUNDDOWN(IF(HLOOKUP($U13,加算と減算!$E$4:$P$10,4,FALSE)="○",IF(OR($U13=2,$U13=3),
INDEX(単価表!$AY$64:$CC$71,MATCH($V13&amp;$W13,INDEX(単価表!$AY$64:$AY$71&amp;単価表!$AZ$64:$AZ$71,),),MATCH(内訳計算!AM$6,単価表!$AY$63:$CC$63,0)),
INDEX(単価表!$AY$64:$CC$71,MATCH($V13&amp;$W13,INDEX(単価表!$AY$64:$AY$71&amp;単価表!$AZ$64:$AZ$71,),),MATCH(内訳計算!AM$6,単価表!$AY$63:$CC$63,0))),0)*$Y13/25,0),0)</f>
        <v>0</v>
      </c>
      <c r="AN13" s="977" cm="1">
        <f t="array" ref="AN13">IFERROR(ROUNDDOWN(IF(HLOOKUP($U13,加算と減算!$E$4:$P$10,4,FALSE)="○",IF(OR($U13=2,$U13=3),
INDEX(単価表!$AY$64:$CC$71,MATCH($V13&amp;$W13,INDEX(単価表!$AY$64:$AY$71&amp;単価表!$AZ$64:$AZ$71,),),MATCH(内訳計算!AN$6,単価表!$AY$63:$CC$63,0)),
INDEX(単価表!$AY$64:$CC$71,MATCH($V13&amp;$W13,INDEX(単価表!$AY$64:$AY$71&amp;単価表!$AZ$64:$AZ$71,),),MATCH(内訳計算!AN$6,単価表!$AY$63:$CC$63,0))),0)*$Y13/25,0),0)</f>
        <v>0</v>
      </c>
      <c r="AO13" s="977" cm="1">
        <f t="array" ref="AO13">IFERROR(ROUNDDOWN(IF(HLOOKUP($U13,加算と減算!$E$4:$P$10,4,FALSE)="○",IF(OR($U13=2,$U13=3),
INDEX(単価表!$AY$64:$CC$71,MATCH($V13&amp;$W13,INDEX(単価表!$AY$64:$AY$71&amp;単価表!$AZ$64:$AZ$71,),),MATCH(内訳計算!AO$6,単価表!$AY$63:$CC$63,0)),
INDEX(単価表!$AY$64:$CC$71,MATCH($V13&amp;$W13,INDEX(単価表!$AY$64:$AY$71&amp;単価表!$AZ$64:$AZ$71,),),MATCH(内訳計算!AO$6,単価表!$AY$63:$CC$63,0))),0)*$Y13/25,0),0)</f>
        <v>0</v>
      </c>
      <c r="AP13" s="977" cm="1">
        <f t="array" ref="AP13">IFERROR(ROUNDDOWN(IF(HLOOKUP($U13,加算と減算!$E$4:$P$10,4,FALSE)="○",IF(OR($U13=2,$U13=3),
INDEX(単価表!$AY$64:$CC$71,MATCH($V13&amp;$W13,INDEX(単価表!$AY$64:$AY$71&amp;単価表!$AZ$64:$AZ$71,),),MATCH(内訳計算!AP$6,単価表!$AY$63:$CC$63,0)),
INDEX(単価表!$AY$64:$CC$71,MATCH($V13&amp;$W13,INDEX(単価表!$AY$64:$AY$71&amp;単価表!$AZ$64:$AZ$71,),),MATCH(内訳計算!AP$6,単価表!$AY$63:$CC$63,0))),0)*$Y13/25,0),0)</f>
        <v>0</v>
      </c>
      <c r="AQ13" s="975" cm="1">
        <f t="array" ref="AQ13">IFERROR(ROUNDDOWN(IF(HLOOKUP($U13,加算と減算!$E$4:$P$10,4,FALSE)="○",IF(OR($U13=2,$U13=3),
INDEX(単価表!$AY$64:$CC$71,MATCH($V13&amp;$W13,INDEX(単価表!$AY$64:$AY$71&amp;単価表!$AZ$64:$AZ$71,),),MATCH(内訳計算!AQ$6,単価表!$AY$63:$CC$63,0)),
INDEX(単価表!$AY$64:$CC$71,MATCH($V13&amp;$W13,INDEX(単価表!$AY$64:$AY$71&amp;単価表!$AZ$64:$AZ$71,),),MATCH(内訳計算!AQ$6,単価表!$AY$63:$CC$63,0))),0)*$Y13/25,0),0)</f>
        <v>0</v>
      </c>
      <c r="AR13" s="976" cm="1">
        <f t="array" ref="AR13">IFERROR(IF(HLOOKUP($U13,加算と減算!$E$4:$P$10,5,FALSE)="○",IF(OR($U13=2,$U13=3),
INDEX(単価表!$AY$64:$CC$71,MATCH($V13&amp;$W13,INDEX(単価表!$AY$64:$AY$71&amp;単価表!$AZ$64:$AZ$71,),),MATCH(内訳計算!AR$6,単価表!$AY$63:$CC$63,0)),
INDEX(単価表!$AY$64:$CC$71,MATCH($V13&amp;$W13,INDEX(単価表!$AY$64:$AY$71&amp;単価表!$AZ$64:$AZ$71,),),MATCH(内訳計算!AR$6,単価表!$AY$63:$CC$63,0))),0),0)</f>
        <v>0</v>
      </c>
      <c r="AS13" s="975" cm="1">
        <f t="array" ref="AS13">IFERROR(ROUNDDOWN(IF(HLOOKUP($U13,加算と減算!$E$4:$P$10,5,FALSE)="○",IF(OR($U13=2,$U13=3),
INDEX(単価表!$AY$64:$CC$71,MATCH($V13&amp;$W13,INDEX(単価表!$AY$64:$AY$71&amp;単価表!$AZ$64:$AZ$71,),),MATCH(内訳計算!AS$6,単価表!$AY$63:$CC$63,0)),
INDEX(単価表!$AY$64:$CC$71,MATCH($V13&amp;$W13,INDEX(単価表!$AY$64:$AY$71&amp;単価表!$AZ$64:$AZ$71,),),MATCH(内訳計算!AS$6,単価表!$AY$63:$CC$63,0))),0)*$Y13/25,0),0)</f>
        <v>0</v>
      </c>
      <c r="AT13" s="976" cm="1">
        <f t="array" ref="AT13">IFERROR(IF(HLOOKUP($U13,加算と減算!$E$4:$P$10,6,FALSE)="○",IF(OR($U13=2,$U13=3),
INDEX(単価表!$AY$64:$CC$71,MATCH($V13&amp;$W13,INDEX(単価表!$AY$64:$AY$71&amp;単価表!$AZ$64:$AZ$71,),),MATCH(内訳計算!AT$6,単価表!$AY$63:$CC$63,0)),
INDEX(単価表!$AY$64:$CC$71,MATCH($V13&amp;$W13,INDEX(単価表!$AY$64:$AY$71&amp;単価表!$AZ$64:$AZ$71,),),MATCH(内訳計算!AT$6,単価表!$AY$63:$CC$63,0))),0),0)</f>
        <v>0</v>
      </c>
      <c r="AU13" s="975" cm="1">
        <f t="array" ref="AU13">IFERROR(ROUNDDOWN(IF(HLOOKUP($U13,加算と減算!$E$4:$P$10,6,FALSE)="○",IF(OR($U13=2,$U13=3),
INDEX(単価表!$AY$64:$CC$71,MATCH($V13&amp;$W13,INDEX(単価表!$AY$64:$AY$71&amp;単価表!$AZ$64:$AZ$71,),),MATCH(内訳計算!AU$6,単価表!$AY$63:$CC$63,0)),
INDEX(単価表!$AY$64:$CC$71,MATCH($V13&amp;$W13,INDEX(単価表!$AY$64:$AY$71&amp;単価表!$AZ$64:$AZ$71,),),MATCH(内訳計算!AU$6,単価表!$AY$63:$CC$63,0))),0)*$Y13/25,0),0)</f>
        <v>0</v>
      </c>
      <c r="AV13" s="976" cm="1">
        <f t="array" ref="AV13">IFERROR(IF(HLOOKUP($U13,加算と減算!$E$4:$P$10,7,FALSE)="○",IF(OR($U13=2,$U13=3),
INDEX(単価表!$AY$64:$CC$71,MATCH($V13&amp;$W13,INDEX(単価表!$AY$64:$AY$71&amp;単価表!$AZ$64:$AZ$71,),),MATCH(内訳計算!AV$6,単価表!$AY$63:$CC$63,0)),
INDEX(単価表!$AY$64:$CC$71,MATCH($V13&amp;$W13,INDEX(単価表!$AY$64:$AY$71&amp;単価表!$AZ$64:$AZ$71,),),MATCH(内訳計算!AV$6,単価表!$AY$63:$CC$63,0))),0),0)</f>
        <v>0</v>
      </c>
      <c r="AW13" s="977" cm="1">
        <f t="array" ref="AW13">IFERROR(ROUNDDOWN(IF(HLOOKUP($U13,加算と減算!$E$4:$P$10,7,FALSE)="○",IF(OR($U13=2,$U13=3),
INDEX(単価表!$AY$64:$CC$71,MATCH($V13&amp;$W13,INDEX(単価表!$AY$64:$AY$71&amp;単価表!$AZ$64:$AZ$71,),),MATCH(内訳計算!AW$6,単価表!$AY$63:$CC$63,0)),
INDEX(単価表!$AY$64:$CC$71,MATCH($V13&amp;$W13,INDEX(単価表!$AY$64:$AY$71&amp;単価表!$AZ$64:$AZ$71,),),MATCH(内訳計算!AW$6,単価表!$AY$63:$CC$63,0))),0)*$Y13/25,0),0)</f>
        <v>0</v>
      </c>
      <c r="AX13" s="977" cm="1">
        <f t="array" ref="AX13">IFERROR(ROUNDDOWN(IF(HLOOKUP($U13,加算と減算!$E$4:$P$10,7,FALSE)="○",IF(OR($U13=2,$U13=3),
INDEX(単価表!$AY$64:$CC$71,MATCH($V13&amp;$W13,INDEX(単価表!$AY$64:$AY$71&amp;単価表!$AZ$64:$AZ$71,),),MATCH(内訳計算!AX$6,単価表!$AY$63:$CC$63,0)),
INDEX(単価表!$AY$64:$CC$71,MATCH($V13&amp;$W13,INDEX(単価表!$AY$64:$AY$71&amp;単価表!$AZ$64:$AZ$71,),),MATCH(内訳計算!AX$6,単価表!$AY$63:$CC$63,0))),0)*$Y13/25,0),0)</f>
        <v>0</v>
      </c>
      <c r="AY13" s="975" cm="1">
        <f t="array" ref="AY13">IFERROR(ROUNDDOWN(IF(HLOOKUP($U13,加算と減算!$E$4:$P$10,7,FALSE)="○",IF(OR($U13=2,$U13=3),
INDEX(単価表!$AY$64:$CC$71,MATCH($V13&amp;$W13,INDEX(単価表!$AY$64:$AY$71&amp;単価表!$AZ$64:$AZ$71,),),MATCH(内訳計算!AY$6,単価表!$AY$63:$CC$63,0)),
INDEX(単価表!$AY$64:$CC$71,MATCH($V13&amp;$W13,INDEX(単価表!$AY$64:$AY$71&amp;単価表!$AZ$64:$AZ$71,),),MATCH(内訳計算!AY$6,単価表!$AY$63:$CC$63,0))),0)*$Y13/25,0),0)</f>
        <v>0</v>
      </c>
      <c r="AZ13" s="976" cm="1">
        <f t="array" ref="AZ13">IFERROR(IF(X13="○",INDEX(単価表!$AY$64:$CC$71,MATCH($V13&amp;$W13,INDEX(単価表!$AY$64:$AY$71&amp;単価表!$AZ$64:$AZ$71,),),MATCH(内訳計算!AZ$6,単価表!$AY$63:$CC$63,0)),0),0)</f>
        <v>0</v>
      </c>
      <c r="BA13" s="975" cm="1">
        <f t="array" ref="BA13">IFERROR(ROUNDDOWN(INDEX(単価表!$AY$64:$CC$71,MATCH($V13&amp;$W13,INDEX(単価表!$AY$64:$AY$71&amp;単価表!$AZ$64:$AZ$71,),),MATCH(内訳計算!BA$6,単価表!$AY$63:$CC$63,0))*$Y13/25,0),0)</f>
        <v>0</v>
      </c>
      <c r="BB13" s="976" cm="1">
        <f t="array" ref="BB13">IFERROR(INDEX(単価表!$AY$64:$CC$71,MATCH($V13&amp;$W13,INDEX(単価表!$AY$64:$AY$71&amp;単価表!$AZ$64:$AZ$71,),),MATCH(内訳計算!BB$6,単価表!$AY$63:$CC$63,0)),0)</f>
        <v>0</v>
      </c>
      <c r="BC13" s="975" cm="1">
        <f t="array" ref="BC13">IFERROR(ROUNDDOWN(INDEX(単価表!$AY$64:$CC$71,MATCH($V13&amp;$W13,INDEX(単価表!$AY$64:$AY$71&amp;単価表!$AZ$64:$AZ$71,),),MATCH(内訳計算!BC$6,単価表!$AY$63:$CC$63,0))*$Y13/25,0),0)</f>
        <v>0</v>
      </c>
      <c r="BD13" s="985">
        <f>IFERROR(IF(HLOOKUP($U13,加算と減算!$E$31:$P$32,2,FALSE)="○",IF(OR($U13=2,$U13=3),-(単価表!$AZ$7+単価表!$BA$7*基本情報!$G$7),-(単価表!$AZ$7+単価表!$BA$7*基本情報!$G$7)),0),0)</f>
        <v>0</v>
      </c>
      <c r="BE13" s="986" t="e">
        <f t="shared" si="8"/>
        <v>#VALUE!</v>
      </c>
      <c r="BF13" s="986" t="e">
        <f t="shared" si="9"/>
        <v>#VALUE!</v>
      </c>
      <c r="BG13" s="987" t="e">
        <f t="shared" si="10"/>
        <v>#N/A</v>
      </c>
      <c r="BH13" s="988">
        <f>IFERROR(IF(基本情報!$E$12&lt;&gt;"",-ROUNDDOWN((AA13+AE13+AH13+AL13)*基本情報!$H$12/100,-1),0),0)</f>
        <v>0</v>
      </c>
      <c r="BI13" s="986" t="e">
        <f t="shared" si="11"/>
        <v>#VALUE!</v>
      </c>
      <c r="BJ13" s="986" t="e">
        <f t="shared" si="12"/>
        <v>#VALUE!</v>
      </c>
      <c r="BK13" s="989" t="e">
        <f t="shared" si="13"/>
        <v>#N/A</v>
      </c>
      <c r="BL13" s="990">
        <f>IFERROR(-ROUNDUP(SUM(AA13,AE13,AH13,AL13,AR13,AT13,AV13,BD13,BH13)*基本情報!$H$14/100,-1),0)</f>
        <v>0</v>
      </c>
      <c r="BM13" s="991" t="e">
        <f t="shared" si="14"/>
        <v>#VALUE!</v>
      </c>
      <c r="BN13" s="991" t="e">
        <f t="shared" si="15"/>
        <v>#VALUE!</v>
      </c>
      <c r="BO13" s="992" t="e">
        <f t="shared" si="16"/>
        <v>#N/A</v>
      </c>
      <c r="BP13" s="701"/>
      <c r="BQ13" s="701"/>
      <c r="BR13" s="701"/>
      <c r="BS13" s="701"/>
      <c r="BT13" s="721"/>
      <c r="BU13" s="1043" t="e">
        <f t="shared" si="17"/>
        <v>#VALUE!</v>
      </c>
      <c r="BV13" s="1044" t="e">
        <f t="shared" si="18"/>
        <v>#VALUE!</v>
      </c>
      <c r="BW13" s="1044" t="e">
        <f t="shared" si="19"/>
        <v>#N/A</v>
      </c>
      <c r="BX13" s="1051">
        <f t="shared" si="20"/>
        <v>0</v>
      </c>
      <c r="BY13" s="1045">
        <f t="shared" si="21"/>
        <v>0</v>
      </c>
      <c r="CB13" s="1626"/>
      <c r="CC13" s="1600"/>
      <c r="CD13" s="1422"/>
      <c r="CE13" s="734" t="s">
        <v>167</v>
      </c>
      <c r="CF13" s="672">
        <f>'4月'!AQ12</f>
        <v>0</v>
      </c>
      <c r="CG13" s="672">
        <f>'5月'!AQ12</f>
        <v>0</v>
      </c>
      <c r="CH13" s="672">
        <f>'6月'!AQ12</f>
        <v>0</v>
      </c>
      <c r="CI13" s="672">
        <f>'7月'!AQ12</f>
        <v>0</v>
      </c>
      <c r="CJ13" s="672">
        <f>'8月'!AQ12</f>
        <v>0</v>
      </c>
      <c r="CK13" s="672">
        <f>'9月'!AQ12</f>
        <v>0</v>
      </c>
      <c r="CL13" s="672">
        <f>'10月'!AQ12</f>
        <v>0</v>
      </c>
      <c r="CM13" s="672">
        <f>'11月'!AQ12</f>
        <v>0</v>
      </c>
      <c r="CN13" s="672">
        <f>'12月'!AQ12</f>
        <v>0</v>
      </c>
      <c r="CO13" s="672">
        <f>'1月'!AQ12</f>
        <v>0</v>
      </c>
      <c r="CP13" s="672">
        <f>'2月'!AQ12</f>
        <v>0</v>
      </c>
      <c r="CQ13" s="756">
        <f>'3月'!AQ12</f>
        <v>0</v>
      </c>
      <c r="CR13" s="759">
        <f t="shared" si="22"/>
        <v>0</v>
      </c>
      <c r="CS13" s="1600"/>
      <c r="CT13" s="1422"/>
      <c r="CU13" s="957" t="s">
        <v>167</v>
      </c>
      <c r="CV13" s="954"/>
      <c r="CW13" s="776"/>
      <c r="CX13" s="954"/>
      <c r="CY13" s="1055">
        <f>P61+P62</f>
        <v>0</v>
      </c>
      <c r="CZ13" s="1055">
        <f>Q61+Q62</f>
        <v>0</v>
      </c>
      <c r="DA13" s="721"/>
      <c r="DB13" s="721"/>
    </row>
    <row r="14" spans="1:109" ht="20.25" customHeight="1" thickTop="1" thickBot="1">
      <c r="A14" s="1652"/>
      <c r="B14" s="1656"/>
      <c r="C14" s="1543"/>
      <c r="D14" s="711" t="s">
        <v>36</v>
      </c>
      <c r="E14" s="712">
        <f>SUM(E10:E13)</f>
        <v>0</v>
      </c>
      <c r="F14" s="714"/>
      <c r="G14" s="714"/>
      <c r="H14" s="714"/>
      <c r="I14" s="714"/>
      <c r="J14" s="712" t="e">
        <f>SUM(J10:J13)</f>
        <v>#VALUE!</v>
      </c>
      <c r="K14" s="712">
        <f>SUM(K10:K13)</f>
        <v>0</v>
      </c>
      <c r="L14" s="713" t="e">
        <f>SUM(L10:L13)</f>
        <v>#N/A</v>
      </c>
      <c r="M14" s="674"/>
      <c r="N14" s="1077"/>
      <c r="O14" s="1080"/>
      <c r="P14" s="1080"/>
      <c r="Q14" s="1080"/>
      <c r="R14" s="1080"/>
      <c r="T14" s="682">
        <v>8</v>
      </c>
      <c r="U14" s="918">
        <f>月途中入退所情報!D15</f>
        <v>0</v>
      </c>
      <c r="V14" s="918">
        <f>月途中入退所情報!H15</f>
        <v>0</v>
      </c>
      <c r="W14" s="918">
        <f>月途中入退所情報!G15</f>
        <v>0</v>
      </c>
      <c r="X14" s="945">
        <f>月途中入退所情報!I15</f>
        <v>0</v>
      </c>
      <c r="Y14" s="918">
        <f>月途中入退所情報!J15</f>
        <v>0</v>
      </c>
      <c r="Z14" s="840">
        <f t="shared" si="6"/>
        <v>0</v>
      </c>
      <c r="AA14" s="976" cm="1">
        <f t="array" ref="AA14">IFERROR(IF(OR($U14=2,$U14=3),
INDEX(単価表!$AY$64:$CC$71,MATCH($V14&amp;$W14,INDEX(単価表!$AY$64:$AY$71&amp;単価表!$AZ$64:$AZ$71,),),MATCH(内訳計算!AA$6,単価表!$AY$63:$CC$63,0)),
INDEX(単価表!$AY$64:$CC$71,MATCH($V14&amp;$W14,INDEX(単価表!$AY$64:$AY$71&amp;単価表!$AZ$64:$AZ$71,),),MATCH(内訳計算!AA$6,単価表!$AY$63:$CC$63,0))),0)</f>
        <v>0</v>
      </c>
      <c r="AB14" s="977" t="e">
        <f t="shared" si="7"/>
        <v>#VALUE!</v>
      </c>
      <c r="AC14" s="977" cm="1">
        <f t="array" ref="AC14">IFERROR(ROUNDDOWN(IF(OR($U14=2,$U14=3),
INDEX(単価表!$AY$64:$CC$71,MATCH($V14&amp;$W14,INDEX(単価表!$AY$64:$AY$71&amp;単価表!$AZ$64:$AZ$71,),),MATCH(内訳計算!AC$6,単価表!$AY$63:$CC$63,0)),
INDEX(単価表!$AY$64:$CC$71,MATCH($V14&amp;$W14,INDEX(単価表!$AY$64:$AY$71&amp;単価表!$AZ$64:$AZ$71,),),MATCH(内訳計算!AC$6,単価表!$AY$63:$CC$63,0)))*$Y14/25,0),0)</f>
        <v>0</v>
      </c>
      <c r="AD14" s="975" cm="1">
        <f t="array" ref="AD14">IFERROR(ROUNDDOWN(IF(OR($U14=2,$U14=3),
INDEX(単価表!$AY$64:$CC$71,MATCH($V14&amp;$W14,INDEX(単価表!$AY$64:$AY$71&amp;単価表!$AZ$64:$AZ$71,),),MATCH(内訳計算!AD$6,単価表!$AY$63:$CC$63,0)),
INDEX(単価表!$AY$64:$CC$71,MATCH($V14&amp;$W14,INDEX(単価表!$AY$64:$AY$71&amp;単価表!$AZ$64:$AZ$71,),),MATCH(内訳計算!AD$6,単価表!$AY$63:$CC$63,0)))*$Y14/25,0),0)</f>
        <v>0</v>
      </c>
      <c r="AE14" s="976" cm="1">
        <f t="array" ref="AE14">IFERROR(IF(OR($U14=2,$U14=3),
INDEX(単価表!$AY$64:$CC$71,MATCH($V14&amp;$W14,INDEX(単価表!$AY$64:$AY$71&amp;単価表!$AZ$64:$AZ$71,),),MATCH(内訳計算!AE$6,単価表!$AY$63:$CC$63,0)),
INDEX(単価表!$AY$64:$CC$71,MATCH($V14&amp;$W14,INDEX(単価表!$AY$64:$AY$71&amp;単価表!$AZ$64:$AZ$71,),),MATCH(内訳計算!AE$6,単価表!$AY$63:$CC$63,0))),0)</f>
        <v>0</v>
      </c>
      <c r="AF14" s="977" cm="1">
        <f t="array" ref="AF14">IFERROR(ROUNDDOWN(IF(OR($U14=2,$U14=3),
INDEX(単価表!$AY$64:$CC$71,MATCH($V14&amp;$W14,INDEX(単価表!$AY$64:$AY$71&amp;単価表!$AZ$64:$AZ$71,),),MATCH(内訳計算!AF$6,単価表!$AY$63:$CC$63,0)),
INDEX(単価表!$AY$64:$CC$71,MATCH($V14&amp;$W14,INDEX(単価表!$AY$64:$AY$71&amp;単価表!$AZ$64:$AZ$71,),),MATCH(内訳計算!AF$6,単価表!$AY$63:$CC$63,0)))*$Y14/25,0),0)</f>
        <v>0</v>
      </c>
      <c r="AG14" s="975" cm="1">
        <f t="array" ref="AG14">IFERROR(ROUNDDOWN(IF(OR($U14=2,$U14=3),
INDEX(単価表!$AY$64:$CC$71,MATCH($V14&amp;$W14,INDEX(単価表!$AY$64:$AY$71&amp;単価表!$AZ$64:$AZ$71,),),MATCH(内訳計算!AG$6,単価表!$AY$63:$CC$63,0)),
INDEX(単価表!$AY$64:$CC$71,MATCH($V14&amp;$W14,INDEX(単価表!$AY$64:$AY$71&amp;単価表!$AZ$64:$AZ$71,),),MATCH(内訳計算!AG$6,単価表!$AY$63:$CC$63,0)))*$Y14/25,0),0)</f>
        <v>0</v>
      </c>
      <c r="AH14" s="976" cm="1">
        <f t="array" ref="AH14">IFERROR(IF(HLOOKUP($U14,加算と減算!$E$4:$P$10,2,FALSE)="○",IF(OR($U14=2,$U14=3),
INDEX(単価表!$AY$64:$CC$71,MATCH($V14&amp;$W14,INDEX(単価表!$AY$64:$AY$71&amp;単価表!$AZ$64:$AZ$71,),),MATCH(内訳計算!AH$6,単価表!$AY$63:$CC$63,0)),
INDEX(単価表!$AY$64:$CC$71,MATCH($V14&amp;$W14,INDEX(単価表!$AY$64:$AY$71&amp;単価表!$AZ$64:$AZ$71,),),MATCH(内訳計算!AH$6,単価表!$AY$63:$CC$63,0))),0),0)</f>
        <v>0</v>
      </c>
      <c r="AI14" s="978" cm="1">
        <f t="array" ref="AI14">IFERROR(ROUNDDOWN(IF(HLOOKUP($U14,加算と減算!$E$4:$P$10,2,FALSE)="○",IF(OR($U14=2,$U14=3),
INDEX(単価表!$AY$64:$CC$71,MATCH($V14&amp;$W14,INDEX(単価表!$AY$64:$AY$71&amp;単価表!$AZ$64:$AZ$71,),),MATCH(内訳計算!AI$6,単価表!$AY$63:$CC$63,0)),
INDEX(単価表!$AY$64:$CC$71,MATCH($V14&amp;$W14,INDEX(単価表!$AY$64:$AY$71&amp;単価表!$AZ$64:$AZ$71,),),MATCH(内訳計算!AI$6,単価表!$AY$63:$CC$63,0))),0)*$Y14/25,0),0)</f>
        <v>0</v>
      </c>
      <c r="AJ14" s="977" cm="1">
        <f t="array" ref="AJ14">IFERROR(ROUNDDOWN(IF(HLOOKUP($U14,加算と減算!$E$4:$P$10,2,FALSE)="○",IF(OR($U14=2,$U14=3),
INDEX(単価表!$AY$64:$CC$71,MATCH($V14&amp;$W14,INDEX(単価表!$AY$64:$AY$71&amp;単価表!$AZ$64:$AZ$71,),),MATCH(内訳計算!AJ$6,単価表!$AY$63:$CC$63,0)),
INDEX(単価表!$AY$64:$CC$71,MATCH($V14&amp;$W14,INDEX(単価表!$AY$64:$AY$71&amp;単価表!$AZ$64:$AZ$71,),),MATCH(内訳計算!AJ$6,単価表!$AY$63:$CC$63,0))),0)*$Y14/25,0),0)</f>
        <v>0</v>
      </c>
      <c r="AK14" s="975" cm="1">
        <f t="array" ref="AK14">IFERROR(ROUNDDOWN(IF(HLOOKUP($U14,加算と減算!$E$4:$P$10,2,FALSE)="○",IF(OR($U14=2,$U14=3),
INDEX(単価表!$AY$64:$CC$71,MATCH($V14&amp;$W14,INDEX(単価表!$AY$64:$AY$71&amp;単価表!$AZ$64:$AZ$71,),),MATCH(内訳計算!AK$6,単価表!$AY$63:$CC$63,0)),
INDEX(単価表!$AY$64:$CC$71,MATCH($V14&amp;$W14,INDEX(単価表!$AY$64:$AY$71&amp;単価表!$AZ$64:$AZ$71,),),MATCH(内訳計算!AK$6,単価表!$AY$63:$CC$63,0))),0)*$Y14/25,0),0)</f>
        <v>0</v>
      </c>
      <c r="AL14" s="976" cm="1">
        <f t="array" ref="AL14">IFERROR(IF(HLOOKUP($U14,加算と減算!$E$4:$P$10,4,FALSE)="○",IF(OR($U14=2,$U14=3),
INDEX(単価表!$AY$64:$CC$71,MATCH($V14&amp;$W14,INDEX(単価表!$AY$64:$AY$71&amp;単価表!$AZ$64:$AZ$71,),),MATCH(内訳計算!AL$6,単価表!$AY$63:$CC$63,0)),
INDEX(単価表!$AY$64:$CC$71,MATCH($V14&amp;$W14,INDEX(単価表!$AY$64:$AY$71&amp;単価表!$AZ$64:$AZ$71,),),MATCH(内訳計算!AL$6,単価表!$AY$63:$CC$63,0))),0),0)</f>
        <v>0</v>
      </c>
      <c r="AM14" s="977" cm="1">
        <f t="array" ref="AM14">IFERROR(ROUNDDOWN(IF(HLOOKUP($U14,加算と減算!$E$4:$P$10,4,FALSE)="○",IF(OR($U14=2,$U14=3),
INDEX(単価表!$AY$64:$CC$71,MATCH($V14&amp;$W14,INDEX(単価表!$AY$64:$AY$71&amp;単価表!$AZ$64:$AZ$71,),),MATCH(内訳計算!AM$6,単価表!$AY$63:$CC$63,0)),
INDEX(単価表!$AY$64:$CC$71,MATCH($V14&amp;$W14,INDEX(単価表!$AY$64:$AY$71&amp;単価表!$AZ$64:$AZ$71,),),MATCH(内訳計算!AM$6,単価表!$AY$63:$CC$63,0))),0)*$Y14/25,0),0)</f>
        <v>0</v>
      </c>
      <c r="AN14" s="977" cm="1">
        <f t="array" ref="AN14">IFERROR(ROUNDDOWN(IF(HLOOKUP($U14,加算と減算!$E$4:$P$10,4,FALSE)="○",IF(OR($U14=2,$U14=3),
INDEX(単価表!$AY$64:$CC$71,MATCH($V14&amp;$W14,INDEX(単価表!$AY$64:$AY$71&amp;単価表!$AZ$64:$AZ$71,),),MATCH(内訳計算!AN$6,単価表!$AY$63:$CC$63,0)),
INDEX(単価表!$AY$64:$CC$71,MATCH($V14&amp;$W14,INDEX(単価表!$AY$64:$AY$71&amp;単価表!$AZ$64:$AZ$71,),),MATCH(内訳計算!AN$6,単価表!$AY$63:$CC$63,0))),0)*$Y14/25,0),0)</f>
        <v>0</v>
      </c>
      <c r="AO14" s="977" cm="1">
        <f t="array" ref="AO14">IFERROR(ROUNDDOWN(IF(HLOOKUP($U14,加算と減算!$E$4:$P$10,4,FALSE)="○",IF(OR($U14=2,$U14=3),
INDEX(単価表!$AY$64:$CC$71,MATCH($V14&amp;$W14,INDEX(単価表!$AY$64:$AY$71&amp;単価表!$AZ$64:$AZ$71,),),MATCH(内訳計算!AO$6,単価表!$AY$63:$CC$63,0)),
INDEX(単価表!$AY$64:$CC$71,MATCH($V14&amp;$W14,INDEX(単価表!$AY$64:$AY$71&amp;単価表!$AZ$64:$AZ$71,),),MATCH(内訳計算!AO$6,単価表!$AY$63:$CC$63,0))),0)*$Y14/25,0),0)</f>
        <v>0</v>
      </c>
      <c r="AP14" s="977" cm="1">
        <f t="array" ref="AP14">IFERROR(ROUNDDOWN(IF(HLOOKUP($U14,加算と減算!$E$4:$P$10,4,FALSE)="○",IF(OR($U14=2,$U14=3),
INDEX(単価表!$AY$64:$CC$71,MATCH($V14&amp;$W14,INDEX(単価表!$AY$64:$AY$71&amp;単価表!$AZ$64:$AZ$71,),),MATCH(内訳計算!AP$6,単価表!$AY$63:$CC$63,0)),
INDEX(単価表!$AY$64:$CC$71,MATCH($V14&amp;$W14,INDEX(単価表!$AY$64:$AY$71&amp;単価表!$AZ$64:$AZ$71,),),MATCH(内訳計算!AP$6,単価表!$AY$63:$CC$63,0))),0)*$Y14/25,0),0)</f>
        <v>0</v>
      </c>
      <c r="AQ14" s="975" cm="1">
        <f t="array" ref="AQ14">IFERROR(ROUNDDOWN(IF(HLOOKUP($U14,加算と減算!$E$4:$P$10,4,FALSE)="○",IF(OR($U14=2,$U14=3),
INDEX(単価表!$AY$64:$CC$71,MATCH($V14&amp;$W14,INDEX(単価表!$AY$64:$AY$71&amp;単価表!$AZ$64:$AZ$71,),),MATCH(内訳計算!AQ$6,単価表!$AY$63:$CC$63,0)),
INDEX(単価表!$AY$64:$CC$71,MATCH($V14&amp;$W14,INDEX(単価表!$AY$64:$AY$71&amp;単価表!$AZ$64:$AZ$71,),),MATCH(内訳計算!AQ$6,単価表!$AY$63:$CC$63,0))),0)*$Y14/25,0),0)</f>
        <v>0</v>
      </c>
      <c r="AR14" s="976" cm="1">
        <f t="array" ref="AR14">IFERROR(IF(HLOOKUP($U14,加算と減算!$E$4:$P$10,5,FALSE)="○",IF(OR($U14=2,$U14=3),
INDEX(単価表!$AY$64:$CC$71,MATCH($V14&amp;$W14,INDEX(単価表!$AY$64:$AY$71&amp;単価表!$AZ$64:$AZ$71,),),MATCH(内訳計算!AR$6,単価表!$AY$63:$CC$63,0)),
INDEX(単価表!$AY$64:$CC$71,MATCH($V14&amp;$W14,INDEX(単価表!$AY$64:$AY$71&amp;単価表!$AZ$64:$AZ$71,),),MATCH(内訳計算!AR$6,単価表!$AY$63:$CC$63,0))),0),0)</f>
        <v>0</v>
      </c>
      <c r="AS14" s="975" cm="1">
        <f t="array" ref="AS14">IFERROR(ROUNDDOWN(IF(HLOOKUP($U14,加算と減算!$E$4:$P$10,5,FALSE)="○",IF(OR($U14=2,$U14=3),
INDEX(単価表!$AY$64:$CC$71,MATCH($V14&amp;$W14,INDEX(単価表!$AY$64:$AY$71&amp;単価表!$AZ$64:$AZ$71,),),MATCH(内訳計算!AS$6,単価表!$AY$63:$CC$63,0)),
INDEX(単価表!$AY$64:$CC$71,MATCH($V14&amp;$W14,INDEX(単価表!$AY$64:$AY$71&amp;単価表!$AZ$64:$AZ$71,),),MATCH(内訳計算!AS$6,単価表!$AY$63:$CC$63,0))),0)*$Y14/25,0),0)</f>
        <v>0</v>
      </c>
      <c r="AT14" s="976" cm="1">
        <f t="array" ref="AT14">IFERROR(IF(HLOOKUP($U14,加算と減算!$E$4:$P$10,6,FALSE)="○",IF(OR($U14=2,$U14=3),
INDEX(単価表!$AY$64:$CC$71,MATCH($V14&amp;$W14,INDEX(単価表!$AY$64:$AY$71&amp;単価表!$AZ$64:$AZ$71,),),MATCH(内訳計算!AT$6,単価表!$AY$63:$CC$63,0)),
INDEX(単価表!$AY$64:$CC$71,MATCH($V14&amp;$W14,INDEX(単価表!$AY$64:$AY$71&amp;単価表!$AZ$64:$AZ$71,),),MATCH(内訳計算!AT$6,単価表!$AY$63:$CC$63,0))),0),0)</f>
        <v>0</v>
      </c>
      <c r="AU14" s="975" cm="1">
        <f t="array" ref="AU14">IFERROR(ROUNDDOWN(IF(HLOOKUP($U14,加算と減算!$E$4:$P$10,6,FALSE)="○",IF(OR($U14=2,$U14=3),
INDEX(単価表!$AY$64:$CC$71,MATCH($V14&amp;$W14,INDEX(単価表!$AY$64:$AY$71&amp;単価表!$AZ$64:$AZ$71,),),MATCH(内訳計算!AU$6,単価表!$AY$63:$CC$63,0)),
INDEX(単価表!$AY$64:$CC$71,MATCH($V14&amp;$W14,INDEX(単価表!$AY$64:$AY$71&amp;単価表!$AZ$64:$AZ$71,),),MATCH(内訳計算!AU$6,単価表!$AY$63:$CC$63,0))),0)*$Y14/25,0),0)</f>
        <v>0</v>
      </c>
      <c r="AV14" s="976" cm="1">
        <f t="array" ref="AV14">IFERROR(IF(HLOOKUP($U14,加算と減算!$E$4:$P$10,7,FALSE)="○",IF(OR($U14=2,$U14=3),
INDEX(単価表!$AY$64:$CC$71,MATCH($V14&amp;$W14,INDEX(単価表!$AY$64:$AY$71&amp;単価表!$AZ$64:$AZ$71,),),MATCH(内訳計算!AV$6,単価表!$AY$63:$CC$63,0)),
INDEX(単価表!$AY$64:$CC$71,MATCH($V14&amp;$W14,INDEX(単価表!$AY$64:$AY$71&amp;単価表!$AZ$64:$AZ$71,),),MATCH(内訳計算!AV$6,単価表!$AY$63:$CC$63,0))),0),0)</f>
        <v>0</v>
      </c>
      <c r="AW14" s="977" cm="1">
        <f t="array" ref="AW14">IFERROR(ROUNDDOWN(IF(HLOOKUP($U14,加算と減算!$E$4:$P$10,7,FALSE)="○",IF(OR($U14=2,$U14=3),
INDEX(単価表!$AY$64:$CC$71,MATCH($V14&amp;$W14,INDEX(単価表!$AY$64:$AY$71&amp;単価表!$AZ$64:$AZ$71,),),MATCH(内訳計算!AW$6,単価表!$AY$63:$CC$63,0)),
INDEX(単価表!$AY$64:$CC$71,MATCH($V14&amp;$W14,INDEX(単価表!$AY$64:$AY$71&amp;単価表!$AZ$64:$AZ$71,),),MATCH(内訳計算!AW$6,単価表!$AY$63:$CC$63,0))),0)*$Y14/25,0),0)</f>
        <v>0</v>
      </c>
      <c r="AX14" s="977" cm="1">
        <f t="array" ref="AX14">IFERROR(ROUNDDOWN(IF(HLOOKUP($U14,加算と減算!$E$4:$P$10,7,FALSE)="○",IF(OR($U14=2,$U14=3),
INDEX(単価表!$AY$64:$CC$71,MATCH($V14&amp;$W14,INDEX(単価表!$AY$64:$AY$71&amp;単価表!$AZ$64:$AZ$71,),),MATCH(内訳計算!AX$6,単価表!$AY$63:$CC$63,0)),
INDEX(単価表!$AY$64:$CC$71,MATCH($V14&amp;$W14,INDEX(単価表!$AY$64:$AY$71&amp;単価表!$AZ$64:$AZ$71,),),MATCH(内訳計算!AX$6,単価表!$AY$63:$CC$63,0))),0)*$Y14/25,0),0)</f>
        <v>0</v>
      </c>
      <c r="AY14" s="975" cm="1">
        <f t="array" ref="AY14">IFERROR(ROUNDDOWN(IF(HLOOKUP($U14,加算と減算!$E$4:$P$10,7,FALSE)="○",IF(OR($U14=2,$U14=3),
INDEX(単価表!$AY$64:$CC$71,MATCH($V14&amp;$W14,INDEX(単価表!$AY$64:$AY$71&amp;単価表!$AZ$64:$AZ$71,),),MATCH(内訳計算!AY$6,単価表!$AY$63:$CC$63,0)),
INDEX(単価表!$AY$64:$CC$71,MATCH($V14&amp;$W14,INDEX(単価表!$AY$64:$AY$71&amp;単価表!$AZ$64:$AZ$71,),),MATCH(内訳計算!AY$6,単価表!$AY$63:$CC$63,0))),0)*$Y14/25,0),0)</f>
        <v>0</v>
      </c>
      <c r="AZ14" s="976" cm="1">
        <f t="array" ref="AZ14">IFERROR(IF(X14="○",INDEX(単価表!$AY$64:$CC$71,MATCH($V14&amp;$W14,INDEX(単価表!$AY$64:$AY$71&amp;単価表!$AZ$64:$AZ$71,),),MATCH(内訳計算!AZ$6,単価表!$AY$63:$CC$63,0)),0),0)</f>
        <v>0</v>
      </c>
      <c r="BA14" s="975" cm="1">
        <f t="array" ref="BA14">IFERROR(ROUNDDOWN(INDEX(単価表!$AY$64:$CC$71,MATCH($V14&amp;$W14,INDEX(単価表!$AY$64:$AY$71&amp;単価表!$AZ$64:$AZ$71,),),MATCH(内訳計算!BA$6,単価表!$AY$63:$CC$63,0))*$Y14/25,0),0)</f>
        <v>0</v>
      </c>
      <c r="BB14" s="976" cm="1">
        <f t="array" ref="BB14">IFERROR(INDEX(単価表!$AY$64:$CC$71,MATCH($V14&amp;$W14,INDEX(単価表!$AY$64:$AY$71&amp;単価表!$AZ$64:$AZ$71,),),MATCH(内訳計算!BB$6,単価表!$AY$63:$CC$63,0)),0)</f>
        <v>0</v>
      </c>
      <c r="BC14" s="975" cm="1">
        <f t="array" ref="BC14">IFERROR(ROUNDDOWN(INDEX(単価表!$AY$64:$CC$71,MATCH($V14&amp;$W14,INDEX(単価表!$AY$64:$AY$71&amp;単価表!$AZ$64:$AZ$71,),),MATCH(内訳計算!BC$6,単価表!$AY$63:$CC$63,0))*$Y14/25,0),0)</f>
        <v>0</v>
      </c>
      <c r="BD14" s="985">
        <f>IFERROR(IF(HLOOKUP($U14,加算と減算!$E$31:$P$32,2,FALSE)="○",IF(OR($U14=2,$U14=3),-(単価表!$AZ$7+単価表!$BA$7*基本情報!$G$7),-(単価表!$AZ$7+単価表!$BA$7*基本情報!$G$7)),0),0)</f>
        <v>0</v>
      </c>
      <c r="BE14" s="986" t="e">
        <f t="shared" si="8"/>
        <v>#VALUE!</v>
      </c>
      <c r="BF14" s="986" t="e">
        <f t="shared" si="9"/>
        <v>#VALUE!</v>
      </c>
      <c r="BG14" s="987" t="e">
        <f t="shared" si="10"/>
        <v>#N/A</v>
      </c>
      <c r="BH14" s="988">
        <f>IFERROR(IF(基本情報!$E$12&lt;&gt;"",-ROUNDDOWN((AA14+AE14+AH14+AL14)*基本情報!$H$12/100,-1),0),0)</f>
        <v>0</v>
      </c>
      <c r="BI14" s="986" t="e">
        <f t="shared" si="11"/>
        <v>#VALUE!</v>
      </c>
      <c r="BJ14" s="986" t="e">
        <f t="shared" si="12"/>
        <v>#VALUE!</v>
      </c>
      <c r="BK14" s="989" t="e">
        <f t="shared" si="13"/>
        <v>#N/A</v>
      </c>
      <c r="BL14" s="990">
        <f>IFERROR(-ROUNDUP(SUM(AA14,AE14,AH14,AL14,AR14,AT14,AV14,BD14,BH14)*基本情報!$H$14/100,-1),0)</f>
        <v>0</v>
      </c>
      <c r="BM14" s="991" t="e">
        <f t="shared" si="14"/>
        <v>#VALUE!</v>
      </c>
      <c r="BN14" s="991" t="e">
        <f t="shared" si="15"/>
        <v>#VALUE!</v>
      </c>
      <c r="BO14" s="992" t="e">
        <f t="shared" si="16"/>
        <v>#N/A</v>
      </c>
      <c r="BP14" s="701"/>
      <c r="BQ14" s="701"/>
      <c r="BR14" s="701"/>
      <c r="BS14" s="701"/>
      <c r="BT14" s="721"/>
      <c r="BU14" s="1043" t="e">
        <f t="shared" si="17"/>
        <v>#VALUE!</v>
      </c>
      <c r="BV14" s="1044" t="e">
        <f t="shared" si="18"/>
        <v>#VALUE!</v>
      </c>
      <c r="BW14" s="1044" t="e">
        <f t="shared" si="19"/>
        <v>#N/A</v>
      </c>
      <c r="BX14" s="1051">
        <f t="shared" si="20"/>
        <v>0</v>
      </c>
      <c r="BY14" s="1045">
        <f t="shared" si="21"/>
        <v>0</v>
      </c>
      <c r="CB14" s="1626"/>
      <c r="CC14" s="1600"/>
      <c r="CD14" s="720" t="s">
        <v>162</v>
      </c>
      <c r="CE14" s="741" t="s">
        <v>353</v>
      </c>
      <c r="CF14" s="672">
        <f>'4月'!AQ13</f>
        <v>0</v>
      </c>
      <c r="CG14" s="672">
        <f>'5月'!AQ13</f>
        <v>0</v>
      </c>
      <c r="CH14" s="672">
        <f>'6月'!AQ13</f>
        <v>0</v>
      </c>
      <c r="CI14" s="672">
        <f>'7月'!AQ13</f>
        <v>0</v>
      </c>
      <c r="CJ14" s="672">
        <f>'8月'!AQ13</f>
        <v>0</v>
      </c>
      <c r="CK14" s="672">
        <f>'9月'!AQ13</f>
        <v>0</v>
      </c>
      <c r="CL14" s="672">
        <f>'10月'!AQ13</f>
        <v>0</v>
      </c>
      <c r="CM14" s="672">
        <f>'11月'!AQ13</f>
        <v>0</v>
      </c>
      <c r="CN14" s="672">
        <f>'12月'!AQ13</f>
        <v>0</v>
      </c>
      <c r="CO14" s="672">
        <f>'1月'!AQ13</f>
        <v>0</v>
      </c>
      <c r="CP14" s="672">
        <f>'2月'!AQ13</f>
        <v>0</v>
      </c>
      <c r="CQ14" s="756">
        <f>'3月'!AQ13</f>
        <v>0</v>
      </c>
      <c r="CR14" s="759">
        <f t="shared" si="22"/>
        <v>0</v>
      </c>
      <c r="CS14" s="1600"/>
      <c r="CT14" s="720" t="s">
        <v>162</v>
      </c>
      <c r="CU14" s="958" t="s">
        <v>353</v>
      </c>
      <c r="CV14" s="776"/>
      <c r="CW14" s="776"/>
      <c r="CX14" s="771">
        <f>CR14</f>
        <v>0</v>
      </c>
      <c r="CY14" s="954"/>
      <c r="CZ14" s="954"/>
      <c r="DA14" s="721"/>
      <c r="DB14" s="721"/>
    </row>
    <row r="15" spans="1:109" ht="16.149999999999999" customHeight="1" thickBot="1">
      <c r="A15" s="1652"/>
      <c r="N15" s="1082"/>
      <c r="O15" s="1086"/>
      <c r="P15" s="1086"/>
      <c r="Q15" s="1084"/>
      <c r="R15" s="1084"/>
      <c r="T15" s="682">
        <v>9</v>
      </c>
      <c r="U15" s="918">
        <f>月途中入退所情報!D16</f>
        <v>0</v>
      </c>
      <c r="V15" s="918">
        <f>月途中入退所情報!H16</f>
        <v>0</v>
      </c>
      <c r="W15" s="918">
        <f>月途中入退所情報!G16</f>
        <v>0</v>
      </c>
      <c r="X15" s="945">
        <f>月途中入退所情報!I16</f>
        <v>0</v>
      </c>
      <c r="Y15" s="918">
        <f>月途中入退所情報!J16</f>
        <v>0</v>
      </c>
      <c r="Z15" s="840">
        <f>ROUNDDOWN((AA15+AE15+AH15+AL15+AR15+AT15+AV15+AZ15+BB15+BD15+BH15+BL15)*Y15/25,-1)</f>
        <v>0</v>
      </c>
      <c r="AA15" s="976" cm="1">
        <f t="array" ref="AA15">IFERROR(IF(OR($U15=2,$U15=3),
INDEX(単価表!$AY$64:$CC$71,MATCH($V15&amp;$W15,INDEX(単価表!$AY$64:$AY$71&amp;単価表!$AZ$64:$AZ$71,),),MATCH(内訳計算!AA$6,単価表!$AY$63:$CC$63,0)),
INDEX(単価表!$AY$64:$CC$71,MATCH($V15&amp;$W15,INDEX(単価表!$AY$64:$AY$71&amp;単価表!$AZ$64:$AZ$71,),),MATCH(内訳計算!AA$6,単価表!$AY$63:$CC$63,0))),0)</f>
        <v>0</v>
      </c>
      <c r="AB15" s="977" t="e">
        <f t="shared" si="7"/>
        <v>#VALUE!</v>
      </c>
      <c r="AC15" s="977" cm="1">
        <f t="array" ref="AC15">IFERROR(ROUNDDOWN(IF(OR($U15=2,$U15=3),
INDEX(単価表!$AY$64:$CC$71,MATCH($V15&amp;$W15,INDEX(単価表!$AY$64:$AY$71&amp;単価表!$AZ$64:$AZ$71,),),MATCH(内訳計算!AC$6,単価表!$AY$63:$CC$63,0)),
INDEX(単価表!$AY$64:$CC$71,MATCH($V15&amp;$W15,INDEX(単価表!$AY$64:$AY$71&amp;単価表!$AZ$64:$AZ$71,),),MATCH(内訳計算!AC$6,単価表!$AY$63:$CC$63,0)))*$Y15/25,0),0)</f>
        <v>0</v>
      </c>
      <c r="AD15" s="975" cm="1">
        <f t="array" ref="AD15">IFERROR(ROUNDDOWN(IF(OR($U15=2,$U15=3),
INDEX(単価表!$AY$64:$CC$71,MATCH($V15&amp;$W15,INDEX(単価表!$AY$64:$AY$71&amp;単価表!$AZ$64:$AZ$71,),),MATCH(内訳計算!AD$6,単価表!$AY$63:$CC$63,0)),
INDEX(単価表!$AY$64:$CC$71,MATCH($V15&amp;$W15,INDEX(単価表!$AY$64:$AY$71&amp;単価表!$AZ$64:$AZ$71,),),MATCH(内訳計算!AD$6,単価表!$AY$63:$CC$63,0)))*$Y15/25,0),0)</f>
        <v>0</v>
      </c>
      <c r="AE15" s="976" cm="1">
        <f t="array" ref="AE15">IFERROR(IF(OR($U15=2,$U15=3),
INDEX(単価表!$AY$64:$CC$71,MATCH($V15&amp;$W15,INDEX(単価表!$AY$64:$AY$71&amp;単価表!$AZ$64:$AZ$71,),),MATCH(内訳計算!AE$6,単価表!$AY$63:$CC$63,0)),
INDEX(単価表!$AY$64:$CC$71,MATCH($V15&amp;$W15,INDEX(単価表!$AY$64:$AY$71&amp;単価表!$AZ$64:$AZ$71,),),MATCH(内訳計算!AE$6,単価表!$AY$63:$CC$63,0))),0)</f>
        <v>0</v>
      </c>
      <c r="AF15" s="977" cm="1">
        <f t="array" ref="AF15">IFERROR(ROUNDDOWN(IF(OR($U15=2,$U15=3),
INDEX(単価表!$AY$64:$CC$71,MATCH($V15&amp;$W15,INDEX(単価表!$AY$64:$AY$71&amp;単価表!$AZ$64:$AZ$71,),),MATCH(内訳計算!AF$6,単価表!$AY$63:$CC$63,0)),
INDEX(単価表!$AY$64:$CC$71,MATCH($V15&amp;$W15,INDEX(単価表!$AY$64:$AY$71&amp;単価表!$AZ$64:$AZ$71,),),MATCH(内訳計算!AF$6,単価表!$AY$63:$CC$63,0)))*$Y15/25,0),0)</f>
        <v>0</v>
      </c>
      <c r="AG15" s="975" cm="1">
        <f t="array" ref="AG15">IFERROR(ROUNDDOWN(IF(OR($U15=2,$U15=3),
INDEX(単価表!$AY$64:$CC$71,MATCH($V15&amp;$W15,INDEX(単価表!$AY$64:$AY$71&amp;単価表!$AZ$64:$AZ$71,),),MATCH(内訳計算!AG$6,単価表!$AY$63:$CC$63,0)),
INDEX(単価表!$AY$64:$CC$71,MATCH($V15&amp;$W15,INDEX(単価表!$AY$64:$AY$71&amp;単価表!$AZ$64:$AZ$71,),),MATCH(内訳計算!AG$6,単価表!$AY$63:$CC$63,0)))*$Y15/25,0),0)</f>
        <v>0</v>
      </c>
      <c r="AH15" s="976" cm="1">
        <f t="array" ref="AH15">IFERROR(IF(HLOOKUP($U15,加算と減算!$E$4:$P$10,2,FALSE)="○",IF(OR($U15=2,$U15=3),
INDEX(単価表!$AY$64:$CC$71,MATCH($V15&amp;$W15,INDEX(単価表!$AY$64:$AY$71&amp;単価表!$AZ$64:$AZ$71,),),MATCH(内訳計算!AH$6,単価表!$AY$63:$CC$63,0)),
INDEX(単価表!$AY$64:$CC$71,MATCH($V15&amp;$W15,INDEX(単価表!$AY$64:$AY$71&amp;単価表!$AZ$64:$AZ$71,),),MATCH(内訳計算!AH$6,単価表!$AY$63:$CC$63,0))),0),0)</f>
        <v>0</v>
      </c>
      <c r="AI15" s="978" cm="1">
        <f t="array" ref="AI15">IFERROR(ROUNDDOWN(IF(HLOOKUP($U15,加算と減算!$E$4:$P$10,2,FALSE)="○",IF(OR($U15=2,$U15=3),
INDEX(単価表!$AY$64:$CC$71,MATCH($V15&amp;$W15,INDEX(単価表!$AY$64:$AY$71&amp;単価表!$AZ$64:$AZ$71,),),MATCH(内訳計算!AI$6,単価表!$AY$63:$CC$63,0)),
INDEX(単価表!$AY$64:$CC$71,MATCH($V15&amp;$W15,INDEX(単価表!$AY$64:$AY$71&amp;単価表!$AZ$64:$AZ$71,),),MATCH(内訳計算!AI$6,単価表!$AY$63:$CC$63,0))),0)*$Y15/25,0),0)</f>
        <v>0</v>
      </c>
      <c r="AJ15" s="977" cm="1">
        <f t="array" ref="AJ15">IFERROR(ROUNDDOWN(IF(HLOOKUP($U15,加算と減算!$E$4:$P$10,2,FALSE)="○",IF(OR($U15=2,$U15=3),
INDEX(単価表!$AY$64:$CC$71,MATCH($V15&amp;$W15,INDEX(単価表!$AY$64:$AY$71&amp;単価表!$AZ$64:$AZ$71,),),MATCH(内訳計算!AJ$6,単価表!$AY$63:$CC$63,0)),
INDEX(単価表!$AY$64:$CC$71,MATCH($V15&amp;$W15,INDEX(単価表!$AY$64:$AY$71&amp;単価表!$AZ$64:$AZ$71,),),MATCH(内訳計算!AJ$6,単価表!$AY$63:$CC$63,0))),0)*$Y15/25,0),0)</f>
        <v>0</v>
      </c>
      <c r="AK15" s="975" cm="1">
        <f t="array" ref="AK15">IFERROR(ROUNDDOWN(IF(HLOOKUP($U15,加算と減算!$E$4:$P$10,2,FALSE)="○",IF(OR($U15=2,$U15=3),
INDEX(単価表!$AY$64:$CC$71,MATCH($V15&amp;$W15,INDEX(単価表!$AY$64:$AY$71&amp;単価表!$AZ$64:$AZ$71,),),MATCH(内訳計算!AK$6,単価表!$AY$63:$CC$63,0)),
INDEX(単価表!$AY$64:$CC$71,MATCH($V15&amp;$W15,INDEX(単価表!$AY$64:$AY$71&amp;単価表!$AZ$64:$AZ$71,),),MATCH(内訳計算!AK$6,単価表!$AY$63:$CC$63,0))),0)*$Y15/25,0),0)</f>
        <v>0</v>
      </c>
      <c r="AL15" s="976" cm="1">
        <f t="array" ref="AL15">IFERROR(IF(HLOOKUP($U15,加算と減算!$E$4:$P$10,4,FALSE)="○",IF(OR($U15=2,$U15=3),
INDEX(単価表!$AY$64:$CC$71,MATCH($V15&amp;$W15,INDEX(単価表!$AY$64:$AY$71&amp;単価表!$AZ$64:$AZ$71,),),MATCH(内訳計算!AL$6,単価表!$AY$63:$CC$63,0)),
INDEX(単価表!$AY$64:$CC$71,MATCH($V15&amp;$W15,INDEX(単価表!$AY$64:$AY$71&amp;単価表!$AZ$64:$AZ$71,),),MATCH(内訳計算!AL$6,単価表!$AY$63:$CC$63,0))),0),0)</f>
        <v>0</v>
      </c>
      <c r="AM15" s="977" cm="1">
        <f t="array" ref="AM15">IFERROR(ROUNDDOWN(IF(HLOOKUP($U15,加算と減算!$E$4:$P$10,4,FALSE)="○",IF(OR($U15=2,$U15=3),
INDEX(単価表!$AY$64:$CC$71,MATCH($V15&amp;$W15,INDEX(単価表!$AY$64:$AY$71&amp;単価表!$AZ$64:$AZ$71,),),MATCH(内訳計算!AM$6,単価表!$AY$63:$CC$63,0)),
INDEX(単価表!$AY$64:$CC$71,MATCH($V15&amp;$W15,INDEX(単価表!$AY$64:$AY$71&amp;単価表!$AZ$64:$AZ$71,),),MATCH(内訳計算!AM$6,単価表!$AY$63:$CC$63,0))),0)*$Y15/25,0),0)</f>
        <v>0</v>
      </c>
      <c r="AN15" s="977" cm="1">
        <f t="array" ref="AN15">IFERROR(ROUNDDOWN(IF(HLOOKUP($U15,加算と減算!$E$4:$P$10,4,FALSE)="○",IF(OR($U15=2,$U15=3),
INDEX(単価表!$AY$64:$CC$71,MATCH($V15&amp;$W15,INDEX(単価表!$AY$64:$AY$71&amp;単価表!$AZ$64:$AZ$71,),),MATCH(内訳計算!AN$6,単価表!$AY$63:$CC$63,0)),
INDEX(単価表!$AY$64:$CC$71,MATCH($V15&amp;$W15,INDEX(単価表!$AY$64:$AY$71&amp;単価表!$AZ$64:$AZ$71,),),MATCH(内訳計算!AN$6,単価表!$AY$63:$CC$63,0))),0)*$Y15/25,0),0)</f>
        <v>0</v>
      </c>
      <c r="AO15" s="977" cm="1">
        <f t="array" ref="AO15">IFERROR(ROUNDDOWN(IF(HLOOKUP($U15,加算と減算!$E$4:$P$10,4,FALSE)="○",IF(OR($U15=2,$U15=3),
INDEX(単価表!$AY$64:$CC$71,MATCH($V15&amp;$W15,INDEX(単価表!$AY$64:$AY$71&amp;単価表!$AZ$64:$AZ$71,),),MATCH(内訳計算!AO$6,単価表!$AY$63:$CC$63,0)),
INDEX(単価表!$AY$64:$CC$71,MATCH($V15&amp;$W15,INDEX(単価表!$AY$64:$AY$71&amp;単価表!$AZ$64:$AZ$71,),),MATCH(内訳計算!AO$6,単価表!$AY$63:$CC$63,0))),0)*$Y15/25,0),0)</f>
        <v>0</v>
      </c>
      <c r="AP15" s="977" cm="1">
        <f t="array" ref="AP15">IFERROR(ROUNDDOWN(IF(HLOOKUP($U15,加算と減算!$E$4:$P$10,4,FALSE)="○",IF(OR($U15=2,$U15=3),
INDEX(単価表!$AY$64:$CC$71,MATCH($V15&amp;$W15,INDEX(単価表!$AY$64:$AY$71&amp;単価表!$AZ$64:$AZ$71,),),MATCH(内訳計算!AP$6,単価表!$AY$63:$CC$63,0)),
INDEX(単価表!$AY$64:$CC$71,MATCH($V15&amp;$W15,INDEX(単価表!$AY$64:$AY$71&amp;単価表!$AZ$64:$AZ$71,),),MATCH(内訳計算!AP$6,単価表!$AY$63:$CC$63,0))),0)*$Y15/25,0),0)</f>
        <v>0</v>
      </c>
      <c r="AQ15" s="975" cm="1">
        <f t="array" ref="AQ15">IFERROR(ROUNDDOWN(IF(HLOOKUP($U15,加算と減算!$E$4:$P$10,4,FALSE)="○",IF(OR($U15=2,$U15=3),
INDEX(単価表!$AY$64:$CC$71,MATCH($V15&amp;$W15,INDEX(単価表!$AY$64:$AY$71&amp;単価表!$AZ$64:$AZ$71,),),MATCH(内訳計算!AQ$6,単価表!$AY$63:$CC$63,0)),
INDEX(単価表!$AY$64:$CC$71,MATCH($V15&amp;$W15,INDEX(単価表!$AY$64:$AY$71&amp;単価表!$AZ$64:$AZ$71,),),MATCH(内訳計算!AQ$6,単価表!$AY$63:$CC$63,0))),0)*$Y15/25,0),0)</f>
        <v>0</v>
      </c>
      <c r="AR15" s="976" cm="1">
        <f t="array" ref="AR15">IFERROR(IF(HLOOKUP($U15,加算と減算!$E$4:$P$10,5,FALSE)="○",IF(OR($U15=2,$U15=3),
INDEX(単価表!$AY$64:$CC$71,MATCH($V15&amp;$W15,INDEX(単価表!$AY$64:$AY$71&amp;単価表!$AZ$64:$AZ$71,),),MATCH(内訳計算!AR$6,単価表!$AY$63:$CC$63,0)),
INDEX(単価表!$AY$64:$CC$71,MATCH($V15&amp;$W15,INDEX(単価表!$AY$64:$AY$71&amp;単価表!$AZ$64:$AZ$71,),),MATCH(内訳計算!AR$6,単価表!$AY$63:$CC$63,0))),0),0)</f>
        <v>0</v>
      </c>
      <c r="AS15" s="975" cm="1">
        <f t="array" ref="AS15">IFERROR(ROUNDDOWN(IF(HLOOKUP($U15,加算と減算!$E$4:$P$10,5,FALSE)="○",IF(OR($U15=2,$U15=3),
INDEX(単価表!$AY$64:$CC$71,MATCH($V15&amp;$W15,INDEX(単価表!$AY$64:$AY$71&amp;単価表!$AZ$64:$AZ$71,),),MATCH(内訳計算!AS$6,単価表!$AY$63:$CC$63,0)),
INDEX(単価表!$AY$64:$CC$71,MATCH($V15&amp;$W15,INDEX(単価表!$AY$64:$AY$71&amp;単価表!$AZ$64:$AZ$71,),),MATCH(内訳計算!AS$6,単価表!$AY$63:$CC$63,0))),0)*$Y15/25,0),0)</f>
        <v>0</v>
      </c>
      <c r="AT15" s="976" cm="1">
        <f t="array" ref="AT15">IFERROR(IF(HLOOKUP($U15,加算と減算!$E$4:$P$10,6,FALSE)="○",IF(OR($U15=2,$U15=3),
INDEX(単価表!$AY$64:$CC$71,MATCH($V15&amp;$W15,INDEX(単価表!$AY$64:$AY$71&amp;単価表!$AZ$64:$AZ$71,),),MATCH(内訳計算!AT$6,単価表!$AY$63:$CC$63,0)),
INDEX(単価表!$AY$64:$CC$71,MATCH($V15&amp;$W15,INDEX(単価表!$AY$64:$AY$71&amp;単価表!$AZ$64:$AZ$71,),),MATCH(内訳計算!AT$6,単価表!$AY$63:$CC$63,0))),0),0)</f>
        <v>0</v>
      </c>
      <c r="AU15" s="975" cm="1">
        <f t="array" ref="AU15">IFERROR(ROUNDDOWN(IF(HLOOKUP($U15,加算と減算!$E$4:$P$10,6,FALSE)="○",IF(OR($U15=2,$U15=3),
INDEX(単価表!$AY$64:$CC$71,MATCH($V15&amp;$W15,INDEX(単価表!$AY$64:$AY$71&amp;単価表!$AZ$64:$AZ$71,),),MATCH(内訳計算!AU$6,単価表!$AY$63:$CC$63,0)),
INDEX(単価表!$AY$64:$CC$71,MATCH($V15&amp;$W15,INDEX(単価表!$AY$64:$AY$71&amp;単価表!$AZ$64:$AZ$71,),),MATCH(内訳計算!AU$6,単価表!$AY$63:$CC$63,0))),0)*$Y15/25,0),0)</f>
        <v>0</v>
      </c>
      <c r="AV15" s="976" cm="1">
        <f t="array" ref="AV15">IFERROR(IF(HLOOKUP($U15,加算と減算!$E$4:$P$10,7,FALSE)="○",IF(OR($U15=2,$U15=3),
INDEX(単価表!$AY$64:$CC$71,MATCH($V15&amp;$W15,INDEX(単価表!$AY$64:$AY$71&amp;単価表!$AZ$64:$AZ$71,),),MATCH(内訳計算!AV$6,単価表!$AY$63:$CC$63,0)),
INDEX(単価表!$AY$64:$CC$71,MATCH($V15&amp;$W15,INDEX(単価表!$AY$64:$AY$71&amp;単価表!$AZ$64:$AZ$71,),),MATCH(内訳計算!AV$6,単価表!$AY$63:$CC$63,0))),0),0)</f>
        <v>0</v>
      </c>
      <c r="AW15" s="977" cm="1">
        <f t="array" ref="AW15">IFERROR(ROUNDDOWN(IF(HLOOKUP($U15,加算と減算!$E$4:$P$10,7,FALSE)="○",IF(OR($U15=2,$U15=3),
INDEX(単価表!$AY$64:$CC$71,MATCH($V15&amp;$W15,INDEX(単価表!$AY$64:$AY$71&amp;単価表!$AZ$64:$AZ$71,),),MATCH(内訳計算!AW$6,単価表!$AY$63:$CC$63,0)),
INDEX(単価表!$AY$64:$CC$71,MATCH($V15&amp;$W15,INDEX(単価表!$AY$64:$AY$71&amp;単価表!$AZ$64:$AZ$71,),),MATCH(内訳計算!AW$6,単価表!$AY$63:$CC$63,0))),0)*$Y15/25,0),0)</f>
        <v>0</v>
      </c>
      <c r="AX15" s="977" cm="1">
        <f t="array" ref="AX15">IFERROR(ROUNDDOWN(IF(HLOOKUP($U15,加算と減算!$E$4:$P$10,7,FALSE)="○",IF(OR($U15=2,$U15=3),
INDEX(単価表!$AY$64:$CC$71,MATCH($V15&amp;$W15,INDEX(単価表!$AY$64:$AY$71&amp;単価表!$AZ$64:$AZ$71,),),MATCH(内訳計算!AX$6,単価表!$AY$63:$CC$63,0)),
INDEX(単価表!$AY$64:$CC$71,MATCH($V15&amp;$W15,INDEX(単価表!$AY$64:$AY$71&amp;単価表!$AZ$64:$AZ$71,),),MATCH(内訳計算!AX$6,単価表!$AY$63:$CC$63,0))),0)*$Y15/25,0),0)</f>
        <v>0</v>
      </c>
      <c r="AY15" s="975" cm="1">
        <f t="array" ref="AY15">IFERROR(ROUNDDOWN(IF(HLOOKUP($U15,加算と減算!$E$4:$P$10,7,FALSE)="○",IF(OR($U15=2,$U15=3),
INDEX(単価表!$AY$64:$CC$71,MATCH($V15&amp;$W15,INDEX(単価表!$AY$64:$AY$71&amp;単価表!$AZ$64:$AZ$71,),),MATCH(内訳計算!AY$6,単価表!$AY$63:$CC$63,0)),
INDEX(単価表!$AY$64:$CC$71,MATCH($V15&amp;$W15,INDEX(単価表!$AY$64:$AY$71&amp;単価表!$AZ$64:$AZ$71,),),MATCH(内訳計算!AY$6,単価表!$AY$63:$CC$63,0))),0)*$Y15/25,0),0)</f>
        <v>0</v>
      </c>
      <c r="AZ15" s="976" cm="1">
        <f t="array" ref="AZ15">IFERROR(IF(X15="○",INDEX(単価表!$AY$64:$CC$71,MATCH($V15&amp;$W15,INDEX(単価表!$AY$64:$AY$71&amp;単価表!$AZ$64:$AZ$71,),),MATCH(内訳計算!AZ$6,単価表!$AY$63:$CC$63,0)),0),0)</f>
        <v>0</v>
      </c>
      <c r="BA15" s="975" cm="1">
        <f t="array" ref="BA15">IFERROR(ROUNDDOWN(INDEX(単価表!$AY$64:$CC$71,MATCH($V15&amp;$W15,INDEX(単価表!$AY$64:$AY$71&amp;単価表!$AZ$64:$AZ$71,),),MATCH(内訳計算!BA$6,単価表!$AY$63:$CC$63,0))*$Y15/25,0),0)</f>
        <v>0</v>
      </c>
      <c r="BB15" s="976" cm="1">
        <f t="array" ref="BB15">IFERROR(INDEX(単価表!$AY$64:$CC$71,MATCH($V15&amp;$W15,INDEX(単価表!$AY$64:$AY$71&amp;単価表!$AZ$64:$AZ$71,),),MATCH(内訳計算!BB$6,単価表!$AY$63:$CC$63,0)),0)</f>
        <v>0</v>
      </c>
      <c r="BC15" s="975" cm="1">
        <f t="array" ref="BC15">IFERROR(ROUNDDOWN(INDEX(単価表!$AY$64:$CC$71,MATCH($V15&amp;$W15,INDEX(単価表!$AY$64:$AY$71&amp;単価表!$AZ$64:$AZ$71,),),MATCH(内訳計算!BC$6,単価表!$AY$63:$CC$63,0))*$Y15/25,0),0)</f>
        <v>0</v>
      </c>
      <c r="BD15" s="985">
        <f>IFERROR(IF(HLOOKUP($U15,加算と減算!$E$31:$P$32,2,FALSE)="○",IF(OR($U15=2,$U15=3),-(単価表!$AZ$7+単価表!$BA$7*基本情報!$G$7),-(単価表!$AZ$7+単価表!$BA$7*基本情報!$G$7)),0),0)</f>
        <v>0</v>
      </c>
      <c r="BE15" s="986" t="e">
        <f t="shared" si="8"/>
        <v>#VALUE!</v>
      </c>
      <c r="BF15" s="986" t="e">
        <f t="shared" si="9"/>
        <v>#VALUE!</v>
      </c>
      <c r="BG15" s="987" t="e">
        <f t="shared" si="10"/>
        <v>#N/A</v>
      </c>
      <c r="BH15" s="988">
        <f>IFERROR(IF(基本情報!$E$12&lt;&gt;"",-ROUNDDOWN((AA15+AE15+AH15+AL15)*基本情報!$H$12/100,-1),0),0)</f>
        <v>0</v>
      </c>
      <c r="BI15" s="986" t="e">
        <f t="shared" si="11"/>
        <v>#VALUE!</v>
      </c>
      <c r="BJ15" s="986" t="e">
        <f t="shared" si="12"/>
        <v>#VALUE!</v>
      </c>
      <c r="BK15" s="989" t="e">
        <f t="shared" si="13"/>
        <v>#N/A</v>
      </c>
      <c r="BL15" s="990">
        <f>IFERROR(-ROUNDUP(SUM(AA15,AE15,AH15,AL15,AR15,AT15,AV15,BD15,BH15)*基本情報!$H$14/100,-1),0)</f>
        <v>0</v>
      </c>
      <c r="BM15" s="991" t="e">
        <f t="shared" si="14"/>
        <v>#VALUE!</v>
      </c>
      <c r="BN15" s="991" t="e">
        <f t="shared" si="15"/>
        <v>#VALUE!</v>
      </c>
      <c r="BO15" s="992" t="e">
        <f t="shared" si="16"/>
        <v>#N/A</v>
      </c>
      <c r="BP15" s="701"/>
      <c r="BQ15" s="701"/>
      <c r="BR15" s="701"/>
      <c r="BS15" s="701"/>
      <c r="BT15" s="721"/>
      <c r="BU15" s="1043" t="e">
        <f t="shared" si="17"/>
        <v>#VALUE!</v>
      </c>
      <c r="BV15" s="1044" t="e">
        <f t="shared" si="18"/>
        <v>#VALUE!</v>
      </c>
      <c r="BW15" s="1044" t="e">
        <f t="shared" si="19"/>
        <v>#N/A</v>
      </c>
      <c r="BX15" s="1051">
        <f t="shared" si="20"/>
        <v>0</v>
      </c>
      <c r="BY15" s="1045">
        <f t="shared" si="21"/>
        <v>0</v>
      </c>
      <c r="CB15" s="1626"/>
      <c r="CC15" s="1600"/>
      <c r="CD15" s="720" t="s">
        <v>54</v>
      </c>
      <c r="CE15" s="741" t="s">
        <v>353</v>
      </c>
      <c r="CF15" s="672">
        <f>'4月'!AQ14</f>
        <v>0</v>
      </c>
      <c r="CG15" s="672">
        <f>'5月'!AQ14</f>
        <v>0</v>
      </c>
      <c r="CH15" s="672">
        <f>'6月'!AQ14</f>
        <v>0</v>
      </c>
      <c r="CI15" s="672">
        <f>'7月'!AQ14</f>
        <v>0</v>
      </c>
      <c r="CJ15" s="672">
        <f>'8月'!AQ14</f>
        <v>0</v>
      </c>
      <c r="CK15" s="672">
        <f>'9月'!AQ14</f>
        <v>0</v>
      </c>
      <c r="CL15" s="672">
        <f>'10月'!AQ14</f>
        <v>0</v>
      </c>
      <c r="CM15" s="672">
        <f>'11月'!AQ14</f>
        <v>0</v>
      </c>
      <c r="CN15" s="672">
        <f>'12月'!AQ14</f>
        <v>0</v>
      </c>
      <c r="CO15" s="672">
        <f>'1月'!AQ14</f>
        <v>0</v>
      </c>
      <c r="CP15" s="672">
        <f>'2月'!AQ14</f>
        <v>0</v>
      </c>
      <c r="CQ15" s="756">
        <f>'3月'!AQ14</f>
        <v>0</v>
      </c>
      <c r="CR15" s="759">
        <f t="shared" si="22"/>
        <v>0</v>
      </c>
      <c r="CS15" s="1600"/>
      <c r="CT15" s="720" t="s">
        <v>54</v>
      </c>
      <c r="CU15" s="958" t="s">
        <v>353</v>
      </c>
      <c r="CV15" s="776"/>
      <c r="CW15" s="776"/>
      <c r="CX15" s="771">
        <f>CR15</f>
        <v>0</v>
      </c>
      <c r="CY15" s="954"/>
      <c r="CZ15" s="954"/>
      <c r="DA15" s="721"/>
      <c r="DB15" s="721"/>
    </row>
    <row r="16" spans="1:109" s="666" customFormat="1" ht="16.149999999999999" customHeight="1">
      <c r="A16" s="1652"/>
      <c r="B16" s="1539" t="s">
        <v>553</v>
      </c>
      <c r="C16" s="1527"/>
      <c r="D16" s="1528"/>
      <c r="E16" s="697" t="s">
        <v>535</v>
      </c>
      <c r="F16" s="697" t="s">
        <v>71</v>
      </c>
      <c r="G16" s="697" t="s">
        <v>536</v>
      </c>
      <c r="H16" s="697" t="s">
        <v>537</v>
      </c>
      <c r="I16" s="697" t="s">
        <v>538</v>
      </c>
      <c r="J16" s="703" t="s">
        <v>539</v>
      </c>
      <c r="K16" s="704" t="s">
        <v>540</v>
      </c>
      <c r="L16" s="705" t="s">
        <v>541</v>
      </c>
      <c r="N16" s="1080"/>
      <c r="O16" s="1086"/>
      <c r="P16" s="1086"/>
      <c r="Q16" s="1085"/>
      <c r="R16" s="1085"/>
      <c r="T16" s="682">
        <v>10</v>
      </c>
      <c r="U16" s="918">
        <f>月途中入退所情報!D17</f>
        <v>0</v>
      </c>
      <c r="V16" s="918">
        <f>月途中入退所情報!H17</f>
        <v>0</v>
      </c>
      <c r="W16" s="918">
        <f>月途中入退所情報!G17</f>
        <v>0</v>
      </c>
      <c r="X16" s="945">
        <f>月途中入退所情報!I17</f>
        <v>0</v>
      </c>
      <c r="Y16" s="918">
        <f>月途中入退所情報!J17</f>
        <v>0</v>
      </c>
      <c r="Z16" s="840">
        <f t="shared" si="6"/>
        <v>0</v>
      </c>
      <c r="AA16" s="976" cm="1">
        <f t="array" ref="AA16">IFERROR(IF(OR($U16=2,$U16=3),
INDEX(単価表!$AY$64:$CC$71,MATCH($V16&amp;$W16,INDEX(単価表!$AY$64:$AY$71&amp;単価表!$AZ$64:$AZ$71,),),MATCH(内訳計算!AA$6,単価表!$AY$63:$CC$63,0)),
INDEX(単価表!$AY$64:$CC$71,MATCH($V16&amp;$W16,INDEX(単価表!$AY$64:$AY$71&amp;単価表!$AZ$64:$AZ$71,),),MATCH(内訳計算!AA$6,単価表!$AY$63:$CC$63,0))),0)</f>
        <v>0</v>
      </c>
      <c r="AB16" s="977" t="e">
        <f t="shared" si="7"/>
        <v>#VALUE!</v>
      </c>
      <c r="AC16" s="977" cm="1">
        <f t="array" ref="AC16">IFERROR(ROUNDDOWN(IF(OR($U16=2,$U16=3),
INDEX(単価表!$AY$64:$CC$71,MATCH($V16&amp;$W16,INDEX(単価表!$AY$64:$AY$71&amp;単価表!$AZ$64:$AZ$71,),),MATCH(内訳計算!AC$6,単価表!$AY$63:$CC$63,0)),
INDEX(単価表!$AY$64:$CC$71,MATCH($V16&amp;$W16,INDEX(単価表!$AY$64:$AY$71&amp;単価表!$AZ$64:$AZ$71,),),MATCH(内訳計算!AC$6,単価表!$AY$63:$CC$63,0)))*$Y16/25,0),0)</f>
        <v>0</v>
      </c>
      <c r="AD16" s="975" cm="1">
        <f t="array" ref="AD16">IFERROR(ROUNDDOWN(IF(OR($U16=2,$U16=3),
INDEX(単価表!$AY$64:$CC$71,MATCH($V16&amp;$W16,INDEX(単価表!$AY$64:$AY$71&amp;単価表!$AZ$64:$AZ$71,),),MATCH(内訳計算!AD$6,単価表!$AY$63:$CC$63,0)),
INDEX(単価表!$AY$64:$CC$71,MATCH($V16&amp;$W16,INDEX(単価表!$AY$64:$AY$71&amp;単価表!$AZ$64:$AZ$71,),),MATCH(内訳計算!AD$6,単価表!$AY$63:$CC$63,0)))*$Y16/25,0),0)</f>
        <v>0</v>
      </c>
      <c r="AE16" s="976" cm="1">
        <f t="array" ref="AE16">IFERROR(IF(OR($U16=2,$U16=3),
INDEX(単価表!$AY$64:$CC$71,MATCH($V16&amp;$W16,INDEX(単価表!$AY$64:$AY$71&amp;単価表!$AZ$64:$AZ$71,),),MATCH(内訳計算!AE$6,単価表!$AY$63:$CC$63,0)),
INDEX(単価表!$AY$64:$CC$71,MATCH($V16&amp;$W16,INDEX(単価表!$AY$64:$AY$71&amp;単価表!$AZ$64:$AZ$71,),),MATCH(内訳計算!AE$6,単価表!$AY$63:$CC$63,0))),0)</f>
        <v>0</v>
      </c>
      <c r="AF16" s="977" cm="1">
        <f t="array" ref="AF16">IFERROR(ROUNDDOWN(IF(OR($U16=2,$U16=3),
INDEX(単価表!$AY$64:$CC$71,MATCH($V16&amp;$W16,INDEX(単価表!$AY$64:$AY$71&amp;単価表!$AZ$64:$AZ$71,),),MATCH(内訳計算!AF$6,単価表!$AY$63:$CC$63,0)),
INDEX(単価表!$AY$64:$CC$71,MATCH($V16&amp;$W16,INDEX(単価表!$AY$64:$AY$71&amp;単価表!$AZ$64:$AZ$71,),),MATCH(内訳計算!AF$6,単価表!$AY$63:$CC$63,0)))*$Y16/25,0),0)</f>
        <v>0</v>
      </c>
      <c r="AG16" s="975" cm="1">
        <f t="array" ref="AG16">IFERROR(ROUNDDOWN(IF(OR($U16=2,$U16=3),
INDEX(単価表!$AY$64:$CC$71,MATCH($V16&amp;$W16,INDEX(単価表!$AY$64:$AY$71&amp;単価表!$AZ$64:$AZ$71,),),MATCH(内訳計算!AG$6,単価表!$AY$63:$CC$63,0)),
INDEX(単価表!$AY$64:$CC$71,MATCH($V16&amp;$W16,INDEX(単価表!$AY$64:$AY$71&amp;単価表!$AZ$64:$AZ$71,),),MATCH(内訳計算!AG$6,単価表!$AY$63:$CC$63,0)))*$Y16/25,0),0)</f>
        <v>0</v>
      </c>
      <c r="AH16" s="976" cm="1">
        <f t="array" ref="AH16">IFERROR(IF(HLOOKUP($U16,加算と減算!$E$4:$P$10,2,FALSE)="○",IF(OR($U16=2,$U16=3),
INDEX(単価表!$AY$64:$CC$71,MATCH($V16&amp;$W16,INDEX(単価表!$AY$64:$AY$71&amp;単価表!$AZ$64:$AZ$71,),),MATCH(内訳計算!AH$6,単価表!$AY$63:$CC$63,0)),
INDEX(単価表!$AY$64:$CC$71,MATCH($V16&amp;$W16,INDEX(単価表!$AY$64:$AY$71&amp;単価表!$AZ$64:$AZ$71,),),MATCH(内訳計算!AH$6,単価表!$AY$63:$CC$63,0))),0),0)</f>
        <v>0</v>
      </c>
      <c r="AI16" s="978" cm="1">
        <f t="array" ref="AI16">IFERROR(ROUNDDOWN(IF(HLOOKUP($U16,加算と減算!$E$4:$P$10,2,FALSE)="○",IF(OR($U16=2,$U16=3),
INDEX(単価表!$AY$64:$CC$71,MATCH($V16&amp;$W16,INDEX(単価表!$AY$64:$AY$71&amp;単価表!$AZ$64:$AZ$71,),),MATCH(内訳計算!AI$6,単価表!$AY$63:$CC$63,0)),
INDEX(単価表!$AY$64:$CC$71,MATCH($V16&amp;$W16,INDEX(単価表!$AY$64:$AY$71&amp;単価表!$AZ$64:$AZ$71,),),MATCH(内訳計算!AI$6,単価表!$AY$63:$CC$63,0))),0)*$Y16/25,0),0)</f>
        <v>0</v>
      </c>
      <c r="AJ16" s="977" cm="1">
        <f t="array" ref="AJ16">IFERROR(ROUNDDOWN(IF(HLOOKUP($U16,加算と減算!$E$4:$P$10,2,FALSE)="○",IF(OR($U16=2,$U16=3),
INDEX(単価表!$AY$64:$CC$71,MATCH($V16&amp;$W16,INDEX(単価表!$AY$64:$AY$71&amp;単価表!$AZ$64:$AZ$71,),),MATCH(内訳計算!AJ$6,単価表!$AY$63:$CC$63,0)),
INDEX(単価表!$AY$64:$CC$71,MATCH($V16&amp;$W16,INDEX(単価表!$AY$64:$AY$71&amp;単価表!$AZ$64:$AZ$71,),),MATCH(内訳計算!AJ$6,単価表!$AY$63:$CC$63,0))),0)*$Y16/25,0),0)</f>
        <v>0</v>
      </c>
      <c r="AK16" s="975" cm="1">
        <f t="array" ref="AK16">IFERROR(ROUNDDOWN(IF(HLOOKUP($U16,加算と減算!$E$4:$P$10,2,FALSE)="○",IF(OR($U16=2,$U16=3),
INDEX(単価表!$AY$64:$CC$71,MATCH($V16&amp;$W16,INDEX(単価表!$AY$64:$AY$71&amp;単価表!$AZ$64:$AZ$71,),),MATCH(内訳計算!AK$6,単価表!$AY$63:$CC$63,0)),
INDEX(単価表!$AY$64:$CC$71,MATCH($V16&amp;$W16,INDEX(単価表!$AY$64:$AY$71&amp;単価表!$AZ$64:$AZ$71,),),MATCH(内訳計算!AK$6,単価表!$AY$63:$CC$63,0))),0)*$Y16/25,0),0)</f>
        <v>0</v>
      </c>
      <c r="AL16" s="976" cm="1">
        <f t="array" ref="AL16">IFERROR(IF(HLOOKUP($U16,加算と減算!$E$4:$P$10,4,FALSE)="○",IF(OR($U16=2,$U16=3),
INDEX(単価表!$AY$64:$CC$71,MATCH($V16&amp;$W16,INDEX(単価表!$AY$64:$AY$71&amp;単価表!$AZ$64:$AZ$71,),),MATCH(内訳計算!AL$6,単価表!$AY$63:$CC$63,0)),
INDEX(単価表!$AY$64:$CC$71,MATCH($V16&amp;$W16,INDEX(単価表!$AY$64:$AY$71&amp;単価表!$AZ$64:$AZ$71,),),MATCH(内訳計算!AL$6,単価表!$AY$63:$CC$63,0))),0),0)</f>
        <v>0</v>
      </c>
      <c r="AM16" s="977" cm="1">
        <f t="array" ref="AM16">IFERROR(ROUNDDOWN(IF(HLOOKUP($U16,加算と減算!$E$4:$P$10,4,FALSE)="○",IF(OR($U16=2,$U16=3),
INDEX(単価表!$AY$64:$CC$71,MATCH($V16&amp;$W16,INDEX(単価表!$AY$64:$AY$71&amp;単価表!$AZ$64:$AZ$71,),),MATCH(内訳計算!AM$6,単価表!$AY$63:$CC$63,0)),
INDEX(単価表!$AY$64:$CC$71,MATCH($V16&amp;$W16,INDEX(単価表!$AY$64:$AY$71&amp;単価表!$AZ$64:$AZ$71,),),MATCH(内訳計算!AM$6,単価表!$AY$63:$CC$63,0))),0)*$Y16/25,0),0)</f>
        <v>0</v>
      </c>
      <c r="AN16" s="977" cm="1">
        <f t="array" ref="AN16">IFERROR(ROUNDDOWN(IF(HLOOKUP($U16,加算と減算!$E$4:$P$10,4,FALSE)="○",IF(OR($U16=2,$U16=3),
INDEX(単価表!$AY$64:$CC$71,MATCH($V16&amp;$W16,INDEX(単価表!$AY$64:$AY$71&amp;単価表!$AZ$64:$AZ$71,),),MATCH(内訳計算!AN$6,単価表!$AY$63:$CC$63,0)),
INDEX(単価表!$AY$64:$CC$71,MATCH($V16&amp;$W16,INDEX(単価表!$AY$64:$AY$71&amp;単価表!$AZ$64:$AZ$71,),),MATCH(内訳計算!AN$6,単価表!$AY$63:$CC$63,0))),0)*$Y16/25,0),0)</f>
        <v>0</v>
      </c>
      <c r="AO16" s="977" cm="1">
        <f t="array" ref="AO16">IFERROR(ROUNDDOWN(IF(HLOOKUP($U16,加算と減算!$E$4:$P$10,4,FALSE)="○",IF(OR($U16=2,$U16=3),
INDEX(単価表!$AY$64:$CC$71,MATCH($V16&amp;$W16,INDEX(単価表!$AY$64:$AY$71&amp;単価表!$AZ$64:$AZ$71,),),MATCH(内訳計算!AO$6,単価表!$AY$63:$CC$63,0)),
INDEX(単価表!$AY$64:$CC$71,MATCH($V16&amp;$W16,INDEX(単価表!$AY$64:$AY$71&amp;単価表!$AZ$64:$AZ$71,),),MATCH(内訳計算!AO$6,単価表!$AY$63:$CC$63,0))),0)*$Y16/25,0),0)</f>
        <v>0</v>
      </c>
      <c r="AP16" s="977" cm="1">
        <f t="array" ref="AP16">IFERROR(ROUNDDOWN(IF(HLOOKUP($U16,加算と減算!$E$4:$P$10,4,FALSE)="○",IF(OR($U16=2,$U16=3),
INDEX(単価表!$AY$64:$CC$71,MATCH($V16&amp;$W16,INDEX(単価表!$AY$64:$AY$71&amp;単価表!$AZ$64:$AZ$71,),),MATCH(内訳計算!AP$6,単価表!$AY$63:$CC$63,0)),
INDEX(単価表!$AY$64:$CC$71,MATCH($V16&amp;$W16,INDEX(単価表!$AY$64:$AY$71&amp;単価表!$AZ$64:$AZ$71,),),MATCH(内訳計算!AP$6,単価表!$AY$63:$CC$63,0))),0)*$Y16/25,0),0)</f>
        <v>0</v>
      </c>
      <c r="AQ16" s="975" cm="1">
        <f t="array" ref="AQ16">IFERROR(ROUNDDOWN(IF(HLOOKUP($U16,加算と減算!$E$4:$P$10,4,FALSE)="○",IF(OR($U16=2,$U16=3),
INDEX(単価表!$AY$64:$CC$71,MATCH($V16&amp;$W16,INDEX(単価表!$AY$64:$AY$71&amp;単価表!$AZ$64:$AZ$71,),),MATCH(内訳計算!AQ$6,単価表!$AY$63:$CC$63,0)),
INDEX(単価表!$AY$64:$CC$71,MATCH($V16&amp;$W16,INDEX(単価表!$AY$64:$AY$71&amp;単価表!$AZ$64:$AZ$71,),),MATCH(内訳計算!AQ$6,単価表!$AY$63:$CC$63,0))),0)*$Y16/25,0),0)</f>
        <v>0</v>
      </c>
      <c r="AR16" s="976" cm="1">
        <f t="array" ref="AR16">IFERROR(IF(HLOOKUP($U16,加算と減算!$E$4:$P$10,5,FALSE)="○",IF(OR($U16=2,$U16=3),
INDEX(単価表!$AY$64:$CC$71,MATCH($V16&amp;$W16,INDEX(単価表!$AY$64:$AY$71&amp;単価表!$AZ$64:$AZ$71,),),MATCH(内訳計算!AR$6,単価表!$AY$63:$CC$63,0)),
INDEX(単価表!$AY$64:$CC$71,MATCH($V16&amp;$W16,INDEX(単価表!$AY$64:$AY$71&amp;単価表!$AZ$64:$AZ$71,),),MATCH(内訳計算!AR$6,単価表!$AY$63:$CC$63,0))),0),0)</f>
        <v>0</v>
      </c>
      <c r="AS16" s="975" cm="1">
        <f t="array" ref="AS16">IFERROR(ROUNDDOWN(IF(HLOOKUP($U16,加算と減算!$E$4:$P$10,5,FALSE)="○",IF(OR($U16=2,$U16=3),
INDEX(単価表!$AY$64:$CC$71,MATCH($V16&amp;$W16,INDEX(単価表!$AY$64:$AY$71&amp;単価表!$AZ$64:$AZ$71,),),MATCH(内訳計算!AS$6,単価表!$AY$63:$CC$63,0)),
INDEX(単価表!$AY$64:$CC$71,MATCH($V16&amp;$W16,INDEX(単価表!$AY$64:$AY$71&amp;単価表!$AZ$64:$AZ$71,),),MATCH(内訳計算!AS$6,単価表!$AY$63:$CC$63,0))),0)*$Y16/25,0),0)</f>
        <v>0</v>
      </c>
      <c r="AT16" s="976" cm="1">
        <f t="array" ref="AT16">IFERROR(IF(HLOOKUP($U16,加算と減算!$E$4:$P$10,6,FALSE)="○",IF(OR($U16=2,$U16=3),
INDEX(単価表!$AY$64:$CC$71,MATCH($V16&amp;$W16,INDEX(単価表!$AY$64:$AY$71&amp;単価表!$AZ$64:$AZ$71,),),MATCH(内訳計算!AT$6,単価表!$AY$63:$CC$63,0)),
INDEX(単価表!$AY$64:$CC$71,MATCH($V16&amp;$W16,INDEX(単価表!$AY$64:$AY$71&amp;単価表!$AZ$64:$AZ$71,),),MATCH(内訳計算!AT$6,単価表!$AY$63:$CC$63,0))),0),0)</f>
        <v>0</v>
      </c>
      <c r="AU16" s="975" cm="1">
        <f t="array" ref="AU16">IFERROR(ROUNDDOWN(IF(HLOOKUP($U16,加算と減算!$E$4:$P$10,6,FALSE)="○",IF(OR($U16=2,$U16=3),
INDEX(単価表!$AY$64:$CC$71,MATCH($V16&amp;$W16,INDEX(単価表!$AY$64:$AY$71&amp;単価表!$AZ$64:$AZ$71,),),MATCH(内訳計算!AU$6,単価表!$AY$63:$CC$63,0)),
INDEX(単価表!$AY$64:$CC$71,MATCH($V16&amp;$W16,INDEX(単価表!$AY$64:$AY$71&amp;単価表!$AZ$64:$AZ$71,),),MATCH(内訳計算!AU$6,単価表!$AY$63:$CC$63,0))),0)*$Y16/25,0),0)</f>
        <v>0</v>
      </c>
      <c r="AV16" s="976" cm="1">
        <f t="array" ref="AV16">IFERROR(IF(HLOOKUP($U16,加算と減算!$E$4:$P$10,7,FALSE)="○",IF(OR($U16=2,$U16=3),
INDEX(単価表!$AY$64:$CC$71,MATCH($V16&amp;$W16,INDEX(単価表!$AY$64:$AY$71&amp;単価表!$AZ$64:$AZ$71,),),MATCH(内訳計算!AV$6,単価表!$AY$63:$CC$63,0)),
INDEX(単価表!$AY$64:$CC$71,MATCH($V16&amp;$W16,INDEX(単価表!$AY$64:$AY$71&amp;単価表!$AZ$64:$AZ$71,),),MATCH(内訳計算!AV$6,単価表!$AY$63:$CC$63,0))),0),0)</f>
        <v>0</v>
      </c>
      <c r="AW16" s="977" cm="1">
        <f t="array" ref="AW16">IFERROR(ROUNDDOWN(IF(HLOOKUP($U16,加算と減算!$E$4:$P$10,7,FALSE)="○",IF(OR($U16=2,$U16=3),
INDEX(単価表!$AY$64:$CC$71,MATCH($V16&amp;$W16,INDEX(単価表!$AY$64:$AY$71&amp;単価表!$AZ$64:$AZ$71,),),MATCH(内訳計算!AW$6,単価表!$AY$63:$CC$63,0)),
INDEX(単価表!$AY$64:$CC$71,MATCH($V16&amp;$W16,INDEX(単価表!$AY$64:$AY$71&amp;単価表!$AZ$64:$AZ$71,),),MATCH(内訳計算!AW$6,単価表!$AY$63:$CC$63,0))),0)*$Y16/25,0),0)</f>
        <v>0</v>
      </c>
      <c r="AX16" s="977" cm="1">
        <f t="array" ref="AX16">IFERROR(ROUNDDOWN(IF(HLOOKUP($U16,加算と減算!$E$4:$P$10,7,FALSE)="○",IF(OR($U16=2,$U16=3),
INDEX(単価表!$AY$64:$CC$71,MATCH($V16&amp;$W16,INDEX(単価表!$AY$64:$AY$71&amp;単価表!$AZ$64:$AZ$71,),),MATCH(内訳計算!AX$6,単価表!$AY$63:$CC$63,0)),
INDEX(単価表!$AY$64:$CC$71,MATCH($V16&amp;$W16,INDEX(単価表!$AY$64:$AY$71&amp;単価表!$AZ$64:$AZ$71,),),MATCH(内訳計算!AX$6,単価表!$AY$63:$CC$63,0))),0)*$Y16/25,0),0)</f>
        <v>0</v>
      </c>
      <c r="AY16" s="975" cm="1">
        <f t="array" ref="AY16">IFERROR(ROUNDDOWN(IF(HLOOKUP($U16,加算と減算!$E$4:$P$10,7,FALSE)="○",IF(OR($U16=2,$U16=3),
INDEX(単価表!$AY$64:$CC$71,MATCH($V16&amp;$W16,INDEX(単価表!$AY$64:$AY$71&amp;単価表!$AZ$64:$AZ$71,),),MATCH(内訳計算!AY$6,単価表!$AY$63:$CC$63,0)),
INDEX(単価表!$AY$64:$CC$71,MATCH($V16&amp;$W16,INDEX(単価表!$AY$64:$AY$71&amp;単価表!$AZ$64:$AZ$71,),),MATCH(内訳計算!AY$6,単価表!$AY$63:$CC$63,0))),0)*$Y16/25,0),0)</f>
        <v>0</v>
      </c>
      <c r="AZ16" s="976" cm="1">
        <f t="array" ref="AZ16">IFERROR(IF(X16="○",INDEX(単価表!$AY$64:$CC$71,MATCH($V16&amp;$W16,INDEX(単価表!$AY$64:$AY$71&amp;単価表!$AZ$64:$AZ$71,),),MATCH(内訳計算!AZ$6,単価表!$AY$63:$CC$63,0)),0),0)</f>
        <v>0</v>
      </c>
      <c r="BA16" s="975" cm="1">
        <f t="array" ref="BA16">IFERROR(ROUNDDOWN(INDEX(単価表!$AY$64:$CC$71,MATCH($V16&amp;$W16,INDEX(単価表!$AY$64:$AY$71&amp;単価表!$AZ$64:$AZ$71,),),MATCH(内訳計算!BA$6,単価表!$AY$63:$CC$63,0))*$Y16/25,0),0)</f>
        <v>0</v>
      </c>
      <c r="BB16" s="976" cm="1">
        <f t="array" ref="BB16">IFERROR(INDEX(単価表!$AY$64:$CC$71,MATCH($V16&amp;$W16,INDEX(単価表!$AY$64:$AY$71&amp;単価表!$AZ$64:$AZ$71,),),MATCH(内訳計算!BB$6,単価表!$AY$63:$CC$63,0)),0)</f>
        <v>0</v>
      </c>
      <c r="BC16" s="975" cm="1">
        <f t="array" ref="BC16">IFERROR(ROUNDDOWN(INDEX(単価表!$AY$64:$CC$71,MATCH($V16&amp;$W16,INDEX(単価表!$AY$64:$AY$71&amp;単価表!$AZ$64:$AZ$71,),),MATCH(内訳計算!BC$6,単価表!$AY$63:$CC$63,0))*$Y16/25,0),0)</f>
        <v>0</v>
      </c>
      <c r="BD16" s="985">
        <f>IFERROR(IF(HLOOKUP($U16,加算と減算!$E$31:$P$32,2,FALSE)="○",IF(OR($U16=2,$U16=3),-(単価表!$AZ$7+単価表!$BA$7*基本情報!$G$7),-(単価表!$AZ$7+単価表!$BA$7*基本情報!$G$7)),0),0)</f>
        <v>0</v>
      </c>
      <c r="BE16" s="986" t="e">
        <f t="shared" si="8"/>
        <v>#VALUE!</v>
      </c>
      <c r="BF16" s="986" t="e">
        <f t="shared" si="9"/>
        <v>#VALUE!</v>
      </c>
      <c r="BG16" s="987" t="e">
        <f t="shared" si="10"/>
        <v>#N/A</v>
      </c>
      <c r="BH16" s="988">
        <f>IFERROR(IF(基本情報!$E$12&lt;&gt;"",-ROUNDDOWN((AA16+AE16+AH16+AL16)*基本情報!$H$12/100,-1),0),0)</f>
        <v>0</v>
      </c>
      <c r="BI16" s="986" t="e">
        <f t="shared" si="11"/>
        <v>#VALUE!</v>
      </c>
      <c r="BJ16" s="986" t="e">
        <f t="shared" si="12"/>
        <v>#VALUE!</v>
      </c>
      <c r="BK16" s="989" t="e">
        <f t="shared" si="13"/>
        <v>#N/A</v>
      </c>
      <c r="BL16" s="990">
        <f>IFERROR(-ROUNDUP(SUM(AA16,AE16,AH16,AL16,AR16,AT16,AV16,BD16,BH16)*基本情報!$H$14/100,-1),0)</f>
        <v>0</v>
      </c>
      <c r="BM16" s="991" t="e">
        <f t="shared" si="14"/>
        <v>#VALUE!</v>
      </c>
      <c r="BN16" s="991" t="e">
        <f t="shared" si="15"/>
        <v>#VALUE!</v>
      </c>
      <c r="BO16" s="992" t="e">
        <f t="shared" si="16"/>
        <v>#N/A</v>
      </c>
      <c r="BP16" s="701"/>
      <c r="BQ16" s="701"/>
      <c r="BR16" s="701"/>
      <c r="BS16" s="701"/>
      <c r="BT16" s="721"/>
      <c r="BU16" s="1043" t="e">
        <f t="shared" si="17"/>
        <v>#VALUE!</v>
      </c>
      <c r="BV16" s="1044" t="e">
        <f t="shared" si="18"/>
        <v>#VALUE!</v>
      </c>
      <c r="BW16" s="1044" t="e">
        <f t="shared" si="19"/>
        <v>#N/A</v>
      </c>
      <c r="BX16" s="1051">
        <f t="shared" si="20"/>
        <v>0</v>
      </c>
      <c r="BY16" s="1046">
        <f t="shared" si="21"/>
        <v>0</v>
      </c>
      <c r="BZ16" s="681"/>
      <c r="CA16" s="681"/>
      <c r="CB16" s="1626"/>
      <c r="CC16" s="1600"/>
      <c r="CD16" s="1422" t="s">
        <v>38</v>
      </c>
      <c r="CE16" s="740" t="s">
        <v>559</v>
      </c>
      <c r="CF16" s="672">
        <f>'4月'!AQ15</f>
        <v>0</v>
      </c>
      <c r="CG16" s="672">
        <f>'5月'!AQ15</f>
        <v>0</v>
      </c>
      <c r="CH16" s="672">
        <f>'6月'!AQ15</f>
        <v>0</v>
      </c>
      <c r="CI16" s="672">
        <f>'7月'!AQ15</f>
        <v>0</v>
      </c>
      <c r="CJ16" s="672">
        <f>'8月'!AQ15</f>
        <v>0</v>
      </c>
      <c r="CK16" s="672">
        <f>'9月'!AQ15</f>
        <v>0</v>
      </c>
      <c r="CL16" s="672">
        <f>'10月'!AQ15</f>
        <v>0</v>
      </c>
      <c r="CM16" s="672">
        <f>'11月'!AQ15</f>
        <v>0</v>
      </c>
      <c r="CN16" s="672">
        <f>'12月'!AQ15</f>
        <v>0</v>
      </c>
      <c r="CO16" s="672">
        <f>'1月'!AQ15</f>
        <v>0</v>
      </c>
      <c r="CP16" s="672">
        <f>'2月'!AQ15</f>
        <v>0</v>
      </c>
      <c r="CQ16" s="756">
        <f>'3月'!AQ15</f>
        <v>0</v>
      </c>
      <c r="CR16" s="759">
        <f t="shared" si="22"/>
        <v>0</v>
      </c>
      <c r="CS16" s="1600"/>
      <c r="CT16" s="1422" t="s">
        <v>38</v>
      </c>
      <c r="CU16" s="959" t="s">
        <v>559</v>
      </c>
      <c r="CV16" s="771">
        <f>CR16</f>
        <v>0</v>
      </c>
      <c r="CW16" s="776"/>
      <c r="CX16" s="776"/>
      <c r="CY16" s="955"/>
      <c r="CZ16" s="955"/>
      <c r="DA16" s="721"/>
      <c r="DB16" s="721"/>
      <c r="DC16" s="664"/>
      <c r="DD16" s="664"/>
      <c r="DE16" s="664"/>
    </row>
    <row r="17" spans="1:109" ht="18.75" customHeight="1">
      <c r="A17" s="1652"/>
      <c r="B17" s="1540"/>
      <c r="C17" s="1542" t="s">
        <v>15</v>
      </c>
      <c r="D17" s="667" t="s">
        <v>6</v>
      </c>
      <c r="E17" s="668">
        <f>SUM(児童数!E18:E19)</f>
        <v>0</v>
      </c>
      <c r="F17" s="668" t="e">
        <f>'3月'!F6</f>
        <v>#VALUE!</v>
      </c>
      <c r="G17" s="669">
        <f>G4</f>
        <v>1809</v>
      </c>
      <c r="H17" s="668" t="e">
        <f>H4</f>
        <v>#N/A</v>
      </c>
      <c r="I17" s="668" t="e">
        <f>F17-G17-H17</f>
        <v>#VALUE!</v>
      </c>
      <c r="J17" s="668" t="e">
        <f>E17*I17</f>
        <v>#VALUE!</v>
      </c>
      <c r="K17" s="668">
        <f>E17*G17</f>
        <v>0</v>
      </c>
      <c r="L17" s="706" t="e">
        <f>E17*H17</f>
        <v>#N/A</v>
      </c>
      <c r="M17" s="674"/>
      <c r="N17" s="1080"/>
      <c r="O17" s="1086"/>
      <c r="P17" s="1086"/>
      <c r="Q17" s="1085"/>
      <c r="R17" s="1085"/>
      <c r="T17" s="682">
        <v>11</v>
      </c>
      <c r="U17" s="918">
        <f>月途中入退所情報!D18</f>
        <v>0</v>
      </c>
      <c r="V17" s="918">
        <f>月途中入退所情報!H18</f>
        <v>0</v>
      </c>
      <c r="W17" s="918">
        <f>月途中入退所情報!G18</f>
        <v>0</v>
      </c>
      <c r="X17" s="945">
        <f>月途中入退所情報!I18</f>
        <v>0</v>
      </c>
      <c r="Y17" s="918">
        <f>月途中入退所情報!J18</f>
        <v>0</v>
      </c>
      <c r="Z17" s="840">
        <f t="shared" si="6"/>
        <v>0</v>
      </c>
      <c r="AA17" s="976" cm="1">
        <f t="array" ref="AA17">IFERROR(IF(OR($U17=2,$U17=3),
INDEX(単価表!$AY$64:$CC$71,MATCH($V17&amp;$W17,INDEX(単価表!$AY$64:$AY$71&amp;単価表!$AZ$64:$AZ$71,),),MATCH(内訳計算!AA$6,単価表!$AY$63:$CC$63,0)),
INDEX(単価表!$AY$64:$CC$71,MATCH($V17&amp;$W17,INDEX(単価表!$AY$64:$AY$71&amp;単価表!$AZ$64:$AZ$71,),),MATCH(内訳計算!AA$6,単価表!$AY$63:$CC$63,0))),0)</f>
        <v>0</v>
      </c>
      <c r="AB17" s="977" t="e">
        <f t="shared" si="7"/>
        <v>#VALUE!</v>
      </c>
      <c r="AC17" s="977" cm="1">
        <f t="array" ref="AC17">IFERROR(ROUNDDOWN(IF(OR($U17=2,$U17=3),
INDEX(単価表!$AY$64:$CC$71,MATCH($V17&amp;$W17,INDEX(単価表!$AY$64:$AY$71&amp;単価表!$AZ$64:$AZ$71,),),MATCH(内訳計算!AC$6,単価表!$AY$63:$CC$63,0)),
INDEX(単価表!$AY$64:$CC$71,MATCH($V17&amp;$W17,INDEX(単価表!$AY$64:$AY$71&amp;単価表!$AZ$64:$AZ$71,),),MATCH(内訳計算!AC$6,単価表!$AY$63:$CC$63,0)))*$Y17/25,0),0)</f>
        <v>0</v>
      </c>
      <c r="AD17" s="975" cm="1">
        <f t="array" ref="AD17">IFERROR(ROUNDDOWN(IF(OR($U17=2,$U17=3),
INDEX(単価表!$AY$64:$CC$71,MATCH($V17&amp;$W17,INDEX(単価表!$AY$64:$AY$71&amp;単価表!$AZ$64:$AZ$71,),),MATCH(内訳計算!AD$6,単価表!$AY$63:$CC$63,0)),
INDEX(単価表!$AY$64:$CC$71,MATCH($V17&amp;$W17,INDEX(単価表!$AY$64:$AY$71&amp;単価表!$AZ$64:$AZ$71,),),MATCH(内訳計算!AD$6,単価表!$AY$63:$CC$63,0)))*$Y17/25,0),0)</f>
        <v>0</v>
      </c>
      <c r="AE17" s="976" cm="1">
        <f t="array" ref="AE17">IFERROR(IF(OR($U17=2,$U17=3),
INDEX(単価表!$AY$64:$CC$71,MATCH($V17&amp;$W17,INDEX(単価表!$AY$64:$AY$71&amp;単価表!$AZ$64:$AZ$71,),),MATCH(内訳計算!AE$6,単価表!$AY$63:$CC$63,0)),
INDEX(単価表!$AY$64:$CC$71,MATCH($V17&amp;$W17,INDEX(単価表!$AY$64:$AY$71&amp;単価表!$AZ$64:$AZ$71,),),MATCH(内訳計算!AE$6,単価表!$AY$63:$CC$63,0))),0)</f>
        <v>0</v>
      </c>
      <c r="AF17" s="977" cm="1">
        <f t="array" ref="AF17">IFERROR(ROUNDDOWN(IF(OR($U17=2,$U17=3),
INDEX(単価表!$AY$64:$CC$71,MATCH($V17&amp;$W17,INDEX(単価表!$AY$64:$AY$71&amp;単価表!$AZ$64:$AZ$71,),),MATCH(内訳計算!AF$6,単価表!$AY$63:$CC$63,0)),
INDEX(単価表!$AY$64:$CC$71,MATCH($V17&amp;$W17,INDEX(単価表!$AY$64:$AY$71&amp;単価表!$AZ$64:$AZ$71,),),MATCH(内訳計算!AF$6,単価表!$AY$63:$CC$63,0)))*$Y17/25,0),0)</f>
        <v>0</v>
      </c>
      <c r="AG17" s="975" cm="1">
        <f t="array" ref="AG17">IFERROR(ROUNDDOWN(IF(OR($U17=2,$U17=3),
INDEX(単価表!$AY$64:$CC$71,MATCH($V17&amp;$W17,INDEX(単価表!$AY$64:$AY$71&amp;単価表!$AZ$64:$AZ$71,),),MATCH(内訳計算!AG$6,単価表!$AY$63:$CC$63,0)),
INDEX(単価表!$AY$64:$CC$71,MATCH($V17&amp;$W17,INDEX(単価表!$AY$64:$AY$71&amp;単価表!$AZ$64:$AZ$71,),),MATCH(内訳計算!AG$6,単価表!$AY$63:$CC$63,0)))*$Y17/25,0),0)</f>
        <v>0</v>
      </c>
      <c r="AH17" s="976" cm="1">
        <f t="array" ref="AH17">IFERROR(IF(HLOOKUP($U17,加算と減算!$E$4:$P$10,2,FALSE)="○",IF(OR($U17=2,$U17=3),
INDEX(単価表!$AY$64:$CC$71,MATCH($V17&amp;$W17,INDEX(単価表!$AY$64:$AY$71&amp;単価表!$AZ$64:$AZ$71,),),MATCH(内訳計算!AH$6,単価表!$AY$63:$CC$63,0)),
INDEX(単価表!$AY$64:$CC$71,MATCH($V17&amp;$W17,INDEX(単価表!$AY$64:$AY$71&amp;単価表!$AZ$64:$AZ$71,),),MATCH(内訳計算!AH$6,単価表!$AY$63:$CC$63,0))),0),0)</f>
        <v>0</v>
      </c>
      <c r="AI17" s="978" cm="1">
        <f t="array" ref="AI17">IFERROR(ROUNDDOWN(IF(HLOOKUP($U17,加算と減算!$E$4:$P$10,2,FALSE)="○",IF(OR($U17=2,$U17=3),
INDEX(単価表!$AY$64:$CC$71,MATCH($V17&amp;$W17,INDEX(単価表!$AY$64:$AY$71&amp;単価表!$AZ$64:$AZ$71,),),MATCH(内訳計算!AI$6,単価表!$AY$63:$CC$63,0)),
INDEX(単価表!$AY$64:$CC$71,MATCH($V17&amp;$W17,INDEX(単価表!$AY$64:$AY$71&amp;単価表!$AZ$64:$AZ$71,),),MATCH(内訳計算!AI$6,単価表!$AY$63:$CC$63,0))),0)*$Y17/25,0),0)</f>
        <v>0</v>
      </c>
      <c r="AJ17" s="977" cm="1">
        <f t="array" ref="AJ17">IFERROR(ROUNDDOWN(IF(HLOOKUP($U17,加算と減算!$E$4:$P$10,2,FALSE)="○",IF(OR($U17=2,$U17=3),
INDEX(単価表!$AY$64:$CC$71,MATCH($V17&amp;$W17,INDEX(単価表!$AY$64:$AY$71&amp;単価表!$AZ$64:$AZ$71,),),MATCH(内訳計算!AJ$6,単価表!$AY$63:$CC$63,0)),
INDEX(単価表!$AY$64:$CC$71,MATCH($V17&amp;$W17,INDEX(単価表!$AY$64:$AY$71&amp;単価表!$AZ$64:$AZ$71,),),MATCH(内訳計算!AJ$6,単価表!$AY$63:$CC$63,0))),0)*$Y17/25,0),0)</f>
        <v>0</v>
      </c>
      <c r="AK17" s="975" cm="1">
        <f t="array" ref="AK17">IFERROR(ROUNDDOWN(IF(HLOOKUP($U17,加算と減算!$E$4:$P$10,2,FALSE)="○",IF(OR($U17=2,$U17=3),
INDEX(単価表!$AY$64:$CC$71,MATCH($V17&amp;$W17,INDEX(単価表!$AY$64:$AY$71&amp;単価表!$AZ$64:$AZ$71,),),MATCH(内訳計算!AK$6,単価表!$AY$63:$CC$63,0)),
INDEX(単価表!$AY$64:$CC$71,MATCH($V17&amp;$W17,INDEX(単価表!$AY$64:$AY$71&amp;単価表!$AZ$64:$AZ$71,),),MATCH(内訳計算!AK$6,単価表!$AY$63:$CC$63,0))),0)*$Y17/25,0),0)</f>
        <v>0</v>
      </c>
      <c r="AL17" s="976" cm="1">
        <f t="array" ref="AL17">IFERROR(IF(HLOOKUP($U17,加算と減算!$E$4:$P$10,4,FALSE)="○",IF(OR($U17=2,$U17=3),
INDEX(単価表!$AY$64:$CC$71,MATCH($V17&amp;$W17,INDEX(単価表!$AY$64:$AY$71&amp;単価表!$AZ$64:$AZ$71,),),MATCH(内訳計算!AL$6,単価表!$AY$63:$CC$63,0)),
INDEX(単価表!$AY$64:$CC$71,MATCH($V17&amp;$W17,INDEX(単価表!$AY$64:$AY$71&amp;単価表!$AZ$64:$AZ$71,),),MATCH(内訳計算!AL$6,単価表!$AY$63:$CC$63,0))),0),0)</f>
        <v>0</v>
      </c>
      <c r="AM17" s="977" cm="1">
        <f t="array" ref="AM17">IFERROR(ROUNDDOWN(IF(HLOOKUP($U17,加算と減算!$E$4:$P$10,4,FALSE)="○",IF(OR($U17=2,$U17=3),
INDEX(単価表!$AY$64:$CC$71,MATCH($V17&amp;$W17,INDEX(単価表!$AY$64:$AY$71&amp;単価表!$AZ$64:$AZ$71,),),MATCH(内訳計算!AM$6,単価表!$AY$63:$CC$63,0)),
INDEX(単価表!$AY$64:$CC$71,MATCH($V17&amp;$W17,INDEX(単価表!$AY$64:$AY$71&amp;単価表!$AZ$64:$AZ$71,),),MATCH(内訳計算!AM$6,単価表!$AY$63:$CC$63,0))),0)*$Y17/25,0),0)</f>
        <v>0</v>
      </c>
      <c r="AN17" s="977" cm="1">
        <f t="array" ref="AN17">IFERROR(ROUNDDOWN(IF(HLOOKUP($U17,加算と減算!$E$4:$P$10,4,FALSE)="○",IF(OR($U17=2,$U17=3),
INDEX(単価表!$AY$64:$CC$71,MATCH($V17&amp;$W17,INDEX(単価表!$AY$64:$AY$71&amp;単価表!$AZ$64:$AZ$71,),),MATCH(内訳計算!AN$6,単価表!$AY$63:$CC$63,0)),
INDEX(単価表!$AY$64:$CC$71,MATCH($V17&amp;$W17,INDEX(単価表!$AY$64:$AY$71&amp;単価表!$AZ$64:$AZ$71,),),MATCH(内訳計算!AN$6,単価表!$AY$63:$CC$63,0))),0)*$Y17/25,0),0)</f>
        <v>0</v>
      </c>
      <c r="AO17" s="977" cm="1">
        <f t="array" ref="AO17">IFERROR(ROUNDDOWN(IF(HLOOKUP($U17,加算と減算!$E$4:$P$10,4,FALSE)="○",IF(OR($U17=2,$U17=3),
INDEX(単価表!$AY$64:$CC$71,MATCH($V17&amp;$W17,INDEX(単価表!$AY$64:$AY$71&amp;単価表!$AZ$64:$AZ$71,),),MATCH(内訳計算!AO$6,単価表!$AY$63:$CC$63,0)),
INDEX(単価表!$AY$64:$CC$71,MATCH($V17&amp;$W17,INDEX(単価表!$AY$64:$AY$71&amp;単価表!$AZ$64:$AZ$71,),),MATCH(内訳計算!AO$6,単価表!$AY$63:$CC$63,0))),0)*$Y17/25,0),0)</f>
        <v>0</v>
      </c>
      <c r="AP17" s="977" cm="1">
        <f t="array" ref="AP17">IFERROR(ROUNDDOWN(IF(HLOOKUP($U17,加算と減算!$E$4:$P$10,4,FALSE)="○",IF(OR($U17=2,$U17=3),
INDEX(単価表!$AY$64:$CC$71,MATCH($V17&amp;$W17,INDEX(単価表!$AY$64:$AY$71&amp;単価表!$AZ$64:$AZ$71,),),MATCH(内訳計算!AP$6,単価表!$AY$63:$CC$63,0)),
INDEX(単価表!$AY$64:$CC$71,MATCH($V17&amp;$W17,INDEX(単価表!$AY$64:$AY$71&amp;単価表!$AZ$64:$AZ$71,),),MATCH(内訳計算!AP$6,単価表!$AY$63:$CC$63,0))),0)*$Y17/25,0),0)</f>
        <v>0</v>
      </c>
      <c r="AQ17" s="975" cm="1">
        <f t="array" ref="AQ17">IFERROR(ROUNDDOWN(IF(HLOOKUP($U17,加算と減算!$E$4:$P$10,4,FALSE)="○",IF(OR($U17=2,$U17=3),
INDEX(単価表!$AY$64:$CC$71,MATCH($V17&amp;$W17,INDEX(単価表!$AY$64:$AY$71&amp;単価表!$AZ$64:$AZ$71,),),MATCH(内訳計算!AQ$6,単価表!$AY$63:$CC$63,0)),
INDEX(単価表!$AY$64:$CC$71,MATCH($V17&amp;$W17,INDEX(単価表!$AY$64:$AY$71&amp;単価表!$AZ$64:$AZ$71,),),MATCH(内訳計算!AQ$6,単価表!$AY$63:$CC$63,0))),0)*$Y17/25,0),0)</f>
        <v>0</v>
      </c>
      <c r="AR17" s="976" cm="1">
        <f t="array" ref="AR17">IFERROR(IF(HLOOKUP($U17,加算と減算!$E$4:$P$10,5,FALSE)="○",IF(OR($U17=2,$U17=3),
INDEX(単価表!$AY$64:$CC$71,MATCH($V17&amp;$W17,INDEX(単価表!$AY$64:$AY$71&amp;単価表!$AZ$64:$AZ$71,),),MATCH(内訳計算!AR$6,単価表!$AY$63:$CC$63,0)),
INDEX(単価表!$AY$64:$CC$71,MATCH($V17&amp;$W17,INDEX(単価表!$AY$64:$AY$71&amp;単価表!$AZ$64:$AZ$71,),),MATCH(内訳計算!AR$6,単価表!$AY$63:$CC$63,0))),0),0)</f>
        <v>0</v>
      </c>
      <c r="AS17" s="975" cm="1">
        <f t="array" ref="AS17">IFERROR(ROUNDDOWN(IF(HLOOKUP($U17,加算と減算!$E$4:$P$10,5,FALSE)="○",IF(OR($U17=2,$U17=3),
INDEX(単価表!$AY$64:$CC$71,MATCH($V17&amp;$W17,INDEX(単価表!$AY$64:$AY$71&amp;単価表!$AZ$64:$AZ$71,),),MATCH(内訳計算!AS$6,単価表!$AY$63:$CC$63,0)),
INDEX(単価表!$AY$64:$CC$71,MATCH($V17&amp;$W17,INDEX(単価表!$AY$64:$AY$71&amp;単価表!$AZ$64:$AZ$71,),),MATCH(内訳計算!AS$6,単価表!$AY$63:$CC$63,0))),0)*$Y17/25,0),0)</f>
        <v>0</v>
      </c>
      <c r="AT17" s="976" cm="1">
        <f t="array" ref="AT17">IFERROR(IF(HLOOKUP($U17,加算と減算!$E$4:$P$10,6,FALSE)="○",IF(OR($U17=2,$U17=3),
INDEX(単価表!$AY$64:$CC$71,MATCH($V17&amp;$W17,INDEX(単価表!$AY$64:$AY$71&amp;単価表!$AZ$64:$AZ$71,),),MATCH(内訳計算!AT$6,単価表!$AY$63:$CC$63,0)),
INDEX(単価表!$AY$64:$CC$71,MATCH($V17&amp;$W17,INDEX(単価表!$AY$64:$AY$71&amp;単価表!$AZ$64:$AZ$71,),),MATCH(内訳計算!AT$6,単価表!$AY$63:$CC$63,0))),0),0)</f>
        <v>0</v>
      </c>
      <c r="AU17" s="975" cm="1">
        <f t="array" ref="AU17">IFERROR(ROUNDDOWN(IF(HLOOKUP($U17,加算と減算!$E$4:$P$10,6,FALSE)="○",IF(OR($U17=2,$U17=3),
INDEX(単価表!$AY$64:$CC$71,MATCH($V17&amp;$W17,INDEX(単価表!$AY$64:$AY$71&amp;単価表!$AZ$64:$AZ$71,),),MATCH(内訳計算!AU$6,単価表!$AY$63:$CC$63,0)),
INDEX(単価表!$AY$64:$CC$71,MATCH($V17&amp;$W17,INDEX(単価表!$AY$64:$AY$71&amp;単価表!$AZ$64:$AZ$71,),),MATCH(内訳計算!AU$6,単価表!$AY$63:$CC$63,0))),0)*$Y17/25,0),0)</f>
        <v>0</v>
      </c>
      <c r="AV17" s="976" cm="1">
        <f t="array" ref="AV17">IFERROR(IF(HLOOKUP($U17,加算と減算!$E$4:$P$10,7,FALSE)="○",IF(OR($U17=2,$U17=3),
INDEX(単価表!$AY$64:$CC$71,MATCH($V17&amp;$W17,INDEX(単価表!$AY$64:$AY$71&amp;単価表!$AZ$64:$AZ$71,),),MATCH(内訳計算!AV$6,単価表!$AY$63:$CC$63,0)),
INDEX(単価表!$AY$64:$CC$71,MATCH($V17&amp;$W17,INDEX(単価表!$AY$64:$AY$71&amp;単価表!$AZ$64:$AZ$71,),),MATCH(内訳計算!AV$6,単価表!$AY$63:$CC$63,0))),0),0)</f>
        <v>0</v>
      </c>
      <c r="AW17" s="977" cm="1">
        <f t="array" ref="AW17">IFERROR(ROUNDDOWN(IF(HLOOKUP($U17,加算と減算!$E$4:$P$10,7,FALSE)="○",IF(OR($U17=2,$U17=3),
INDEX(単価表!$AY$64:$CC$71,MATCH($V17&amp;$W17,INDEX(単価表!$AY$64:$AY$71&amp;単価表!$AZ$64:$AZ$71,),),MATCH(内訳計算!AW$6,単価表!$AY$63:$CC$63,0)),
INDEX(単価表!$AY$64:$CC$71,MATCH($V17&amp;$W17,INDEX(単価表!$AY$64:$AY$71&amp;単価表!$AZ$64:$AZ$71,),),MATCH(内訳計算!AW$6,単価表!$AY$63:$CC$63,0))),0)*$Y17/25,0),0)</f>
        <v>0</v>
      </c>
      <c r="AX17" s="977" cm="1">
        <f t="array" ref="AX17">IFERROR(ROUNDDOWN(IF(HLOOKUP($U17,加算と減算!$E$4:$P$10,7,FALSE)="○",IF(OR($U17=2,$U17=3),
INDEX(単価表!$AY$64:$CC$71,MATCH($V17&amp;$W17,INDEX(単価表!$AY$64:$AY$71&amp;単価表!$AZ$64:$AZ$71,),),MATCH(内訳計算!AX$6,単価表!$AY$63:$CC$63,0)),
INDEX(単価表!$AY$64:$CC$71,MATCH($V17&amp;$W17,INDEX(単価表!$AY$64:$AY$71&amp;単価表!$AZ$64:$AZ$71,),),MATCH(内訳計算!AX$6,単価表!$AY$63:$CC$63,0))),0)*$Y17/25,0),0)</f>
        <v>0</v>
      </c>
      <c r="AY17" s="975" cm="1">
        <f t="array" ref="AY17">IFERROR(ROUNDDOWN(IF(HLOOKUP($U17,加算と減算!$E$4:$P$10,7,FALSE)="○",IF(OR($U17=2,$U17=3),
INDEX(単価表!$AY$64:$CC$71,MATCH($V17&amp;$W17,INDEX(単価表!$AY$64:$AY$71&amp;単価表!$AZ$64:$AZ$71,),),MATCH(内訳計算!AY$6,単価表!$AY$63:$CC$63,0)),
INDEX(単価表!$AY$64:$CC$71,MATCH($V17&amp;$W17,INDEX(単価表!$AY$64:$AY$71&amp;単価表!$AZ$64:$AZ$71,),),MATCH(内訳計算!AY$6,単価表!$AY$63:$CC$63,0))),0)*$Y17/25,0),0)</f>
        <v>0</v>
      </c>
      <c r="AZ17" s="976" cm="1">
        <f t="array" ref="AZ17">IFERROR(IF(X17="○",INDEX(単価表!$AY$64:$CC$71,MATCH($V17&amp;$W17,INDEX(単価表!$AY$64:$AY$71&amp;単価表!$AZ$64:$AZ$71,),),MATCH(内訳計算!AZ$6,単価表!$AY$63:$CC$63,0)),0),0)</f>
        <v>0</v>
      </c>
      <c r="BA17" s="975" cm="1">
        <f t="array" ref="BA17">IFERROR(ROUNDDOWN(INDEX(単価表!$AY$64:$CC$71,MATCH($V17&amp;$W17,INDEX(単価表!$AY$64:$AY$71&amp;単価表!$AZ$64:$AZ$71,),),MATCH(内訳計算!BA$6,単価表!$AY$63:$CC$63,0))*$Y17/25,0),0)</f>
        <v>0</v>
      </c>
      <c r="BB17" s="976" cm="1">
        <f t="array" ref="BB17">IFERROR(INDEX(単価表!$AY$64:$CC$71,MATCH($V17&amp;$W17,INDEX(単価表!$AY$64:$AY$71&amp;単価表!$AZ$64:$AZ$71,),),MATCH(内訳計算!BB$6,単価表!$AY$63:$CC$63,0)),0)</f>
        <v>0</v>
      </c>
      <c r="BC17" s="975" cm="1">
        <f t="array" ref="BC17">IFERROR(ROUNDDOWN(INDEX(単価表!$AY$64:$CC$71,MATCH($V17&amp;$W17,INDEX(単価表!$AY$64:$AY$71&amp;単価表!$AZ$64:$AZ$71,),),MATCH(内訳計算!BC$6,単価表!$AY$63:$CC$63,0))*$Y17/25,0),0)</f>
        <v>0</v>
      </c>
      <c r="BD17" s="985">
        <f>IFERROR(IF(HLOOKUP($U17,加算と減算!$E$31:$P$32,2,FALSE)="○",IF(OR($U17=2,$U17=3),-(単価表!$AZ$7+単価表!$BA$7*基本情報!$G$7),-(単価表!$AZ$7+単価表!$BA$7*基本情報!$G$7)),0),0)</f>
        <v>0</v>
      </c>
      <c r="BE17" s="986" t="e">
        <f t="shared" si="8"/>
        <v>#VALUE!</v>
      </c>
      <c r="BF17" s="986" t="e">
        <f t="shared" si="9"/>
        <v>#VALUE!</v>
      </c>
      <c r="BG17" s="987" t="e">
        <f t="shared" si="10"/>
        <v>#N/A</v>
      </c>
      <c r="BH17" s="988">
        <f>IFERROR(IF(基本情報!$E$12&lt;&gt;"",-ROUNDDOWN((AA17+AE17+AH17+AL17)*基本情報!$H$12/100,-1),0),0)</f>
        <v>0</v>
      </c>
      <c r="BI17" s="986" t="e">
        <f t="shared" si="11"/>
        <v>#VALUE!</v>
      </c>
      <c r="BJ17" s="986" t="e">
        <f t="shared" si="12"/>
        <v>#VALUE!</v>
      </c>
      <c r="BK17" s="989" t="e">
        <f t="shared" si="13"/>
        <v>#N/A</v>
      </c>
      <c r="BL17" s="990">
        <f>IFERROR(-ROUNDUP(SUM(AA17,AE17,AH17,AL17,AR17,AT17,AV17,BD17,BH17)*基本情報!$H$14/100,-1),0)</f>
        <v>0</v>
      </c>
      <c r="BM17" s="991" t="e">
        <f t="shared" si="14"/>
        <v>#VALUE!</v>
      </c>
      <c r="BN17" s="991" t="e">
        <f t="shared" si="15"/>
        <v>#VALUE!</v>
      </c>
      <c r="BO17" s="992" t="e">
        <f t="shared" si="16"/>
        <v>#N/A</v>
      </c>
      <c r="BP17" s="784"/>
      <c r="BQ17" s="784"/>
      <c r="BR17" s="784"/>
      <c r="BS17" s="784"/>
      <c r="BT17" s="721"/>
      <c r="BU17" s="1043" t="e">
        <f t="shared" si="17"/>
        <v>#VALUE!</v>
      </c>
      <c r="BV17" s="1044" t="e">
        <f t="shared" si="18"/>
        <v>#VALUE!</v>
      </c>
      <c r="BW17" s="1044" t="e">
        <f t="shared" si="19"/>
        <v>#N/A</v>
      </c>
      <c r="BX17" s="1051">
        <f t="shared" si="20"/>
        <v>0</v>
      </c>
      <c r="BY17" s="1045">
        <f t="shared" si="21"/>
        <v>0</v>
      </c>
      <c r="CB17" s="1626"/>
      <c r="CC17" s="1601"/>
      <c r="CD17" s="1422"/>
      <c r="CE17" s="734" t="s">
        <v>167</v>
      </c>
      <c r="CF17" s="672">
        <f>'4月'!AQ16</f>
        <v>0</v>
      </c>
      <c r="CG17" s="672">
        <f>'5月'!AQ16</f>
        <v>0</v>
      </c>
      <c r="CH17" s="672">
        <f>'6月'!AQ16</f>
        <v>0</v>
      </c>
      <c r="CI17" s="672">
        <f>'7月'!AQ16</f>
        <v>0</v>
      </c>
      <c r="CJ17" s="672">
        <f>'8月'!AQ16</f>
        <v>0</v>
      </c>
      <c r="CK17" s="672">
        <f>'9月'!AQ16</f>
        <v>0</v>
      </c>
      <c r="CL17" s="672">
        <f>'10月'!AQ16</f>
        <v>0</v>
      </c>
      <c r="CM17" s="672">
        <f>'11月'!AQ16</f>
        <v>0</v>
      </c>
      <c r="CN17" s="672">
        <f>'12月'!AQ16</f>
        <v>0</v>
      </c>
      <c r="CO17" s="672">
        <f>'1月'!AQ16</f>
        <v>0</v>
      </c>
      <c r="CP17" s="672">
        <f>'2月'!AQ16</f>
        <v>0</v>
      </c>
      <c r="CQ17" s="756">
        <f>'3月'!AQ16</f>
        <v>0</v>
      </c>
      <c r="CR17" s="759">
        <f t="shared" si="22"/>
        <v>0</v>
      </c>
      <c r="CS17" s="1601"/>
      <c r="CT17" s="1422"/>
      <c r="CU17" s="957" t="s">
        <v>167</v>
      </c>
      <c r="CV17" s="954"/>
      <c r="CW17" s="776"/>
      <c r="CX17" s="954"/>
      <c r="CY17" s="1055" t="e">
        <f>CR17-CZ17</f>
        <v>#DIV/0!</v>
      </c>
      <c r="CZ17" s="1055" t="e">
        <f>ROUNDDOWN(CR17*$CW$3/$CU$1,-1)</f>
        <v>#DIV/0!</v>
      </c>
      <c r="DA17" s="721"/>
      <c r="DB17" s="721"/>
    </row>
    <row r="18" spans="1:109" ht="16.149999999999999" customHeight="1">
      <c r="A18" s="1652"/>
      <c r="B18" s="1540"/>
      <c r="C18" s="1542"/>
      <c r="D18" s="667" t="s">
        <v>7</v>
      </c>
      <c r="E18" s="668">
        <f>SUM(児童数!F18:F19)</f>
        <v>0</v>
      </c>
      <c r="F18" s="707" t="e">
        <f>'3月'!G6</f>
        <v>#VALUE!</v>
      </c>
      <c r="G18" s="668">
        <f>G17</f>
        <v>1809</v>
      </c>
      <c r="H18" s="668" t="e">
        <f t="shared" ref="H18:H20" si="26">H5</f>
        <v>#N/A</v>
      </c>
      <c r="I18" s="668" t="e">
        <f>F18-G18-H18</f>
        <v>#VALUE!</v>
      </c>
      <c r="J18" s="668" t="e">
        <f t="shared" ref="J18:J20" si="27">E18*I18</f>
        <v>#VALUE!</v>
      </c>
      <c r="K18" s="668">
        <f t="shared" ref="K18:K20" si="28">E18*G18</f>
        <v>0</v>
      </c>
      <c r="L18" s="706" t="e">
        <f t="shared" ref="L18:L20" si="29">E18*H18</f>
        <v>#N/A</v>
      </c>
      <c r="M18" s="674"/>
      <c r="N18" s="1082"/>
      <c r="O18" s="1086"/>
      <c r="P18" s="1086"/>
      <c r="Q18" s="1085"/>
      <c r="R18" s="1085"/>
      <c r="T18" s="682">
        <v>12</v>
      </c>
      <c r="U18" s="918">
        <f>月途中入退所情報!D19</f>
        <v>0</v>
      </c>
      <c r="V18" s="918">
        <f>月途中入退所情報!H19</f>
        <v>0</v>
      </c>
      <c r="W18" s="918">
        <f>月途中入退所情報!G19</f>
        <v>0</v>
      </c>
      <c r="X18" s="945">
        <f>月途中入退所情報!I19</f>
        <v>0</v>
      </c>
      <c r="Y18" s="918">
        <f>月途中入退所情報!J19</f>
        <v>0</v>
      </c>
      <c r="Z18" s="840">
        <f t="shared" si="6"/>
        <v>0</v>
      </c>
      <c r="AA18" s="976" cm="1">
        <f t="array" ref="AA18">IFERROR(IF(OR($U18=2,$U18=3),
INDEX(単価表!$AY$64:$CC$71,MATCH($V18&amp;$W18,INDEX(単価表!$AY$64:$AY$71&amp;単価表!$AZ$64:$AZ$71,),),MATCH(内訳計算!AA$6,単価表!$AY$63:$CC$63,0)),
INDEX(単価表!$AY$64:$CC$71,MATCH($V18&amp;$W18,INDEX(単価表!$AY$64:$AY$71&amp;単価表!$AZ$64:$AZ$71,),),MATCH(内訳計算!AA$6,単価表!$AY$63:$CC$63,0))),0)</f>
        <v>0</v>
      </c>
      <c r="AB18" s="977" t="e">
        <f t="shared" si="7"/>
        <v>#VALUE!</v>
      </c>
      <c r="AC18" s="977" cm="1">
        <f t="array" ref="AC18">IFERROR(ROUNDDOWN(IF(OR($U18=2,$U18=3),
INDEX(単価表!$AY$64:$CC$71,MATCH($V18&amp;$W18,INDEX(単価表!$AY$64:$AY$71&amp;単価表!$AZ$64:$AZ$71,),),MATCH(内訳計算!AC$6,単価表!$AY$63:$CC$63,0)),
INDEX(単価表!$AY$64:$CC$71,MATCH($V18&amp;$W18,INDEX(単価表!$AY$64:$AY$71&amp;単価表!$AZ$64:$AZ$71,),),MATCH(内訳計算!AC$6,単価表!$AY$63:$CC$63,0)))*$Y18/25,0),0)</f>
        <v>0</v>
      </c>
      <c r="AD18" s="975" cm="1">
        <f t="array" ref="AD18">IFERROR(ROUNDDOWN(IF(OR($U18=2,$U18=3),
INDEX(単価表!$AY$64:$CC$71,MATCH($V18&amp;$W18,INDEX(単価表!$AY$64:$AY$71&amp;単価表!$AZ$64:$AZ$71,),),MATCH(内訳計算!AD$6,単価表!$AY$63:$CC$63,0)),
INDEX(単価表!$AY$64:$CC$71,MATCH($V18&amp;$W18,INDEX(単価表!$AY$64:$AY$71&amp;単価表!$AZ$64:$AZ$71,),),MATCH(内訳計算!AD$6,単価表!$AY$63:$CC$63,0)))*$Y18/25,0),0)</f>
        <v>0</v>
      </c>
      <c r="AE18" s="976" cm="1">
        <f t="array" ref="AE18">IFERROR(IF(OR($U18=2,$U18=3),
INDEX(単価表!$AY$64:$CC$71,MATCH($V18&amp;$W18,INDEX(単価表!$AY$64:$AY$71&amp;単価表!$AZ$64:$AZ$71,),),MATCH(内訳計算!AE$6,単価表!$AY$63:$CC$63,0)),
INDEX(単価表!$AY$64:$CC$71,MATCH($V18&amp;$W18,INDEX(単価表!$AY$64:$AY$71&amp;単価表!$AZ$64:$AZ$71,),),MATCH(内訳計算!AE$6,単価表!$AY$63:$CC$63,0))),0)</f>
        <v>0</v>
      </c>
      <c r="AF18" s="977" cm="1">
        <f t="array" ref="AF18">IFERROR(ROUNDDOWN(IF(OR($U18=2,$U18=3),
INDEX(単価表!$AY$64:$CC$71,MATCH($V18&amp;$W18,INDEX(単価表!$AY$64:$AY$71&amp;単価表!$AZ$64:$AZ$71,),),MATCH(内訳計算!AF$6,単価表!$AY$63:$CC$63,0)),
INDEX(単価表!$AY$64:$CC$71,MATCH($V18&amp;$W18,INDEX(単価表!$AY$64:$AY$71&amp;単価表!$AZ$64:$AZ$71,),),MATCH(内訳計算!AF$6,単価表!$AY$63:$CC$63,0)))*$Y18/25,0),0)</f>
        <v>0</v>
      </c>
      <c r="AG18" s="975" cm="1">
        <f t="array" ref="AG18">IFERROR(ROUNDDOWN(IF(OR($U18=2,$U18=3),
INDEX(単価表!$AY$64:$CC$71,MATCH($V18&amp;$W18,INDEX(単価表!$AY$64:$AY$71&amp;単価表!$AZ$64:$AZ$71,),),MATCH(内訳計算!AG$6,単価表!$AY$63:$CC$63,0)),
INDEX(単価表!$AY$64:$CC$71,MATCH($V18&amp;$W18,INDEX(単価表!$AY$64:$AY$71&amp;単価表!$AZ$64:$AZ$71,),),MATCH(内訳計算!AG$6,単価表!$AY$63:$CC$63,0)))*$Y18/25,0),0)</f>
        <v>0</v>
      </c>
      <c r="AH18" s="976" cm="1">
        <f t="array" ref="AH18">IFERROR(IF(HLOOKUP($U18,加算と減算!$E$4:$P$10,2,FALSE)="○",IF(OR($U18=2,$U18=3),
INDEX(単価表!$AY$64:$CC$71,MATCH($V18&amp;$W18,INDEX(単価表!$AY$64:$AY$71&amp;単価表!$AZ$64:$AZ$71,),),MATCH(内訳計算!AH$6,単価表!$AY$63:$CC$63,0)),
INDEX(単価表!$AY$64:$CC$71,MATCH($V18&amp;$W18,INDEX(単価表!$AY$64:$AY$71&amp;単価表!$AZ$64:$AZ$71,),),MATCH(内訳計算!AH$6,単価表!$AY$63:$CC$63,0))),0),0)</f>
        <v>0</v>
      </c>
      <c r="AI18" s="978" cm="1">
        <f t="array" ref="AI18">IFERROR(ROUNDDOWN(IF(HLOOKUP($U18,加算と減算!$E$4:$P$10,2,FALSE)="○",IF(OR($U18=2,$U18=3),
INDEX(単価表!$AY$64:$CC$71,MATCH($V18&amp;$W18,INDEX(単価表!$AY$64:$AY$71&amp;単価表!$AZ$64:$AZ$71,),),MATCH(内訳計算!AI$6,単価表!$AY$63:$CC$63,0)),
INDEX(単価表!$AY$64:$CC$71,MATCH($V18&amp;$W18,INDEX(単価表!$AY$64:$AY$71&amp;単価表!$AZ$64:$AZ$71,),),MATCH(内訳計算!AI$6,単価表!$AY$63:$CC$63,0))),0)*$Y18/25,0),0)</f>
        <v>0</v>
      </c>
      <c r="AJ18" s="977" cm="1">
        <f t="array" ref="AJ18">IFERROR(ROUNDDOWN(IF(HLOOKUP($U18,加算と減算!$E$4:$P$10,2,FALSE)="○",IF(OR($U18=2,$U18=3),
INDEX(単価表!$AY$64:$CC$71,MATCH($V18&amp;$W18,INDEX(単価表!$AY$64:$AY$71&amp;単価表!$AZ$64:$AZ$71,),),MATCH(内訳計算!AJ$6,単価表!$AY$63:$CC$63,0)),
INDEX(単価表!$AY$64:$CC$71,MATCH($V18&amp;$W18,INDEX(単価表!$AY$64:$AY$71&amp;単価表!$AZ$64:$AZ$71,),),MATCH(内訳計算!AJ$6,単価表!$AY$63:$CC$63,0))),0)*$Y18/25,0),0)</f>
        <v>0</v>
      </c>
      <c r="AK18" s="975" cm="1">
        <f t="array" ref="AK18">IFERROR(ROUNDDOWN(IF(HLOOKUP($U18,加算と減算!$E$4:$P$10,2,FALSE)="○",IF(OR($U18=2,$U18=3),
INDEX(単価表!$AY$64:$CC$71,MATCH($V18&amp;$W18,INDEX(単価表!$AY$64:$AY$71&amp;単価表!$AZ$64:$AZ$71,),),MATCH(内訳計算!AK$6,単価表!$AY$63:$CC$63,0)),
INDEX(単価表!$AY$64:$CC$71,MATCH($V18&amp;$W18,INDEX(単価表!$AY$64:$AY$71&amp;単価表!$AZ$64:$AZ$71,),),MATCH(内訳計算!AK$6,単価表!$AY$63:$CC$63,0))),0)*$Y18/25,0),0)</f>
        <v>0</v>
      </c>
      <c r="AL18" s="976" cm="1">
        <f t="array" ref="AL18">IFERROR(IF(HLOOKUP($U18,加算と減算!$E$4:$P$10,4,FALSE)="○",IF(OR($U18=2,$U18=3),
INDEX(単価表!$AY$64:$CC$71,MATCH($V18&amp;$W18,INDEX(単価表!$AY$64:$AY$71&amp;単価表!$AZ$64:$AZ$71,),),MATCH(内訳計算!AL$6,単価表!$AY$63:$CC$63,0)),
INDEX(単価表!$AY$64:$CC$71,MATCH($V18&amp;$W18,INDEX(単価表!$AY$64:$AY$71&amp;単価表!$AZ$64:$AZ$71,),),MATCH(内訳計算!AL$6,単価表!$AY$63:$CC$63,0))),0),0)</f>
        <v>0</v>
      </c>
      <c r="AM18" s="977" cm="1">
        <f t="array" ref="AM18">IFERROR(ROUNDDOWN(IF(HLOOKUP($U18,加算と減算!$E$4:$P$10,4,FALSE)="○",IF(OR($U18=2,$U18=3),
INDEX(単価表!$AY$64:$CC$71,MATCH($V18&amp;$W18,INDEX(単価表!$AY$64:$AY$71&amp;単価表!$AZ$64:$AZ$71,),),MATCH(内訳計算!AM$6,単価表!$AY$63:$CC$63,0)),
INDEX(単価表!$AY$64:$CC$71,MATCH($V18&amp;$W18,INDEX(単価表!$AY$64:$AY$71&amp;単価表!$AZ$64:$AZ$71,),),MATCH(内訳計算!AM$6,単価表!$AY$63:$CC$63,0))),0)*$Y18/25,0),0)</f>
        <v>0</v>
      </c>
      <c r="AN18" s="977" cm="1">
        <f t="array" ref="AN18">IFERROR(ROUNDDOWN(IF(HLOOKUP($U18,加算と減算!$E$4:$P$10,4,FALSE)="○",IF(OR($U18=2,$U18=3),
INDEX(単価表!$AY$64:$CC$71,MATCH($V18&amp;$W18,INDEX(単価表!$AY$64:$AY$71&amp;単価表!$AZ$64:$AZ$71,),),MATCH(内訳計算!AN$6,単価表!$AY$63:$CC$63,0)),
INDEX(単価表!$AY$64:$CC$71,MATCH($V18&amp;$W18,INDEX(単価表!$AY$64:$AY$71&amp;単価表!$AZ$64:$AZ$71,),),MATCH(内訳計算!AN$6,単価表!$AY$63:$CC$63,0))),0)*$Y18/25,0),0)</f>
        <v>0</v>
      </c>
      <c r="AO18" s="977" cm="1">
        <f t="array" ref="AO18">IFERROR(ROUNDDOWN(IF(HLOOKUP($U18,加算と減算!$E$4:$P$10,4,FALSE)="○",IF(OR($U18=2,$U18=3),
INDEX(単価表!$AY$64:$CC$71,MATCH($V18&amp;$W18,INDEX(単価表!$AY$64:$AY$71&amp;単価表!$AZ$64:$AZ$71,),),MATCH(内訳計算!AO$6,単価表!$AY$63:$CC$63,0)),
INDEX(単価表!$AY$64:$CC$71,MATCH($V18&amp;$W18,INDEX(単価表!$AY$64:$AY$71&amp;単価表!$AZ$64:$AZ$71,),),MATCH(内訳計算!AO$6,単価表!$AY$63:$CC$63,0))),0)*$Y18/25,0),0)</f>
        <v>0</v>
      </c>
      <c r="AP18" s="977" cm="1">
        <f t="array" ref="AP18">IFERROR(ROUNDDOWN(IF(HLOOKUP($U18,加算と減算!$E$4:$P$10,4,FALSE)="○",IF(OR($U18=2,$U18=3),
INDEX(単価表!$AY$64:$CC$71,MATCH($V18&amp;$W18,INDEX(単価表!$AY$64:$AY$71&amp;単価表!$AZ$64:$AZ$71,),),MATCH(内訳計算!AP$6,単価表!$AY$63:$CC$63,0)),
INDEX(単価表!$AY$64:$CC$71,MATCH($V18&amp;$W18,INDEX(単価表!$AY$64:$AY$71&amp;単価表!$AZ$64:$AZ$71,),),MATCH(内訳計算!AP$6,単価表!$AY$63:$CC$63,0))),0)*$Y18/25,0),0)</f>
        <v>0</v>
      </c>
      <c r="AQ18" s="975" cm="1">
        <f t="array" ref="AQ18">IFERROR(ROUNDDOWN(IF(HLOOKUP($U18,加算と減算!$E$4:$P$10,4,FALSE)="○",IF(OR($U18=2,$U18=3),
INDEX(単価表!$AY$64:$CC$71,MATCH($V18&amp;$W18,INDEX(単価表!$AY$64:$AY$71&amp;単価表!$AZ$64:$AZ$71,),),MATCH(内訳計算!AQ$6,単価表!$AY$63:$CC$63,0)),
INDEX(単価表!$AY$64:$CC$71,MATCH($V18&amp;$W18,INDEX(単価表!$AY$64:$AY$71&amp;単価表!$AZ$64:$AZ$71,),),MATCH(内訳計算!AQ$6,単価表!$AY$63:$CC$63,0))),0)*$Y18/25,0),0)</f>
        <v>0</v>
      </c>
      <c r="AR18" s="976" cm="1">
        <f t="array" ref="AR18">IFERROR(IF(HLOOKUP($U18,加算と減算!$E$4:$P$10,5,FALSE)="○",IF(OR($U18=2,$U18=3),
INDEX(単価表!$AY$64:$CC$71,MATCH($V18&amp;$W18,INDEX(単価表!$AY$64:$AY$71&amp;単価表!$AZ$64:$AZ$71,),),MATCH(内訳計算!AR$6,単価表!$AY$63:$CC$63,0)),
INDEX(単価表!$AY$64:$CC$71,MATCH($V18&amp;$W18,INDEX(単価表!$AY$64:$AY$71&amp;単価表!$AZ$64:$AZ$71,),),MATCH(内訳計算!AR$6,単価表!$AY$63:$CC$63,0))),0),0)</f>
        <v>0</v>
      </c>
      <c r="AS18" s="975" cm="1">
        <f t="array" ref="AS18">IFERROR(ROUNDDOWN(IF(HLOOKUP($U18,加算と減算!$E$4:$P$10,5,FALSE)="○",IF(OR($U18=2,$U18=3),
INDEX(単価表!$AY$64:$CC$71,MATCH($V18&amp;$W18,INDEX(単価表!$AY$64:$AY$71&amp;単価表!$AZ$64:$AZ$71,),),MATCH(内訳計算!AS$6,単価表!$AY$63:$CC$63,0)),
INDEX(単価表!$AY$64:$CC$71,MATCH($V18&amp;$W18,INDEX(単価表!$AY$64:$AY$71&amp;単価表!$AZ$64:$AZ$71,),),MATCH(内訳計算!AS$6,単価表!$AY$63:$CC$63,0))),0)*$Y18/25,0),0)</f>
        <v>0</v>
      </c>
      <c r="AT18" s="976" cm="1">
        <f t="array" ref="AT18">IFERROR(IF(HLOOKUP($U18,加算と減算!$E$4:$P$10,6,FALSE)="○",IF(OR($U18=2,$U18=3),
INDEX(単価表!$AY$64:$CC$71,MATCH($V18&amp;$W18,INDEX(単価表!$AY$64:$AY$71&amp;単価表!$AZ$64:$AZ$71,),),MATCH(内訳計算!AT$6,単価表!$AY$63:$CC$63,0)),
INDEX(単価表!$AY$64:$CC$71,MATCH($V18&amp;$W18,INDEX(単価表!$AY$64:$AY$71&amp;単価表!$AZ$64:$AZ$71,),),MATCH(内訳計算!AT$6,単価表!$AY$63:$CC$63,0))),0),0)</f>
        <v>0</v>
      </c>
      <c r="AU18" s="975" cm="1">
        <f t="array" ref="AU18">IFERROR(ROUNDDOWN(IF(HLOOKUP($U18,加算と減算!$E$4:$P$10,6,FALSE)="○",IF(OR($U18=2,$U18=3),
INDEX(単価表!$AY$64:$CC$71,MATCH($V18&amp;$W18,INDEX(単価表!$AY$64:$AY$71&amp;単価表!$AZ$64:$AZ$71,),),MATCH(内訳計算!AU$6,単価表!$AY$63:$CC$63,0)),
INDEX(単価表!$AY$64:$CC$71,MATCH($V18&amp;$W18,INDEX(単価表!$AY$64:$AY$71&amp;単価表!$AZ$64:$AZ$71,),),MATCH(内訳計算!AU$6,単価表!$AY$63:$CC$63,0))),0)*$Y18/25,0),0)</f>
        <v>0</v>
      </c>
      <c r="AV18" s="976" cm="1">
        <f t="array" ref="AV18">IFERROR(IF(HLOOKUP($U18,加算と減算!$E$4:$P$10,7,FALSE)="○",IF(OR($U18=2,$U18=3),
INDEX(単価表!$AY$64:$CC$71,MATCH($V18&amp;$W18,INDEX(単価表!$AY$64:$AY$71&amp;単価表!$AZ$64:$AZ$71,),),MATCH(内訳計算!AV$6,単価表!$AY$63:$CC$63,0)),
INDEX(単価表!$AY$64:$CC$71,MATCH($V18&amp;$W18,INDEX(単価表!$AY$64:$AY$71&amp;単価表!$AZ$64:$AZ$71,),),MATCH(内訳計算!AV$6,単価表!$AY$63:$CC$63,0))),0),0)</f>
        <v>0</v>
      </c>
      <c r="AW18" s="977" cm="1">
        <f t="array" ref="AW18">IFERROR(ROUNDDOWN(IF(HLOOKUP($U18,加算と減算!$E$4:$P$10,7,FALSE)="○",IF(OR($U18=2,$U18=3),
INDEX(単価表!$AY$64:$CC$71,MATCH($V18&amp;$W18,INDEX(単価表!$AY$64:$AY$71&amp;単価表!$AZ$64:$AZ$71,),),MATCH(内訳計算!AW$6,単価表!$AY$63:$CC$63,0)),
INDEX(単価表!$AY$64:$CC$71,MATCH($V18&amp;$W18,INDEX(単価表!$AY$64:$AY$71&amp;単価表!$AZ$64:$AZ$71,),),MATCH(内訳計算!AW$6,単価表!$AY$63:$CC$63,0))),0)*$Y18/25,0),0)</f>
        <v>0</v>
      </c>
      <c r="AX18" s="977" cm="1">
        <f t="array" ref="AX18">IFERROR(ROUNDDOWN(IF(HLOOKUP($U18,加算と減算!$E$4:$P$10,7,FALSE)="○",IF(OR($U18=2,$U18=3),
INDEX(単価表!$AY$64:$CC$71,MATCH($V18&amp;$W18,INDEX(単価表!$AY$64:$AY$71&amp;単価表!$AZ$64:$AZ$71,),),MATCH(内訳計算!AX$6,単価表!$AY$63:$CC$63,0)),
INDEX(単価表!$AY$64:$CC$71,MATCH($V18&amp;$W18,INDEX(単価表!$AY$64:$AY$71&amp;単価表!$AZ$64:$AZ$71,),),MATCH(内訳計算!AX$6,単価表!$AY$63:$CC$63,0))),0)*$Y18/25,0),0)</f>
        <v>0</v>
      </c>
      <c r="AY18" s="975" cm="1">
        <f t="array" ref="AY18">IFERROR(ROUNDDOWN(IF(HLOOKUP($U18,加算と減算!$E$4:$P$10,7,FALSE)="○",IF(OR($U18=2,$U18=3),
INDEX(単価表!$AY$64:$CC$71,MATCH($V18&amp;$W18,INDEX(単価表!$AY$64:$AY$71&amp;単価表!$AZ$64:$AZ$71,),),MATCH(内訳計算!AY$6,単価表!$AY$63:$CC$63,0)),
INDEX(単価表!$AY$64:$CC$71,MATCH($V18&amp;$W18,INDEX(単価表!$AY$64:$AY$71&amp;単価表!$AZ$64:$AZ$71,),),MATCH(内訳計算!AY$6,単価表!$AY$63:$CC$63,0))),0)*$Y18/25,0),0)</f>
        <v>0</v>
      </c>
      <c r="AZ18" s="976" cm="1">
        <f t="array" ref="AZ18">IFERROR(IF(X18="○",INDEX(単価表!$AY$64:$CC$71,MATCH($V18&amp;$W18,INDEX(単価表!$AY$64:$AY$71&amp;単価表!$AZ$64:$AZ$71,),),MATCH(内訳計算!AZ$6,単価表!$AY$63:$CC$63,0)),0),0)</f>
        <v>0</v>
      </c>
      <c r="BA18" s="975" cm="1">
        <f t="array" ref="BA18">IFERROR(ROUNDDOWN(INDEX(単価表!$AY$64:$CC$71,MATCH($V18&amp;$W18,INDEX(単価表!$AY$64:$AY$71&amp;単価表!$AZ$64:$AZ$71,),),MATCH(内訳計算!BA$6,単価表!$AY$63:$CC$63,0))*$Y18/25,0),0)</f>
        <v>0</v>
      </c>
      <c r="BB18" s="976" cm="1">
        <f t="array" ref="BB18">IFERROR(INDEX(単価表!$AY$64:$CC$71,MATCH($V18&amp;$W18,INDEX(単価表!$AY$64:$AY$71&amp;単価表!$AZ$64:$AZ$71,),),MATCH(内訳計算!BB$6,単価表!$AY$63:$CC$63,0)),0)</f>
        <v>0</v>
      </c>
      <c r="BC18" s="975" cm="1">
        <f t="array" ref="BC18">IFERROR(ROUNDDOWN(INDEX(単価表!$AY$64:$CC$71,MATCH($V18&amp;$W18,INDEX(単価表!$AY$64:$AY$71&amp;単価表!$AZ$64:$AZ$71,),),MATCH(内訳計算!BC$6,単価表!$AY$63:$CC$63,0))*$Y18/25,0),0)</f>
        <v>0</v>
      </c>
      <c r="BD18" s="985">
        <f>IFERROR(IF(HLOOKUP($U18,加算と減算!$E$31:$P$32,2,FALSE)="○",IF(OR($U18=2,$U18=3),-(単価表!$AZ$7+単価表!$BA$7*基本情報!$G$7),-(単価表!$AZ$7+単価表!$BA$7*基本情報!$G$7)),0),0)</f>
        <v>0</v>
      </c>
      <c r="BE18" s="986" t="e">
        <f t="shared" si="8"/>
        <v>#VALUE!</v>
      </c>
      <c r="BF18" s="986" t="e">
        <f t="shared" si="9"/>
        <v>#VALUE!</v>
      </c>
      <c r="BG18" s="987" t="e">
        <f t="shared" si="10"/>
        <v>#N/A</v>
      </c>
      <c r="BH18" s="988">
        <f>IFERROR(IF(基本情報!$E$12&lt;&gt;"",-ROUNDDOWN((AA18+AE18+AH18+AL18)*基本情報!$H$12/100,-1),0),0)</f>
        <v>0</v>
      </c>
      <c r="BI18" s="986" t="e">
        <f t="shared" si="11"/>
        <v>#VALUE!</v>
      </c>
      <c r="BJ18" s="986" t="e">
        <f t="shared" si="12"/>
        <v>#VALUE!</v>
      </c>
      <c r="BK18" s="989" t="e">
        <f t="shared" si="13"/>
        <v>#N/A</v>
      </c>
      <c r="BL18" s="990">
        <f>IFERROR(-ROUNDUP(SUM(AA18,AE18,AH18,AL18,AR18,AT18,AV18,BD18,BH18)*基本情報!$H$14/100,-1),0)</f>
        <v>0</v>
      </c>
      <c r="BM18" s="991" t="e">
        <f t="shared" si="14"/>
        <v>#VALUE!</v>
      </c>
      <c r="BN18" s="991" t="e">
        <f t="shared" si="15"/>
        <v>#VALUE!</v>
      </c>
      <c r="BO18" s="992" t="e">
        <f t="shared" si="16"/>
        <v>#N/A</v>
      </c>
      <c r="BP18" s="701"/>
      <c r="BQ18" s="701"/>
      <c r="BR18" s="701"/>
      <c r="BS18" s="701"/>
      <c r="BT18" s="721"/>
      <c r="BU18" s="1043" t="e">
        <f t="shared" si="17"/>
        <v>#VALUE!</v>
      </c>
      <c r="BV18" s="1044" t="e">
        <f t="shared" si="18"/>
        <v>#VALUE!</v>
      </c>
      <c r="BW18" s="1044" t="e">
        <f t="shared" si="19"/>
        <v>#N/A</v>
      </c>
      <c r="BX18" s="1051">
        <f t="shared" si="20"/>
        <v>0</v>
      </c>
      <c r="BY18" s="1045">
        <f t="shared" si="21"/>
        <v>0</v>
      </c>
      <c r="CB18" s="1626"/>
      <c r="CC18" s="1599" t="s">
        <v>204</v>
      </c>
      <c r="CD18" s="720" t="s">
        <v>18</v>
      </c>
      <c r="CE18" s="740" t="s">
        <v>559</v>
      </c>
      <c r="CF18" s="672">
        <f>'4月'!AQ21</f>
        <v>0</v>
      </c>
      <c r="CG18" s="672">
        <f>'5月'!AQ21</f>
        <v>0</v>
      </c>
      <c r="CH18" s="672">
        <f>'6月'!AQ21</f>
        <v>0</v>
      </c>
      <c r="CI18" s="672">
        <f>'7月'!AQ21</f>
        <v>0</v>
      </c>
      <c r="CJ18" s="672">
        <f>'8月'!AQ21</f>
        <v>0</v>
      </c>
      <c r="CK18" s="672">
        <f>'9月'!AQ21</f>
        <v>0</v>
      </c>
      <c r="CL18" s="672">
        <f>'10月'!AQ21</f>
        <v>0</v>
      </c>
      <c r="CM18" s="672">
        <f>'11月'!AQ21</f>
        <v>0</v>
      </c>
      <c r="CN18" s="672">
        <f>'12月'!AQ21</f>
        <v>0</v>
      </c>
      <c r="CO18" s="672">
        <f>'1月'!AQ21</f>
        <v>0</v>
      </c>
      <c r="CP18" s="672">
        <f>'2月'!AQ21</f>
        <v>0</v>
      </c>
      <c r="CQ18" s="756">
        <f>'3月'!AQ21</f>
        <v>0</v>
      </c>
      <c r="CR18" s="759">
        <f t="shared" si="22"/>
        <v>0</v>
      </c>
      <c r="CS18" s="1599" t="s">
        <v>204</v>
      </c>
      <c r="CT18" s="720" t="s">
        <v>18</v>
      </c>
      <c r="CU18" s="959" t="s">
        <v>559</v>
      </c>
      <c r="CV18" s="771" t="e">
        <f>CR18-CY18-CZ18</f>
        <v>#DIV/0!</v>
      </c>
      <c r="CW18" s="776"/>
      <c r="CX18" s="954"/>
      <c r="CY18" s="1055" t="e">
        <f>SUMPRODUCT($CF$1:$CQ$1,処遇Ⅰ計算用!$AA$17:$AL$17)</f>
        <v>#DIV/0!</v>
      </c>
      <c r="CZ18" s="1055" t="e">
        <f>SUMPRODUCT($CF$1:$CQ$1,処遇Ⅰ計算用!$AA$27:$AL$27)</f>
        <v>#DIV/0!</v>
      </c>
      <c r="DA18" s="721"/>
      <c r="DB18" s="721"/>
    </row>
    <row r="19" spans="1:109" ht="16.149999999999999" customHeight="1">
      <c r="A19" s="1652"/>
      <c r="B19" s="1540"/>
      <c r="C19" s="1542"/>
      <c r="D19" s="667" t="s">
        <v>8</v>
      </c>
      <c r="E19" s="668">
        <f>SUM(児童数!G18:G19)</f>
        <v>0</v>
      </c>
      <c r="F19" s="668" t="e">
        <f>'3月'!H6</f>
        <v>#VALUE!</v>
      </c>
      <c r="G19" s="669">
        <f>G6</f>
        <v>10478</v>
      </c>
      <c r="H19" s="668" t="e">
        <f t="shared" si="26"/>
        <v>#N/A</v>
      </c>
      <c r="I19" s="668" t="e">
        <f>F19-G19-H19</f>
        <v>#VALUE!</v>
      </c>
      <c r="J19" s="668" t="e">
        <f t="shared" si="27"/>
        <v>#VALUE!</v>
      </c>
      <c r="K19" s="668">
        <f t="shared" si="28"/>
        <v>0</v>
      </c>
      <c r="L19" s="706" t="e">
        <f t="shared" si="29"/>
        <v>#N/A</v>
      </c>
      <c r="M19" s="674"/>
      <c r="N19" s="1077"/>
      <c r="O19" s="1083"/>
      <c r="P19" s="1083"/>
      <c r="Q19" s="1085"/>
      <c r="R19" s="1085"/>
      <c r="T19" s="682">
        <v>13</v>
      </c>
      <c r="U19" s="918">
        <f>月途中入退所情報!D20</f>
        <v>0</v>
      </c>
      <c r="V19" s="918">
        <f>月途中入退所情報!H20</f>
        <v>0</v>
      </c>
      <c r="W19" s="918">
        <f>月途中入退所情報!G20</f>
        <v>0</v>
      </c>
      <c r="X19" s="945">
        <f>月途中入退所情報!I20</f>
        <v>0</v>
      </c>
      <c r="Y19" s="918">
        <f>月途中入退所情報!J20</f>
        <v>0</v>
      </c>
      <c r="Z19" s="993">
        <f t="shared" si="6"/>
        <v>0</v>
      </c>
      <c r="AA19" s="976" cm="1">
        <f t="array" ref="AA19">IFERROR(IF(OR($U19=2,$U19=3),
INDEX(単価表!$AY$64:$CC$71,MATCH($V19&amp;$W19,INDEX(単価表!$AY$64:$AY$71&amp;単価表!$AZ$64:$AZ$71,),),MATCH(内訳計算!AA$6,単価表!$AY$63:$CC$63,0)),
INDEX(単価表!$AY$64:$CC$71,MATCH($V19&amp;$W19,INDEX(単価表!$AY$64:$AY$71&amp;単価表!$AZ$64:$AZ$71,),),MATCH(内訳計算!AA$6,単価表!$AY$63:$CC$63,0))),0)</f>
        <v>0</v>
      </c>
      <c r="AB19" s="977" t="e">
        <f t="shared" si="7"/>
        <v>#VALUE!</v>
      </c>
      <c r="AC19" s="977" cm="1">
        <f t="array" ref="AC19">IFERROR(ROUNDDOWN(IF(OR($U19=2,$U19=3),
INDEX(単価表!$AY$64:$CC$71,MATCH($V19&amp;$W19,INDEX(単価表!$AY$64:$AY$71&amp;単価表!$AZ$64:$AZ$71,),),MATCH(内訳計算!AC$6,単価表!$AY$63:$CC$63,0)),
INDEX(単価表!$AY$64:$CC$71,MATCH($V19&amp;$W19,INDEX(単価表!$AY$64:$AY$71&amp;単価表!$AZ$64:$AZ$71,),),MATCH(内訳計算!AC$6,単価表!$AY$63:$CC$63,0)))*$Y19/25,0),0)</f>
        <v>0</v>
      </c>
      <c r="AD19" s="975" cm="1">
        <f t="array" ref="AD19">IFERROR(ROUNDDOWN(IF(OR($U19=2,$U19=3),
INDEX(単価表!$AY$64:$CC$71,MATCH($V19&amp;$W19,INDEX(単価表!$AY$64:$AY$71&amp;単価表!$AZ$64:$AZ$71,),),MATCH(内訳計算!AD$6,単価表!$AY$63:$CC$63,0)),
INDEX(単価表!$AY$64:$CC$71,MATCH($V19&amp;$W19,INDEX(単価表!$AY$64:$AY$71&amp;単価表!$AZ$64:$AZ$71,),),MATCH(内訳計算!AD$6,単価表!$AY$63:$CC$63,0)))*$Y19/25,0),0)</f>
        <v>0</v>
      </c>
      <c r="AE19" s="976" cm="1">
        <f t="array" ref="AE19">IFERROR(IF(OR($U19=2,$U19=3),
INDEX(単価表!$AY$64:$CC$71,MATCH($V19&amp;$W19,INDEX(単価表!$AY$64:$AY$71&amp;単価表!$AZ$64:$AZ$71,),),MATCH(内訳計算!AE$6,単価表!$AY$63:$CC$63,0)),
INDEX(単価表!$AY$64:$CC$71,MATCH($V19&amp;$W19,INDEX(単価表!$AY$64:$AY$71&amp;単価表!$AZ$64:$AZ$71,),),MATCH(内訳計算!AE$6,単価表!$AY$63:$CC$63,0))),0)</f>
        <v>0</v>
      </c>
      <c r="AF19" s="977" cm="1">
        <f t="array" ref="AF19">IFERROR(ROUNDDOWN(IF(OR($U19=2,$U19=3),
INDEX(単価表!$AY$64:$CC$71,MATCH($V19&amp;$W19,INDEX(単価表!$AY$64:$AY$71&amp;単価表!$AZ$64:$AZ$71,),),MATCH(内訳計算!AF$6,単価表!$AY$63:$CC$63,0)),
INDEX(単価表!$AY$64:$CC$71,MATCH($V19&amp;$W19,INDEX(単価表!$AY$64:$AY$71&amp;単価表!$AZ$64:$AZ$71,),),MATCH(内訳計算!AF$6,単価表!$AY$63:$CC$63,0)))*$Y19/25,0),0)</f>
        <v>0</v>
      </c>
      <c r="AG19" s="975" cm="1">
        <f t="array" ref="AG19">IFERROR(ROUNDDOWN(IF(OR($U19=2,$U19=3),
INDEX(単価表!$AY$64:$CC$71,MATCH($V19&amp;$W19,INDEX(単価表!$AY$64:$AY$71&amp;単価表!$AZ$64:$AZ$71,),),MATCH(内訳計算!AG$6,単価表!$AY$63:$CC$63,0)),
INDEX(単価表!$AY$64:$CC$71,MATCH($V19&amp;$W19,INDEX(単価表!$AY$64:$AY$71&amp;単価表!$AZ$64:$AZ$71,),),MATCH(内訳計算!AG$6,単価表!$AY$63:$CC$63,0)))*$Y19/25,0),0)</f>
        <v>0</v>
      </c>
      <c r="AH19" s="976" cm="1">
        <f t="array" ref="AH19">IFERROR(IF(HLOOKUP($U19,加算と減算!$E$4:$P$10,2,FALSE)="○",IF(OR($U19=2,$U19=3),
INDEX(単価表!$AY$64:$CC$71,MATCH($V19&amp;$W19,INDEX(単価表!$AY$64:$AY$71&amp;単価表!$AZ$64:$AZ$71,),),MATCH(内訳計算!AH$6,単価表!$AY$63:$CC$63,0)),
INDEX(単価表!$AY$64:$CC$71,MATCH($V19&amp;$W19,INDEX(単価表!$AY$64:$AY$71&amp;単価表!$AZ$64:$AZ$71,),),MATCH(内訳計算!AH$6,単価表!$AY$63:$CC$63,0))),0),0)</f>
        <v>0</v>
      </c>
      <c r="AI19" s="978" cm="1">
        <f t="array" ref="AI19">IFERROR(ROUNDDOWN(IF(HLOOKUP($U19,加算と減算!$E$4:$P$10,2,FALSE)="○",IF(OR($U19=2,$U19=3),
INDEX(単価表!$AY$64:$CC$71,MATCH($V19&amp;$W19,INDEX(単価表!$AY$64:$AY$71&amp;単価表!$AZ$64:$AZ$71,),),MATCH(内訳計算!AI$6,単価表!$AY$63:$CC$63,0)),
INDEX(単価表!$AY$64:$CC$71,MATCH($V19&amp;$W19,INDEX(単価表!$AY$64:$AY$71&amp;単価表!$AZ$64:$AZ$71,),),MATCH(内訳計算!AI$6,単価表!$AY$63:$CC$63,0))),0)*$Y19/25,0),0)</f>
        <v>0</v>
      </c>
      <c r="AJ19" s="977" cm="1">
        <f t="array" ref="AJ19">IFERROR(ROUNDDOWN(IF(HLOOKUP($U19,加算と減算!$E$4:$P$10,2,FALSE)="○",IF(OR($U19=2,$U19=3),
INDEX(単価表!$AY$64:$CC$71,MATCH($V19&amp;$W19,INDEX(単価表!$AY$64:$AY$71&amp;単価表!$AZ$64:$AZ$71,),),MATCH(内訳計算!AJ$6,単価表!$AY$63:$CC$63,0)),
INDEX(単価表!$AY$64:$CC$71,MATCH($V19&amp;$W19,INDEX(単価表!$AY$64:$AY$71&amp;単価表!$AZ$64:$AZ$71,),),MATCH(内訳計算!AJ$6,単価表!$AY$63:$CC$63,0))),0)*$Y19/25,0),0)</f>
        <v>0</v>
      </c>
      <c r="AK19" s="975" cm="1">
        <f t="array" ref="AK19">IFERROR(ROUNDDOWN(IF(HLOOKUP($U19,加算と減算!$E$4:$P$10,2,FALSE)="○",IF(OR($U19=2,$U19=3),
INDEX(単価表!$AY$64:$CC$71,MATCH($V19&amp;$W19,INDEX(単価表!$AY$64:$AY$71&amp;単価表!$AZ$64:$AZ$71,),),MATCH(内訳計算!AK$6,単価表!$AY$63:$CC$63,0)),
INDEX(単価表!$AY$64:$CC$71,MATCH($V19&amp;$W19,INDEX(単価表!$AY$64:$AY$71&amp;単価表!$AZ$64:$AZ$71,),),MATCH(内訳計算!AK$6,単価表!$AY$63:$CC$63,0))),0)*$Y19/25,0),0)</f>
        <v>0</v>
      </c>
      <c r="AL19" s="976" cm="1">
        <f t="array" ref="AL19">IFERROR(IF(HLOOKUP($U19,加算と減算!$E$4:$P$10,4,FALSE)="○",IF(OR($U19=2,$U19=3),
INDEX(単価表!$AY$64:$CC$71,MATCH($V19&amp;$W19,INDEX(単価表!$AY$64:$AY$71&amp;単価表!$AZ$64:$AZ$71,),),MATCH(内訳計算!AL$6,単価表!$AY$63:$CC$63,0)),
INDEX(単価表!$AY$64:$CC$71,MATCH($V19&amp;$W19,INDEX(単価表!$AY$64:$AY$71&amp;単価表!$AZ$64:$AZ$71,),),MATCH(内訳計算!AL$6,単価表!$AY$63:$CC$63,0))),0),0)</f>
        <v>0</v>
      </c>
      <c r="AM19" s="977" cm="1">
        <f t="array" ref="AM19">IFERROR(ROUNDDOWN(IF(HLOOKUP($U19,加算と減算!$E$4:$P$10,4,FALSE)="○",IF(OR($U19=2,$U19=3),
INDEX(単価表!$AY$64:$CC$71,MATCH($V19&amp;$W19,INDEX(単価表!$AY$64:$AY$71&amp;単価表!$AZ$64:$AZ$71,),),MATCH(内訳計算!AM$6,単価表!$AY$63:$CC$63,0)),
INDEX(単価表!$AY$64:$CC$71,MATCH($V19&amp;$W19,INDEX(単価表!$AY$64:$AY$71&amp;単価表!$AZ$64:$AZ$71,),),MATCH(内訳計算!AM$6,単価表!$AY$63:$CC$63,0))),0)*$Y19/25,0),0)</f>
        <v>0</v>
      </c>
      <c r="AN19" s="977" cm="1">
        <f t="array" ref="AN19">IFERROR(ROUNDDOWN(IF(HLOOKUP($U19,加算と減算!$E$4:$P$10,4,FALSE)="○",IF(OR($U19=2,$U19=3),
INDEX(単価表!$AY$64:$CC$71,MATCH($V19&amp;$W19,INDEX(単価表!$AY$64:$AY$71&amp;単価表!$AZ$64:$AZ$71,),),MATCH(内訳計算!AN$6,単価表!$AY$63:$CC$63,0)),
INDEX(単価表!$AY$64:$CC$71,MATCH($V19&amp;$W19,INDEX(単価表!$AY$64:$AY$71&amp;単価表!$AZ$64:$AZ$71,),),MATCH(内訳計算!AN$6,単価表!$AY$63:$CC$63,0))),0)*$Y19/25,0),0)</f>
        <v>0</v>
      </c>
      <c r="AO19" s="977" cm="1">
        <f t="array" ref="AO19">IFERROR(ROUNDDOWN(IF(HLOOKUP($U19,加算と減算!$E$4:$P$10,4,FALSE)="○",IF(OR($U19=2,$U19=3),
INDEX(単価表!$AY$64:$CC$71,MATCH($V19&amp;$W19,INDEX(単価表!$AY$64:$AY$71&amp;単価表!$AZ$64:$AZ$71,),),MATCH(内訳計算!AO$6,単価表!$AY$63:$CC$63,0)),
INDEX(単価表!$AY$64:$CC$71,MATCH($V19&amp;$W19,INDEX(単価表!$AY$64:$AY$71&amp;単価表!$AZ$64:$AZ$71,),),MATCH(内訳計算!AO$6,単価表!$AY$63:$CC$63,0))),0)*$Y19/25,0),0)</f>
        <v>0</v>
      </c>
      <c r="AP19" s="977" cm="1">
        <f t="array" ref="AP19">IFERROR(ROUNDDOWN(IF(HLOOKUP($U19,加算と減算!$E$4:$P$10,4,FALSE)="○",IF(OR($U19=2,$U19=3),
INDEX(単価表!$AY$64:$CC$71,MATCH($V19&amp;$W19,INDEX(単価表!$AY$64:$AY$71&amp;単価表!$AZ$64:$AZ$71,),),MATCH(内訳計算!AP$6,単価表!$AY$63:$CC$63,0)),
INDEX(単価表!$AY$64:$CC$71,MATCH($V19&amp;$W19,INDEX(単価表!$AY$64:$AY$71&amp;単価表!$AZ$64:$AZ$71,),),MATCH(内訳計算!AP$6,単価表!$AY$63:$CC$63,0))),0)*$Y19/25,0),0)</f>
        <v>0</v>
      </c>
      <c r="AQ19" s="975" cm="1">
        <f t="array" ref="AQ19">IFERROR(ROUNDDOWN(IF(HLOOKUP($U19,加算と減算!$E$4:$P$10,4,FALSE)="○",IF(OR($U19=2,$U19=3),
INDEX(単価表!$AY$64:$CC$71,MATCH($V19&amp;$W19,INDEX(単価表!$AY$64:$AY$71&amp;単価表!$AZ$64:$AZ$71,),),MATCH(内訳計算!AQ$6,単価表!$AY$63:$CC$63,0)),
INDEX(単価表!$AY$64:$CC$71,MATCH($V19&amp;$W19,INDEX(単価表!$AY$64:$AY$71&amp;単価表!$AZ$64:$AZ$71,),),MATCH(内訳計算!AQ$6,単価表!$AY$63:$CC$63,0))),0)*$Y19/25,0),0)</f>
        <v>0</v>
      </c>
      <c r="AR19" s="976" cm="1">
        <f t="array" ref="AR19">IFERROR(IF(HLOOKUP($U19,加算と減算!$E$4:$P$10,5,FALSE)="○",IF(OR($U19=2,$U19=3),
INDEX(単価表!$AY$64:$CC$71,MATCH($V19&amp;$W19,INDEX(単価表!$AY$64:$AY$71&amp;単価表!$AZ$64:$AZ$71,),),MATCH(内訳計算!AR$6,単価表!$AY$63:$CC$63,0)),
INDEX(単価表!$AY$64:$CC$71,MATCH($V19&amp;$W19,INDEX(単価表!$AY$64:$AY$71&amp;単価表!$AZ$64:$AZ$71,),),MATCH(内訳計算!AR$6,単価表!$AY$63:$CC$63,0))),0),0)</f>
        <v>0</v>
      </c>
      <c r="AS19" s="975" cm="1">
        <f t="array" ref="AS19">IFERROR(ROUNDDOWN(IF(HLOOKUP($U19,加算と減算!$E$4:$P$10,5,FALSE)="○",IF(OR($U19=2,$U19=3),
INDEX(単価表!$AY$64:$CC$71,MATCH($V19&amp;$W19,INDEX(単価表!$AY$64:$AY$71&amp;単価表!$AZ$64:$AZ$71,),),MATCH(内訳計算!AS$6,単価表!$AY$63:$CC$63,0)),
INDEX(単価表!$AY$64:$CC$71,MATCH($V19&amp;$W19,INDEX(単価表!$AY$64:$AY$71&amp;単価表!$AZ$64:$AZ$71,),),MATCH(内訳計算!AS$6,単価表!$AY$63:$CC$63,0))),0)*$Y19/25,0),0)</f>
        <v>0</v>
      </c>
      <c r="AT19" s="976" cm="1">
        <f t="array" ref="AT19">IFERROR(IF(HLOOKUP($U19,加算と減算!$E$4:$P$10,6,FALSE)="○",IF(OR($U19=2,$U19=3),
INDEX(単価表!$AY$64:$CC$71,MATCH($V19&amp;$W19,INDEX(単価表!$AY$64:$AY$71&amp;単価表!$AZ$64:$AZ$71,),),MATCH(内訳計算!AT$6,単価表!$AY$63:$CC$63,0)),
INDEX(単価表!$AY$64:$CC$71,MATCH($V19&amp;$W19,INDEX(単価表!$AY$64:$AY$71&amp;単価表!$AZ$64:$AZ$71,),),MATCH(内訳計算!AT$6,単価表!$AY$63:$CC$63,0))),0),0)</f>
        <v>0</v>
      </c>
      <c r="AU19" s="975" cm="1">
        <f t="array" ref="AU19">IFERROR(ROUNDDOWN(IF(HLOOKUP($U19,加算と減算!$E$4:$P$10,6,FALSE)="○",IF(OR($U19=2,$U19=3),
INDEX(単価表!$AY$64:$CC$71,MATCH($V19&amp;$W19,INDEX(単価表!$AY$64:$AY$71&amp;単価表!$AZ$64:$AZ$71,),),MATCH(内訳計算!AU$6,単価表!$AY$63:$CC$63,0)),
INDEX(単価表!$AY$64:$CC$71,MATCH($V19&amp;$W19,INDEX(単価表!$AY$64:$AY$71&amp;単価表!$AZ$64:$AZ$71,),),MATCH(内訳計算!AU$6,単価表!$AY$63:$CC$63,0))),0)*$Y19/25,0),0)</f>
        <v>0</v>
      </c>
      <c r="AV19" s="976" cm="1">
        <f t="array" ref="AV19">IFERROR(IF(HLOOKUP($U19,加算と減算!$E$4:$P$10,7,FALSE)="○",IF(OR($U19=2,$U19=3),
INDEX(単価表!$AY$64:$CC$71,MATCH($V19&amp;$W19,INDEX(単価表!$AY$64:$AY$71&amp;単価表!$AZ$64:$AZ$71,),),MATCH(内訳計算!AV$6,単価表!$AY$63:$CC$63,0)),
INDEX(単価表!$AY$64:$CC$71,MATCH($V19&amp;$W19,INDEX(単価表!$AY$64:$AY$71&amp;単価表!$AZ$64:$AZ$71,),),MATCH(内訳計算!AV$6,単価表!$AY$63:$CC$63,0))),0),0)</f>
        <v>0</v>
      </c>
      <c r="AW19" s="977" cm="1">
        <f t="array" ref="AW19">IFERROR(ROUNDDOWN(IF(HLOOKUP($U19,加算と減算!$E$4:$P$10,7,FALSE)="○",IF(OR($U19=2,$U19=3),
INDEX(単価表!$AY$64:$CC$71,MATCH($V19&amp;$W19,INDEX(単価表!$AY$64:$AY$71&amp;単価表!$AZ$64:$AZ$71,),),MATCH(内訳計算!AW$6,単価表!$AY$63:$CC$63,0)),
INDEX(単価表!$AY$64:$CC$71,MATCH($V19&amp;$W19,INDEX(単価表!$AY$64:$AY$71&amp;単価表!$AZ$64:$AZ$71,),),MATCH(内訳計算!AW$6,単価表!$AY$63:$CC$63,0))),0)*$Y19/25,0),0)</f>
        <v>0</v>
      </c>
      <c r="AX19" s="977" cm="1">
        <f t="array" ref="AX19">IFERROR(ROUNDDOWN(IF(HLOOKUP($U19,加算と減算!$E$4:$P$10,7,FALSE)="○",IF(OR($U19=2,$U19=3),
INDEX(単価表!$AY$64:$CC$71,MATCH($V19&amp;$W19,INDEX(単価表!$AY$64:$AY$71&amp;単価表!$AZ$64:$AZ$71,),),MATCH(内訳計算!AX$6,単価表!$AY$63:$CC$63,0)),
INDEX(単価表!$AY$64:$CC$71,MATCH($V19&amp;$W19,INDEX(単価表!$AY$64:$AY$71&amp;単価表!$AZ$64:$AZ$71,),),MATCH(内訳計算!AX$6,単価表!$AY$63:$CC$63,0))),0)*$Y19/25,0),0)</f>
        <v>0</v>
      </c>
      <c r="AY19" s="975" cm="1">
        <f t="array" ref="AY19">IFERROR(ROUNDDOWN(IF(HLOOKUP($U19,加算と減算!$E$4:$P$10,7,FALSE)="○",IF(OR($U19=2,$U19=3),
INDEX(単価表!$AY$64:$CC$71,MATCH($V19&amp;$W19,INDEX(単価表!$AY$64:$AY$71&amp;単価表!$AZ$64:$AZ$71,),),MATCH(内訳計算!AY$6,単価表!$AY$63:$CC$63,0)),
INDEX(単価表!$AY$64:$CC$71,MATCH($V19&amp;$W19,INDEX(単価表!$AY$64:$AY$71&amp;単価表!$AZ$64:$AZ$71,),),MATCH(内訳計算!AY$6,単価表!$AY$63:$CC$63,0))),0)*$Y19/25,0),0)</f>
        <v>0</v>
      </c>
      <c r="AZ19" s="976" cm="1">
        <f t="array" ref="AZ19">IFERROR(IF(X19="○",INDEX(単価表!$AY$64:$CC$71,MATCH($V19&amp;$W19,INDEX(単価表!$AY$64:$AY$71&amp;単価表!$AZ$64:$AZ$71,),),MATCH(内訳計算!AZ$6,単価表!$AY$63:$CC$63,0)),0),0)</f>
        <v>0</v>
      </c>
      <c r="BA19" s="975" cm="1">
        <f t="array" ref="BA19">IFERROR(ROUNDDOWN(INDEX(単価表!$AY$64:$CC$71,MATCH($V19&amp;$W19,INDEX(単価表!$AY$64:$AY$71&amp;単価表!$AZ$64:$AZ$71,),),MATCH(内訳計算!BA$6,単価表!$AY$63:$CC$63,0))*$Y19/25,0),0)</f>
        <v>0</v>
      </c>
      <c r="BB19" s="976" cm="1">
        <f t="array" ref="BB19">IFERROR(INDEX(単価表!$AY$64:$CC$71,MATCH($V19&amp;$W19,INDEX(単価表!$AY$64:$AY$71&amp;単価表!$AZ$64:$AZ$71,),),MATCH(内訳計算!BB$6,単価表!$AY$63:$CC$63,0)),0)</f>
        <v>0</v>
      </c>
      <c r="BC19" s="975" cm="1">
        <f t="array" ref="BC19">IFERROR(ROUNDDOWN(INDEX(単価表!$AY$64:$CC$71,MATCH($V19&amp;$W19,INDEX(単価表!$AY$64:$AY$71&amp;単価表!$AZ$64:$AZ$71,),),MATCH(内訳計算!BC$6,単価表!$AY$63:$CC$63,0))*$Y19/25,0),0)</f>
        <v>0</v>
      </c>
      <c r="BD19" s="985">
        <f>IFERROR(IF(HLOOKUP($U19,加算と減算!$E$31:$P$32,2,FALSE)="○",IF(OR($U19=2,$U19=3),-(単価表!$AZ$7+単価表!$BA$7*基本情報!$G$7),-(単価表!$AZ$7+単価表!$BA$7*基本情報!$G$7)),0),0)</f>
        <v>0</v>
      </c>
      <c r="BE19" s="986" t="e">
        <f t="shared" si="8"/>
        <v>#VALUE!</v>
      </c>
      <c r="BF19" s="986" t="e">
        <f t="shared" si="9"/>
        <v>#VALUE!</v>
      </c>
      <c r="BG19" s="987" t="e">
        <f t="shared" si="10"/>
        <v>#N/A</v>
      </c>
      <c r="BH19" s="988">
        <f>IFERROR(IF(基本情報!$E$12&lt;&gt;"",-ROUNDDOWN((AA19+AE19+AH19+AL19)*基本情報!$H$12/100,-1),0),0)</f>
        <v>0</v>
      </c>
      <c r="BI19" s="986" t="e">
        <f t="shared" si="11"/>
        <v>#VALUE!</v>
      </c>
      <c r="BJ19" s="986" t="e">
        <f t="shared" si="12"/>
        <v>#VALUE!</v>
      </c>
      <c r="BK19" s="989" t="e">
        <f t="shared" si="13"/>
        <v>#N/A</v>
      </c>
      <c r="BL19" s="990">
        <f>IFERROR(-ROUNDUP(SUM(AA19,AE19,AH19,AL19,AR19,AT19,AV19,BD19,BH19)*基本情報!$H$14/100,-1),0)</f>
        <v>0</v>
      </c>
      <c r="BM19" s="991" t="e">
        <f t="shared" si="14"/>
        <v>#VALUE!</v>
      </c>
      <c r="BN19" s="991" t="e">
        <f t="shared" si="15"/>
        <v>#VALUE!</v>
      </c>
      <c r="BO19" s="992" t="e">
        <f t="shared" si="16"/>
        <v>#N/A</v>
      </c>
      <c r="BP19" s="701"/>
      <c r="BQ19" s="701"/>
      <c r="BR19" s="701"/>
      <c r="BS19" s="701"/>
      <c r="BT19" s="721"/>
      <c r="BU19" s="1043" t="e">
        <f t="shared" si="17"/>
        <v>#VALUE!</v>
      </c>
      <c r="BV19" s="1044" t="e">
        <f t="shared" si="18"/>
        <v>#VALUE!</v>
      </c>
      <c r="BW19" s="1044" t="e">
        <f t="shared" si="19"/>
        <v>#N/A</v>
      </c>
      <c r="BX19" s="1051">
        <f t="shared" si="20"/>
        <v>0</v>
      </c>
      <c r="BY19" s="1045">
        <f t="shared" si="21"/>
        <v>0</v>
      </c>
      <c r="CB19" s="1626"/>
      <c r="CC19" s="1600"/>
      <c r="CD19" s="720" t="s">
        <v>62</v>
      </c>
      <c r="CE19" s="740" t="s">
        <v>559</v>
      </c>
      <c r="CF19" s="672">
        <f>'4月'!AQ22</f>
        <v>0</v>
      </c>
      <c r="CG19" s="672">
        <f>'5月'!AQ22</f>
        <v>0</v>
      </c>
      <c r="CH19" s="672">
        <f>'6月'!AQ22</f>
        <v>0</v>
      </c>
      <c r="CI19" s="672">
        <f>'7月'!AQ22</f>
        <v>0</v>
      </c>
      <c r="CJ19" s="672">
        <f>'8月'!AQ22</f>
        <v>0</v>
      </c>
      <c r="CK19" s="672">
        <f>'9月'!AQ22</f>
        <v>0</v>
      </c>
      <c r="CL19" s="672">
        <f>'10月'!AQ22</f>
        <v>0</v>
      </c>
      <c r="CM19" s="672">
        <f>'11月'!AQ22</f>
        <v>0</v>
      </c>
      <c r="CN19" s="672">
        <f>'12月'!AQ22</f>
        <v>0</v>
      </c>
      <c r="CO19" s="672">
        <f>'1月'!AQ22</f>
        <v>0</v>
      </c>
      <c r="CP19" s="672">
        <f>'2月'!AQ22</f>
        <v>0</v>
      </c>
      <c r="CQ19" s="756">
        <f>'3月'!AQ22</f>
        <v>0</v>
      </c>
      <c r="CR19" s="759">
        <f t="shared" si="22"/>
        <v>0</v>
      </c>
      <c r="CS19" s="1600"/>
      <c r="CT19" s="720" t="s">
        <v>62</v>
      </c>
      <c r="CU19" s="959" t="s">
        <v>559</v>
      </c>
      <c r="CV19" s="771" t="e">
        <f t="shared" ref="CV19:CV20" si="30">CR19-CY19-CZ19</f>
        <v>#DIV/0!</v>
      </c>
      <c r="CW19" s="776"/>
      <c r="CX19" s="954"/>
      <c r="CY19" s="1055" t="e">
        <f>SUMPRODUCT($CF$1:$CQ$1,処遇Ⅰ計算用!$AA$18:$AL$18)+SUMPRODUCT($CF$1:$CQ$1,処遇Ⅰ計算用!$AA$19:$AL$19)</f>
        <v>#DIV/0!</v>
      </c>
      <c r="CZ19" s="1055" t="e">
        <f>SUMPRODUCT($CF$1:$CQ$1,処遇Ⅰ計算用!$AA$28:$AL$28)+SUMPRODUCT($CF$1:$CQ$1,処遇Ⅰ計算用!$AA$29:$AL$29)</f>
        <v>#DIV/0!</v>
      </c>
      <c r="DA19" s="721"/>
      <c r="DB19" s="721"/>
    </row>
    <row r="20" spans="1:109" ht="16.149999999999999" customHeight="1" thickBot="1">
      <c r="A20" s="1652"/>
      <c r="B20" s="1540"/>
      <c r="C20" s="1542"/>
      <c r="D20" s="708" t="s">
        <v>9</v>
      </c>
      <c r="E20" s="709">
        <f>SUM(児童数!H18:H19)</f>
        <v>0</v>
      </c>
      <c r="F20" s="709" t="e">
        <f>'3月'!I6</f>
        <v>#VALUE!</v>
      </c>
      <c r="G20" s="709">
        <f>G19</f>
        <v>10478</v>
      </c>
      <c r="H20" s="709" t="e">
        <f t="shared" si="26"/>
        <v>#N/A</v>
      </c>
      <c r="I20" s="709" t="e">
        <f>F20-G20-H20</f>
        <v>#VALUE!</v>
      </c>
      <c r="J20" s="709" t="e">
        <f t="shared" si="27"/>
        <v>#VALUE!</v>
      </c>
      <c r="K20" s="709">
        <f t="shared" si="28"/>
        <v>0</v>
      </c>
      <c r="L20" s="710" t="e">
        <f t="shared" si="29"/>
        <v>#N/A</v>
      </c>
      <c r="M20" s="674"/>
      <c r="N20" s="1082"/>
      <c r="O20" s="1086"/>
      <c r="P20" s="1086"/>
      <c r="Q20" s="1084"/>
      <c r="R20" s="1084"/>
      <c r="T20" s="682">
        <v>14</v>
      </c>
      <c r="U20" s="918">
        <f>月途中入退所情報!D21</f>
        <v>0</v>
      </c>
      <c r="V20" s="918">
        <f>月途中入退所情報!H21</f>
        <v>0</v>
      </c>
      <c r="W20" s="918">
        <f>月途中入退所情報!G21</f>
        <v>0</v>
      </c>
      <c r="X20" s="945">
        <f>月途中入退所情報!I21</f>
        <v>0</v>
      </c>
      <c r="Y20" s="918">
        <f>月途中入退所情報!J21</f>
        <v>0</v>
      </c>
      <c r="Z20" s="840">
        <f t="shared" si="6"/>
        <v>0</v>
      </c>
      <c r="AA20" s="976" cm="1">
        <f t="array" ref="AA20">IFERROR(IF(OR($U20=2,$U20=3),
INDEX(単価表!$AY$64:$CC$71,MATCH($V20&amp;$W20,INDEX(単価表!$AY$64:$AY$71&amp;単価表!$AZ$64:$AZ$71,),),MATCH(内訳計算!AA$6,単価表!$AY$63:$CC$63,0)),
INDEX(単価表!$AY$64:$CC$71,MATCH($V20&amp;$W20,INDEX(単価表!$AY$64:$AY$71&amp;単価表!$AZ$64:$AZ$71,),),MATCH(内訳計算!AA$6,単価表!$AY$63:$CC$63,0))),0)</f>
        <v>0</v>
      </c>
      <c r="AB20" s="977" t="e">
        <f t="shared" si="7"/>
        <v>#VALUE!</v>
      </c>
      <c r="AC20" s="977" cm="1">
        <f t="array" ref="AC20">IFERROR(ROUNDDOWN(IF(OR($U20=2,$U20=3),
INDEX(単価表!$AY$64:$CC$71,MATCH($V20&amp;$W20,INDEX(単価表!$AY$64:$AY$71&amp;単価表!$AZ$64:$AZ$71,),),MATCH(内訳計算!AC$6,単価表!$AY$63:$CC$63,0)),
INDEX(単価表!$AY$64:$CC$71,MATCH($V20&amp;$W20,INDEX(単価表!$AY$64:$AY$71&amp;単価表!$AZ$64:$AZ$71,),),MATCH(内訳計算!AC$6,単価表!$AY$63:$CC$63,0)))*$Y20/25,0),0)</f>
        <v>0</v>
      </c>
      <c r="AD20" s="975" cm="1">
        <f t="array" ref="AD20">IFERROR(ROUNDDOWN(IF(OR($U20=2,$U20=3),
INDEX(単価表!$AY$64:$CC$71,MATCH($V20&amp;$W20,INDEX(単価表!$AY$64:$AY$71&amp;単価表!$AZ$64:$AZ$71,),),MATCH(内訳計算!AD$6,単価表!$AY$63:$CC$63,0)),
INDEX(単価表!$AY$64:$CC$71,MATCH($V20&amp;$W20,INDEX(単価表!$AY$64:$AY$71&amp;単価表!$AZ$64:$AZ$71,),),MATCH(内訳計算!AD$6,単価表!$AY$63:$CC$63,0)))*$Y20/25,0),0)</f>
        <v>0</v>
      </c>
      <c r="AE20" s="976" cm="1">
        <f t="array" ref="AE20">IFERROR(IF(OR($U20=2,$U20=3),
INDEX(単価表!$AY$64:$CC$71,MATCH($V20&amp;$W20,INDEX(単価表!$AY$64:$AY$71&amp;単価表!$AZ$64:$AZ$71,),),MATCH(内訳計算!AE$6,単価表!$AY$63:$CC$63,0)),
INDEX(単価表!$AY$64:$CC$71,MATCH($V20&amp;$W20,INDEX(単価表!$AY$64:$AY$71&amp;単価表!$AZ$64:$AZ$71,),),MATCH(内訳計算!AE$6,単価表!$AY$63:$CC$63,0))),0)</f>
        <v>0</v>
      </c>
      <c r="AF20" s="977" cm="1">
        <f t="array" ref="AF20">IFERROR(ROUNDDOWN(IF(OR($U20=2,$U20=3),
INDEX(単価表!$AY$64:$CC$71,MATCH($V20&amp;$W20,INDEX(単価表!$AY$64:$AY$71&amp;単価表!$AZ$64:$AZ$71,),),MATCH(内訳計算!AF$6,単価表!$AY$63:$CC$63,0)),
INDEX(単価表!$AY$64:$CC$71,MATCH($V20&amp;$W20,INDEX(単価表!$AY$64:$AY$71&amp;単価表!$AZ$64:$AZ$71,),),MATCH(内訳計算!AF$6,単価表!$AY$63:$CC$63,0)))*$Y20/25,0),0)</f>
        <v>0</v>
      </c>
      <c r="AG20" s="975" cm="1">
        <f t="array" ref="AG20">IFERROR(ROUNDDOWN(IF(OR($U20=2,$U20=3),
INDEX(単価表!$AY$64:$CC$71,MATCH($V20&amp;$W20,INDEX(単価表!$AY$64:$AY$71&amp;単価表!$AZ$64:$AZ$71,),),MATCH(内訳計算!AG$6,単価表!$AY$63:$CC$63,0)),
INDEX(単価表!$AY$64:$CC$71,MATCH($V20&amp;$W20,INDEX(単価表!$AY$64:$AY$71&amp;単価表!$AZ$64:$AZ$71,),),MATCH(内訳計算!AG$6,単価表!$AY$63:$CC$63,0)))*$Y20/25,0),0)</f>
        <v>0</v>
      </c>
      <c r="AH20" s="976" cm="1">
        <f t="array" ref="AH20">IFERROR(IF(HLOOKUP($U20,加算と減算!$E$4:$P$10,2,FALSE)="○",IF(OR($U20=2,$U20=3),
INDEX(単価表!$AY$64:$CC$71,MATCH($V20&amp;$W20,INDEX(単価表!$AY$64:$AY$71&amp;単価表!$AZ$64:$AZ$71,),),MATCH(内訳計算!AH$6,単価表!$AY$63:$CC$63,0)),
INDEX(単価表!$AY$64:$CC$71,MATCH($V20&amp;$W20,INDEX(単価表!$AY$64:$AY$71&amp;単価表!$AZ$64:$AZ$71,),),MATCH(内訳計算!AH$6,単価表!$AY$63:$CC$63,0))),0),0)</f>
        <v>0</v>
      </c>
      <c r="AI20" s="978" cm="1">
        <f t="array" ref="AI20">IFERROR(ROUNDDOWN(IF(HLOOKUP($U20,加算と減算!$E$4:$P$10,2,FALSE)="○",IF(OR($U20=2,$U20=3),
INDEX(単価表!$AY$64:$CC$71,MATCH($V20&amp;$W20,INDEX(単価表!$AY$64:$AY$71&amp;単価表!$AZ$64:$AZ$71,),),MATCH(内訳計算!AI$6,単価表!$AY$63:$CC$63,0)),
INDEX(単価表!$AY$64:$CC$71,MATCH($V20&amp;$W20,INDEX(単価表!$AY$64:$AY$71&amp;単価表!$AZ$64:$AZ$71,),),MATCH(内訳計算!AI$6,単価表!$AY$63:$CC$63,0))),0)*$Y20/25,0),0)</f>
        <v>0</v>
      </c>
      <c r="AJ20" s="977" cm="1">
        <f t="array" ref="AJ20">IFERROR(ROUNDDOWN(IF(HLOOKUP($U20,加算と減算!$E$4:$P$10,2,FALSE)="○",IF(OR($U20=2,$U20=3),
INDEX(単価表!$AY$64:$CC$71,MATCH($V20&amp;$W20,INDEX(単価表!$AY$64:$AY$71&amp;単価表!$AZ$64:$AZ$71,),),MATCH(内訳計算!AJ$6,単価表!$AY$63:$CC$63,0)),
INDEX(単価表!$AY$64:$CC$71,MATCH($V20&amp;$W20,INDEX(単価表!$AY$64:$AY$71&amp;単価表!$AZ$64:$AZ$71,),),MATCH(内訳計算!AJ$6,単価表!$AY$63:$CC$63,0))),0)*$Y20/25,0),0)</f>
        <v>0</v>
      </c>
      <c r="AK20" s="975" cm="1">
        <f t="array" ref="AK20">IFERROR(ROUNDDOWN(IF(HLOOKUP($U20,加算と減算!$E$4:$P$10,2,FALSE)="○",IF(OR($U20=2,$U20=3),
INDEX(単価表!$AY$64:$CC$71,MATCH($V20&amp;$W20,INDEX(単価表!$AY$64:$AY$71&amp;単価表!$AZ$64:$AZ$71,),),MATCH(内訳計算!AK$6,単価表!$AY$63:$CC$63,0)),
INDEX(単価表!$AY$64:$CC$71,MATCH($V20&amp;$W20,INDEX(単価表!$AY$64:$AY$71&amp;単価表!$AZ$64:$AZ$71,),),MATCH(内訳計算!AK$6,単価表!$AY$63:$CC$63,0))),0)*$Y20/25,0),0)</f>
        <v>0</v>
      </c>
      <c r="AL20" s="976" cm="1">
        <f t="array" ref="AL20">IFERROR(IF(HLOOKUP($U20,加算と減算!$E$4:$P$10,4,FALSE)="○",IF(OR($U20=2,$U20=3),
INDEX(単価表!$AY$64:$CC$71,MATCH($V20&amp;$W20,INDEX(単価表!$AY$64:$AY$71&amp;単価表!$AZ$64:$AZ$71,),),MATCH(内訳計算!AL$6,単価表!$AY$63:$CC$63,0)),
INDEX(単価表!$AY$64:$CC$71,MATCH($V20&amp;$W20,INDEX(単価表!$AY$64:$AY$71&amp;単価表!$AZ$64:$AZ$71,),),MATCH(内訳計算!AL$6,単価表!$AY$63:$CC$63,0))),0),0)</f>
        <v>0</v>
      </c>
      <c r="AM20" s="977" cm="1">
        <f t="array" ref="AM20">IFERROR(ROUNDDOWN(IF(HLOOKUP($U20,加算と減算!$E$4:$P$10,4,FALSE)="○",IF(OR($U20=2,$U20=3),
INDEX(単価表!$AY$64:$CC$71,MATCH($V20&amp;$W20,INDEX(単価表!$AY$64:$AY$71&amp;単価表!$AZ$64:$AZ$71,),),MATCH(内訳計算!AM$6,単価表!$AY$63:$CC$63,0)),
INDEX(単価表!$AY$64:$CC$71,MATCH($V20&amp;$W20,INDEX(単価表!$AY$64:$AY$71&amp;単価表!$AZ$64:$AZ$71,),),MATCH(内訳計算!AM$6,単価表!$AY$63:$CC$63,0))),0)*$Y20/25,0),0)</f>
        <v>0</v>
      </c>
      <c r="AN20" s="977" cm="1">
        <f t="array" ref="AN20">IFERROR(ROUNDDOWN(IF(HLOOKUP($U20,加算と減算!$E$4:$P$10,4,FALSE)="○",IF(OR($U20=2,$U20=3),
INDEX(単価表!$AY$64:$CC$71,MATCH($V20&amp;$W20,INDEX(単価表!$AY$64:$AY$71&amp;単価表!$AZ$64:$AZ$71,),),MATCH(内訳計算!AN$6,単価表!$AY$63:$CC$63,0)),
INDEX(単価表!$AY$64:$CC$71,MATCH($V20&amp;$W20,INDEX(単価表!$AY$64:$AY$71&amp;単価表!$AZ$64:$AZ$71,),),MATCH(内訳計算!AN$6,単価表!$AY$63:$CC$63,0))),0)*$Y20/25,0),0)</f>
        <v>0</v>
      </c>
      <c r="AO20" s="977" cm="1">
        <f t="array" ref="AO20">IFERROR(ROUNDDOWN(IF(HLOOKUP($U20,加算と減算!$E$4:$P$10,4,FALSE)="○",IF(OR($U20=2,$U20=3),
INDEX(単価表!$AY$64:$CC$71,MATCH($V20&amp;$W20,INDEX(単価表!$AY$64:$AY$71&amp;単価表!$AZ$64:$AZ$71,),),MATCH(内訳計算!AO$6,単価表!$AY$63:$CC$63,0)),
INDEX(単価表!$AY$64:$CC$71,MATCH($V20&amp;$W20,INDEX(単価表!$AY$64:$AY$71&amp;単価表!$AZ$64:$AZ$71,),),MATCH(内訳計算!AO$6,単価表!$AY$63:$CC$63,0))),0)*$Y20/25,0),0)</f>
        <v>0</v>
      </c>
      <c r="AP20" s="977" cm="1">
        <f t="array" ref="AP20">IFERROR(ROUNDDOWN(IF(HLOOKUP($U20,加算と減算!$E$4:$P$10,4,FALSE)="○",IF(OR($U20=2,$U20=3),
INDEX(単価表!$AY$64:$CC$71,MATCH($V20&amp;$W20,INDEX(単価表!$AY$64:$AY$71&amp;単価表!$AZ$64:$AZ$71,),),MATCH(内訳計算!AP$6,単価表!$AY$63:$CC$63,0)),
INDEX(単価表!$AY$64:$CC$71,MATCH($V20&amp;$W20,INDEX(単価表!$AY$64:$AY$71&amp;単価表!$AZ$64:$AZ$71,),),MATCH(内訳計算!AP$6,単価表!$AY$63:$CC$63,0))),0)*$Y20/25,0),0)</f>
        <v>0</v>
      </c>
      <c r="AQ20" s="975" cm="1">
        <f t="array" ref="AQ20">IFERROR(ROUNDDOWN(IF(HLOOKUP($U20,加算と減算!$E$4:$P$10,4,FALSE)="○",IF(OR($U20=2,$U20=3),
INDEX(単価表!$AY$64:$CC$71,MATCH($V20&amp;$W20,INDEX(単価表!$AY$64:$AY$71&amp;単価表!$AZ$64:$AZ$71,),),MATCH(内訳計算!AQ$6,単価表!$AY$63:$CC$63,0)),
INDEX(単価表!$AY$64:$CC$71,MATCH($V20&amp;$W20,INDEX(単価表!$AY$64:$AY$71&amp;単価表!$AZ$64:$AZ$71,),),MATCH(内訳計算!AQ$6,単価表!$AY$63:$CC$63,0))),0)*$Y20/25,0),0)</f>
        <v>0</v>
      </c>
      <c r="AR20" s="976" cm="1">
        <f t="array" ref="AR20">IFERROR(IF(HLOOKUP($U20,加算と減算!$E$4:$P$10,5,FALSE)="○",IF(OR($U20=2,$U20=3),
INDEX(単価表!$AY$64:$CC$71,MATCH($V20&amp;$W20,INDEX(単価表!$AY$64:$AY$71&amp;単価表!$AZ$64:$AZ$71,),),MATCH(内訳計算!AR$6,単価表!$AY$63:$CC$63,0)),
INDEX(単価表!$AY$64:$CC$71,MATCH($V20&amp;$W20,INDEX(単価表!$AY$64:$AY$71&amp;単価表!$AZ$64:$AZ$71,),),MATCH(内訳計算!AR$6,単価表!$AY$63:$CC$63,0))),0),0)</f>
        <v>0</v>
      </c>
      <c r="AS20" s="975" cm="1">
        <f t="array" ref="AS20">IFERROR(ROUNDDOWN(IF(HLOOKUP($U20,加算と減算!$E$4:$P$10,5,FALSE)="○",IF(OR($U20=2,$U20=3),
INDEX(単価表!$AY$64:$CC$71,MATCH($V20&amp;$W20,INDEX(単価表!$AY$64:$AY$71&amp;単価表!$AZ$64:$AZ$71,),),MATCH(内訳計算!AS$6,単価表!$AY$63:$CC$63,0)),
INDEX(単価表!$AY$64:$CC$71,MATCH($V20&amp;$W20,INDEX(単価表!$AY$64:$AY$71&amp;単価表!$AZ$64:$AZ$71,),),MATCH(内訳計算!AS$6,単価表!$AY$63:$CC$63,0))),0)*$Y20/25,0),0)</f>
        <v>0</v>
      </c>
      <c r="AT20" s="976" cm="1">
        <f t="array" ref="AT20">IFERROR(IF(HLOOKUP($U20,加算と減算!$E$4:$P$10,6,FALSE)="○",IF(OR($U20=2,$U20=3),
INDEX(単価表!$AY$64:$CC$71,MATCH($V20&amp;$W20,INDEX(単価表!$AY$64:$AY$71&amp;単価表!$AZ$64:$AZ$71,),),MATCH(内訳計算!AT$6,単価表!$AY$63:$CC$63,0)),
INDEX(単価表!$AY$64:$CC$71,MATCH($V20&amp;$W20,INDEX(単価表!$AY$64:$AY$71&amp;単価表!$AZ$64:$AZ$71,),),MATCH(内訳計算!AT$6,単価表!$AY$63:$CC$63,0))),0),0)</f>
        <v>0</v>
      </c>
      <c r="AU20" s="975" cm="1">
        <f t="array" ref="AU20">IFERROR(ROUNDDOWN(IF(HLOOKUP($U20,加算と減算!$E$4:$P$10,6,FALSE)="○",IF(OR($U20=2,$U20=3),
INDEX(単価表!$AY$64:$CC$71,MATCH($V20&amp;$W20,INDEX(単価表!$AY$64:$AY$71&amp;単価表!$AZ$64:$AZ$71,),),MATCH(内訳計算!AU$6,単価表!$AY$63:$CC$63,0)),
INDEX(単価表!$AY$64:$CC$71,MATCH($V20&amp;$W20,INDEX(単価表!$AY$64:$AY$71&amp;単価表!$AZ$64:$AZ$71,),),MATCH(内訳計算!AU$6,単価表!$AY$63:$CC$63,0))),0)*$Y20/25,0),0)</f>
        <v>0</v>
      </c>
      <c r="AV20" s="976" cm="1">
        <f t="array" ref="AV20">IFERROR(IF(HLOOKUP($U20,加算と減算!$E$4:$P$10,7,FALSE)="○",IF(OR($U20=2,$U20=3),
INDEX(単価表!$AY$64:$CC$71,MATCH($V20&amp;$W20,INDEX(単価表!$AY$64:$AY$71&amp;単価表!$AZ$64:$AZ$71,),),MATCH(内訳計算!AV$6,単価表!$AY$63:$CC$63,0)),
INDEX(単価表!$AY$64:$CC$71,MATCH($V20&amp;$W20,INDEX(単価表!$AY$64:$AY$71&amp;単価表!$AZ$64:$AZ$71,),),MATCH(内訳計算!AV$6,単価表!$AY$63:$CC$63,0))),0),0)</f>
        <v>0</v>
      </c>
      <c r="AW20" s="977" cm="1">
        <f t="array" ref="AW20">IFERROR(ROUNDDOWN(IF(HLOOKUP($U20,加算と減算!$E$4:$P$10,7,FALSE)="○",IF(OR($U20=2,$U20=3),
INDEX(単価表!$AY$64:$CC$71,MATCH($V20&amp;$W20,INDEX(単価表!$AY$64:$AY$71&amp;単価表!$AZ$64:$AZ$71,),),MATCH(内訳計算!AW$6,単価表!$AY$63:$CC$63,0)),
INDEX(単価表!$AY$64:$CC$71,MATCH($V20&amp;$W20,INDEX(単価表!$AY$64:$AY$71&amp;単価表!$AZ$64:$AZ$71,),),MATCH(内訳計算!AW$6,単価表!$AY$63:$CC$63,0))),0)*$Y20/25,0),0)</f>
        <v>0</v>
      </c>
      <c r="AX20" s="977" cm="1">
        <f t="array" ref="AX20">IFERROR(ROUNDDOWN(IF(HLOOKUP($U20,加算と減算!$E$4:$P$10,7,FALSE)="○",IF(OR($U20=2,$U20=3),
INDEX(単価表!$AY$64:$CC$71,MATCH($V20&amp;$W20,INDEX(単価表!$AY$64:$AY$71&amp;単価表!$AZ$64:$AZ$71,),),MATCH(内訳計算!AX$6,単価表!$AY$63:$CC$63,0)),
INDEX(単価表!$AY$64:$CC$71,MATCH($V20&amp;$W20,INDEX(単価表!$AY$64:$AY$71&amp;単価表!$AZ$64:$AZ$71,),),MATCH(内訳計算!AX$6,単価表!$AY$63:$CC$63,0))),0)*$Y20/25,0),0)</f>
        <v>0</v>
      </c>
      <c r="AY20" s="975" cm="1">
        <f t="array" ref="AY20">IFERROR(ROUNDDOWN(IF(HLOOKUP($U20,加算と減算!$E$4:$P$10,7,FALSE)="○",IF(OR($U20=2,$U20=3),
INDEX(単価表!$AY$64:$CC$71,MATCH($V20&amp;$W20,INDEX(単価表!$AY$64:$AY$71&amp;単価表!$AZ$64:$AZ$71,),),MATCH(内訳計算!AY$6,単価表!$AY$63:$CC$63,0)),
INDEX(単価表!$AY$64:$CC$71,MATCH($V20&amp;$W20,INDEX(単価表!$AY$64:$AY$71&amp;単価表!$AZ$64:$AZ$71,),),MATCH(内訳計算!AY$6,単価表!$AY$63:$CC$63,0))),0)*$Y20/25,0),0)</f>
        <v>0</v>
      </c>
      <c r="AZ20" s="976" cm="1">
        <f t="array" ref="AZ20">IFERROR(IF(X20="○",INDEX(単価表!$AY$64:$CC$71,MATCH($V20&amp;$W20,INDEX(単価表!$AY$64:$AY$71&amp;単価表!$AZ$64:$AZ$71,),),MATCH(内訳計算!AZ$6,単価表!$AY$63:$CC$63,0)),0),0)</f>
        <v>0</v>
      </c>
      <c r="BA20" s="975" cm="1">
        <f t="array" ref="BA20">IFERROR(ROUNDDOWN(INDEX(単価表!$AY$64:$CC$71,MATCH($V20&amp;$W20,INDEX(単価表!$AY$64:$AY$71&amp;単価表!$AZ$64:$AZ$71,),),MATCH(内訳計算!BA$6,単価表!$AY$63:$CC$63,0))*$Y20/25,0),0)</f>
        <v>0</v>
      </c>
      <c r="BB20" s="976" cm="1">
        <f t="array" ref="BB20">IFERROR(INDEX(単価表!$AY$64:$CC$71,MATCH($V20&amp;$W20,INDEX(単価表!$AY$64:$AY$71&amp;単価表!$AZ$64:$AZ$71,),),MATCH(内訳計算!BB$6,単価表!$AY$63:$CC$63,0)),0)</f>
        <v>0</v>
      </c>
      <c r="BC20" s="975" cm="1">
        <f t="array" ref="BC20">IFERROR(ROUNDDOWN(INDEX(単価表!$AY$64:$CC$71,MATCH($V20&amp;$W20,INDEX(単価表!$AY$64:$AY$71&amp;単価表!$AZ$64:$AZ$71,),),MATCH(内訳計算!BC$6,単価表!$AY$63:$CC$63,0))*$Y20/25,0),0)</f>
        <v>0</v>
      </c>
      <c r="BD20" s="985">
        <f>IFERROR(IF(HLOOKUP($U20,加算と減算!$E$31:$P$32,2,FALSE)="○",IF(OR($U20=2,$U20=3),-(単価表!$AZ$7+単価表!$BA$7*基本情報!$G$7),-(単価表!$AZ$7+単価表!$BA$7*基本情報!$G$7)),0),0)</f>
        <v>0</v>
      </c>
      <c r="BE20" s="986" t="e">
        <f t="shared" si="8"/>
        <v>#VALUE!</v>
      </c>
      <c r="BF20" s="986" t="e">
        <f t="shared" si="9"/>
        <v>#VALUE!</v>
      </c>
      <c r="BG20" s="987" t="e">
        <f t="shared" si="10"/>
        <v>#N/A</v>
      </c>
      <c r="BH20" s="988">
        <f>IFERROR(IF(基本情報!$E$12&lt;&gt;"",-ROUNDDOWN((AA20+AE20+AH20+AL20)*基本情報!$H$12/100,-1),0),0)</f>
        <v>0</v>
      </c>
      <c r="BI20" s="986" t="e">
        <f t="shared" si="11"/>
        <v>#VALUE!</v>
      </c>
      <c r="BJ20" s="986" t="e">
        <f t="shared" si="12"/>
        <v>#VALUE!</v>
      </c>
      <c r="BK20" s="989" t="e">
        <f t="shared" si="13"/>
        <v>#N/A</v>
      </c>
      <c r="BL20" s="990">
        <f>IFERROR(-ROUNDUP(SUM(AA20,AE20,AH20,AL20,AR20,AT20,AV20,BD20,BH20)*基本情報!$H$14/100,-1),0)</f>
        <v>0</v>
      </c>
      <c r="BM20" s="991" t="e">
        <f t="shared" si="14"/>
        <v>#VALUE!</v>
      </c>
      <c r="BN20" s="991" t="e">
        <f t="shared" si="15"/>
        <v>#VALUE!</v>
      </c>
      <c r="BO20" s="992" t="e">
        <f t="shared" si="16"/>
        <v>#N/A</v>
      </c>
      <c r="BP20" s="701"/>
      <c r="BQ20" s="701"/>
      <c r="BR20" s="701"/>
      <c r="BS20" s="701"/>
      <c r="BT20" s="721"/>
      <c r="BU20" s="1043" t="e">
        <f t="shared" si="17"/>
        <v>#VALUE!</v>
      </c>
      <c r="BV20" s="1044" t="e">
        <f t="shared" si="18"/>
        <v>#VALUE!</v>
      </c>
      <c r="BW20" s="1044" t="e">
        <f t="shared" si="19"/>
        <v>#N/A</v>
      </c>
      <c r="BX20" s="1051">
        <f t="shared" si="20"/>
        <v>0</v>
      </c>
      <c r="BY20" s="1045">
        <f t="shared" si="21"/>
        <v>0</v>
      </c>
      <c r="CB20" s="1626"/>
      <c r="CC20" s="1600"/>
      <c r="CD20" s="720" t="s">
        <v>19</v>
      </c>
      <c r="CE20" s="740" t="s">
        <v>559</v>
      </c>
      <c r="CF20" s="672">
        <f>'4月'!AQ23</f>
        <v>0</v>
      </c>
      <c r="CG20" s="672">
        <f>'5月'!AQ23</f>
        <v>0</v>
      </c>
      <c r="CH20" s="672">
        <f>'6月'!AQ23</f>
        <v>0</v>
      </c>
      <c r="CI20" s="672">
        <f>'7月'!AQ23</f>
        <v>0</v>
      </c>
      <c r="CJ20" s="672">
        <f>'8月'!AQ23</f>
        <v>0</v>
      </c>
      <c r="CK20" s="672">
        <f>'9月'!AQ23</f>
        <v>0</v>
      </c>
      <c r="CL20" s="672">
        <f>'10月'!AQ23</f>
        <v>0</v>
      </c>
      <c r="CM20" s="672">
        <f>'11月'!AQ23</f>
        <v>0</v>
      </c>
      <c r="CN20" s="672">
        <f>'12月'!AQ23</f>
        <v>0</v>
      </c>
      <c r="CO20" s="672">
        <f>'1月'!AQ23</f>
        <v>0</v>
      </c>
      <c r="CP20" s="672">
        <f>'2月'!AQ23</f>
        <v>0</v>
      </c>
      <c r="CQ20" s="756">
        <f>'3月'!AQ23</f>
        <v>0</v>
      </c>
      <c r="CR20" s="759">
        <f t="shared" si="22"/>
        <v>0</v>
      </c>
      <c r="CS20" s="1600"/>
      <c r="CT20" s="720" t="s">
        <v>19</v>
      </c>
      <c r="CU20" s="959" t="s">
        <v>559</v>
      </c>
      <c r="CV20" s="771" t="e">
        <f t="shared" si="30"/>
        <v>#DIV/0!</v>
      </c>
      <c r="CW20" s="776"/>
      <c r="CX20" s="954"/>
      <c r="CY20" s="1055" t="e">
        <f>SUMPRODUCT($CF$1:$CQ$1,処遇Ⅰ計算用!$AA$20:$AL$20)</f>
        <v>#DIV/0!</v>
      </c>
      <c r="CZ20" s="1055" t="e">
        <f>SUMPRODUCT($CF$1:$CQ$1,処遇Ⅰ計算用!$AA$30:$AL$30)</f>
        <v>#DIV/0!</v>
      </c>
      <c r="DA20" s="721"/>
      <c r="DB20" s="721"/>
    </row>
    <row r="21" spans="1:109" ht="16.149999999999999" customHeight="1" thickTop="1" thickBot="1">
      <c r="A21" s="1652"/>
      <c r="B21" s="1540"/>
      <c r="C21" s="1543"/>
      <c r="D21" s="711" t="s">
        <v>36</v>
      </c>
      <c r="E21" s="712">
        <f>SUM(E17:E20)</f>
        <v>0</v>
      </c>
      <c r="F21" s="714"/>
      <c r="G21" s="714"/>
      <c r="H21" s="714"/>
      <c r="I21" s="714"/>
      <c r="J21" s="712" t="e">
        <f>SUM(J17:J20)</f>
        <v>#VALUE!</v>
      </c>
      <c r="K21" s="712">
        <f t="shared" ref="K21:L21" si="31">SUM(K17:K20)</f>
        <v>0</v>
      </c>
      <c r="L21" s="713" t="e">
        <f t="shared" si="31"/>
        <v>#N/A</v>
      </c>
      <c r="M21" s="674"/>
      <c r="N21" s="1082"/>
      <c r="O21" s="1083"/>
      <c r="P21" s="1083"/>
      <c r="Q21" s="1085"/>
      <c r="R21" s="1085"/>
      <c r="T21" s="682">
        <v>15</v>
      </c>
      <c r="U21" s="918">
        <f>月途中入退所情報!D22</f>
        <v>0</v>
      </c>
      <c r="V21" s="918">
        <f>月途中入退所情報!H22</f>
        <v>0</v>
      </c>
      <c r="W21" s="918">
        <f>月途中入退所情報!G22</f>
        <v>0</v>
      </c>
      <c r="X21" s="945">
        <f>月途中入退所情報!I22</f>
        <v>0</v>
      </c>
      <c r="Y21" s="918">
        <f>月途中入退所情報!J22</f>
        <v>0</v>
      </c>
      <c r="Z21" s="840">
        <f t="shared" si="6"/>
        <v>0</v>
      </c>
      <c r="AA21" s="976" cm="1">
        <f t="array" ref="AA21">IFERROR(IF(OR($U21=2,$U21=3),
INDEX(単価表!$AY$64:$CC$71,MATCH($V21&amp;$W21,INDEX(単価表!$AY$64:$AY$71&amp;単価表!$AZ$64:$AZ$71,),),MATCH(内訳計算!AA$6,単価表!$AY$63:$CC$63,0)),
INDEX(単価表!$AY$64:$CC$71,MATCH($V21&amp;$W21,INDEX(単価表!$AY$64:$AY$71&amp;単価表!$AZ$64:$AZ$71,),),MATCH(内訳計算!AA$6,単価表!$AY$63:$CC$63,0))),0)</f>
        <v>0</v>
      </c>
      <c r="AB21" s="977" t="e">
        <f t="shared" si="7"/>
        <v>#VALUE!</v>
      </c>
      <c r="AC21" s="977" cm="1">
        <f t="array" ref="AC21">IFERROR(ROUNDDOWN(IF(OR($U21=2,$U21=3),
INDEX(単価表!$AY$64:$CC$71,MATCH($V21&amp;$W21,INDEX(単価表!$AY$64:$AY$71&amp;単価表!$AZ$64:$AZ$71,),),MATCH(内訳計算!AC$6,単価表!$AY$63:$CC$63,0)),
INDEX(単価表!$AY$64:$CC$71,MATCH($V21&amp;$W21,INDEX(単価表!$AY$64:$AY$71&amp;単価表!$AZ$64:$AZ$71,),),MATCH(内訳計算!AC$6,単価表!$AY$63:$CC$63,0)))*$Y21/25,0),0)</f>
        <v>0</v>
      </c>
      <c r="AD21" s="975" cm="1">
        <f t="array" ref="AD21">IFERROR(ROUNDDOWN(IF(OR($U21=2,$U21=3),
INDEX(単価表!$AY$64:$CC$71,MATCH($V21&amp;$W21,INDEX(単価表!$AY$64:$AY$71&amp;単価表!$AZ$64:$AZ$71,),),MATCH(内訳計算!AD$6,単価表!$AY$63:$CC$63,0)),
INDEX(単価表!$AY$64:$CC$71,MATCH($V21&amp;$W21,INDEX(単価表!$AY$64:$AY$71&amp;単価表!$AZ$64:$AZ$71,),),MATCH(内訳計算!AD$6,単価表!$AY$63:$CC$63,0)))*$Y21/25,0),0)</f>
        <v>0</v>
      </c>
      <c r="AE21" s="976" cm="1">
        <f t="array" ref="AE21">IFERROR(IF(OR($U21=2,$U21=3),
INDEX(単価表!$AY$64:$CC$71,MATCH($V21&amp;$W21,INDEX(単価表!$AY$64:$AY$71&amp;単価表!$AZ$64:$AZ$71,),),MATCH(内訳計算!AE$6,単価表!$AY$63:$CC$63,0)),
INDEX(単価表!$AY$64:$CC$71,MATCH($V21&amp;$W21,INDEX(単価表!$AY$64:$AY$71&amp;単価表!$AZ$64:$AZ$71,),),MATCH(内訳計算!AE$6,単価表!$AY$63:$CC$63,0))),0)</f>
        <v>0</v>
      </c>
      <c r="AF21" s="977" cm="1">
        <f t="array" ref="AF21">IFERROR(ROUNDDOWN(IF(OR($U21=2,$U21=3),
INDEX(単価表!$AY$64:$CC$71,MATCH($V21&amp;$W21,INDEX(単価表!$AY$64:$AY$71&amp;単価表!$AZ$64:$AZ$71,),),MATCH(内訳計算!AF$6,単価表!$AY$63:$CC$63,0)),
INDEX(単価表!$AY$64:$CC$71,MATCH($V21&amp;$W21,INDEX(単価表!$AY$64:$AY$71&amp;単価表!$AZ$64:$AZ$71,),),MATCH(内訳計算!AF$6,単価表!$AY$63:$CC$63,0)))*$Y21/25,0),0)</f>
        <v>0</v>
      </c>
      <c r="AG21" s="975" cm="1">
        <f t="array" ref="AG21">IFERROR(ROUNDDOWN(IF(OR($U21=2,$U21=3),
INDEX(単価表!$AY$64:$CC$71,MATCH($V21&amp;$W21,INDEX(単価表!$AY$64:$AY$71&amp;単価表!$AZ$64:$AZ$71,),),MATCH(内訳計算!AG$6,単価表!$AY$63:$CC$63,0)),
INDEX(単価表!$AY$64:$CC$71,MATCH($V21&amp;$W21,INDEX(単価表!$AY$64:$AY$71&amp;単価表!$AZ$64:$AZ$71,),),MATCH(内訳計算!AG$6,単価表!$AY$63:$CC$63,0)))*$Y21/25,0),0)</f>
        <v>0</v>
      </c>
      <c r="AH21" s="976" cm="1">
        <f t="array" ref="AH21">IFERROR(IF(HLOOKUP($U21,加算と減算!$E$4:$P$10,2,FALSE)="○",IF(OR($U21=2,$U21=3),
INDEX(単価表!$AY$64:$CC$71,MATCH($V21&amp;$W21,INDEX(単価表!$AY$64:$AY$71&amp;単価表!$AZ$64:$AZ$71,),),MATCH(内訳計算!AH$6,単価表!$AY$63:$CC$63,0)),
INDEX(単価表!$AY$64:$CC$71,MATCH($V21&amp;$W21,INDEX(単価表!$AY$64:$AY$71&amp;単価表!$AZ$64:$AZ$71,),),MATCH(内訳計算!AH$6,単価表!$AY$63:$CC$63,0))),0),0)</f>
        <v>0</v>
      </c>
      <c r="AI21" s="978" cm="1">
        <f t="array" ref="AI21">IFERROR(ROUNDDOWN(IF(HLOOKUP($U21,加算と減算!$E$4:$P$10,2,FALSE)="○",IF(OR($U21=2,$U21=3),
INDEX(単価表!$AY$64:$CC$71,MATCH($V21&amp;$W21,INDEX(単価表!$AY$64:$AY$71&amp;単価表!$AZ$64:$AZ$71,),),MATCH(内訳計算!AI$6,単価表!$AY$63:$CC$63,0)),
INDEX(単価表!$AY$64:$CC$71,MATCH($V21&amp;$W21,INDEX(単価表!$AY$64:$AY$71&amp;単価表!$AZ$64:$AZ$71,),),MATCH(内訳計算!AI$6,単価表!$AY$63:$CC$63,0))),0)*$Y21/25,0),0)</f>
        <v>0</v>
      </c>
      <c r="AJ21" s="977" cm="1">
        <f t="array" ref="AJ21">IFERROR(ROUNDDOWN(IF(HLOOKUP($U21,加算と減算!$E$4:$P$10,2,FALSE)="○",IF(OR($U21=2,$U21=3),
INDEX(単価表!$AY$64:$CC$71,MATCH($V21&amp;$W21,INDEX(単価表!$AY$64:$AY$71&amp;単価表!$AZ$64:$AZ$71,),),MATCH(内訳計算!AJ$6,単価表!$AY$63:$CC$63,0)),
INDEX(単価表!$AY$64:$CC$71,MATCH($V21&amp;$W21,INDEX(単価表!$AY$64:$AY$71&amp;単価表!$AZ$64:$AZ$71,),),MATCH(内訳計算!AJ$6,単価表!$AY$63:$CC$63,0))),0)*$Y21/25,0),0)</f>
        <v>0</v>
      </c>
      <c r="AK21" s="975" cm="1">
        <f t="array" ref="AK21">IFERROR(ROUNDDOWN(IF(HLOOKUP($U21,加算と減算!$E$4:$P$10,2,FALSE)="○",IF(OR($U21=2,$U21=3),
INDEX(単価表!$AY$64:$CC$71,MATCH($V21&amp;$W21,INDEX(単価表!$AY$64:$AY$71&amp;単価表!$AZ$64:$AZ$71,),),MATCH(内訳計算!AK$6,単価表!$AY$63:$CC$63,0)),
INDEX(単価表!$AY$64:$CC$71,MATCH($V21&amp;$W21,INDEX(単価表!$AY$64:$AY$71&amp;単価表!$AZ$64:$AZ$71,),),MATCH(内訳計算!AK$6,単価表!$AY$63:$CC$63,0))),0)*$Y21/25,0),0)</f>
        <v>0</v>
      </c>
      <c r="AL21" s="976" cm="1">
        <f t="array" ref="AL21">IFERROR(IF(HLOOKUP($U21,加算と減算!$E$4:$P$10,4,FALSE)="○",IF(OR($U21=2,$U21=3),
INDEX(単価表!$AY$64:$CC$71,MATCH($V21&amp;$W21,INDEX(単価表!$AY$64:$AY$71&amp;単価表!$AZ$64:$AZ$71,),),MATCH(内訳計算!AL$6,単価表!$AY$63:$CC$63,0)),
INDEX(単価表!$AY$64:$CC$71,MATCH($V21&amp;$W21,INDEX(単価表!$AY$64:$AY$71&amp;単価表!$AZ$64:$AZ$71,),),MATCH(内訳計算!AL$6,単価表!$AY$63:$CC$63,0))),0),0)</f>
        <v>0</v>
      </c>
      <c r="AM21" s="977" cm="1">
        <f t="array" ref="AM21">IFERROR(ROUNDDOWN(IF(HLOOKUP($U21,加算と減算!$E$4:$P$10,4,FALSE)="○",IF(OR($U21=2,$U21=3),
INDEX(単価表!$AY$64:$CC$71,MATCH($V21&amp;$W21,INDEX(単価表!$AY$64:$AY$71&amp;単価表!$AZ$64:$AZ$71,),),MATCH(内訳計算!AM$6,単価表!$AY$63:$CC$63,0)),
INDEX(単価表!$AY$64:$CC$71,MATCH($V21&amp;$W21,INDEX(単価表!$AY$64:$AY$71&amp;単価表!$AZ$64:$AZ$71,),),MATCH(内訳計算!AM$6,単価表!$AY$63:$CC$63,0))),0)*$Y21/25,0),0)</f>
        <v>0</v>
      </c>
      <c r="AN21" s="977" cm="1">
        <f t="array" ref="AN21">IFERROR(ROUNDDOWN(IF(HLOOKUP($U21,加算と減算!$E$4:$P$10,4,FALSE)="○",IF(OR($U21=2,$U21=3),
INDEX(単価表!$AY$64:$CC$71,MATCH($V21&amp;$W21,INDEX(単価表!$AY$64:$AY$71&amp;単価表!$AZ$64:$AZ$71,),),MATCH(内訳計算!AN$6,単価表!$AY$63:$CC$63,0)),
INDEX(単価表!$AY$64:$CC$71,MATCH($V21&amp;$W21,INDEX(単価表!$AY$64:$AY$71&amp;単価表!$AZ$64:$AZ$71,),),MATCH(内訳計算!AN$6,単価表!$AY$63:$CC$63,0))),0)*$Y21/25,0),0)</f>
        <v>0</v>
      </c>
      <c r="AO21" s="977" cm="1">
        <f t="array" ref="AO21">IFERROR(ROUNDDOWN(IF(HLOOKUP($U21,加算と減算!$E$4:$P$10,4,FALSE)="○",IF(OR($U21=2,$U21=3),
INDEX(単価表!$AY$64:$CC$71,MATCH($V21&amp;$W21,INDEX(単価表!$AY$64:$AY$71&amp;単価表!$AZ$64:$AZ$71,),),MATCH(内訳計算!AO$6,単価表!$AY$63:$CC$63,0)),
INDEX(単価表!$AY$64:$CC$71,MATCH($V21&amp;$W21,INDEX(単価表!$AY$64:$AY$71&amp;単価表!$AZ$64:$AZ$71,),),MATCH(内訳計算!AO$6,単価表!$AY$63:$CC$63,0))),0)*$Y21/25,0),0)</f>
        <v>0</v>
      </c>
      <c r="AP21" s="977" cm="1">
        <f t="array" ref="AP21">IFERROR(ROUNDDOWN(IF(HLOOKUP($U21,加算と減算!$E$4:$P$10,4,FALSE)="○",IF(OR($U21=2,$U21=3),
INDEX(単価表!$AY$64:$CC$71,MATCH($V21&amp;$W21,INDEX(単価表!$AY$64:$AY$71&amp;単価表!$AZ$64:$AZ$71,),),MATCH(内訳計算!AP$6,単価表!$AY$63:$CC$63,0)),
INDEX(単価表!$AY$64:$CC$71,MATCH($V21&amp;$W21,INDEX(単価表!$AY$64:$AY$71&amp;単価表!$AZ$64:$AZ$71,),),MATCH(内訳計算!AP$6,単価表!$AY$63:$CC$63,0))),0)*$Y21/25,0),0)</f>
        <v>0</v>
      </c>
      <c r="AQ21" s="975" cm="1">
        <f t="array" ref="AQ21">IFERROR(ROUNDDOWN(IF(HLOOKUP($U21,加算と減算!$E$4:$P$10,4,FALSE)="○",IF(OR($U21=2,$U21=3),
INDEX(単価表!$AY$64:$CC$71,MATCH($V21&amp;$W21,INDEX(単価表!$AY$64:$AY$71&amp;単価表!$AZ$64:$AZ$71,),),MATCH(内訳計算!AQ$6,単価表!$AY$63:$CC$63,0)),
INDEX(単価表!$AY$64:$CC$71,MATCH($V21&amp;$W21,INDEX(単価表!$AY$64:$AY$71&amp;単価表!$AZ$64:$AZ$71,),),MATCH(内訳計算!AQ$6,単価表!$AY$63:$CC$63,0))),0)*$Y21/25,0),0)</f>
        <v>0</v>
      </c>
      <c r="AR21" s="976" cm="1">
        <f t="array" ref="AR21">IFERROR(IF(HLOOKUP($U21,加算と減算!$E$4:$P$10,5,FALSE)="○",IF(OR($U21=2,$U21=3),
INDEX(単価表!$AY$64:$CC$71,MATCH($V21&amp;$W21,INDEX(単価表!$AY$64:$AY$71&amp;単価表!$AZ$64:$AZ$71,),),MATCH(内訳計算!AR$6,単価表!$AY$63:$CC$63,0)),
INDEX(単価表!$AY$64:$CC$71,MATCH($V21&amp;$W21,INDEX(単価表!$AY$64:$AY$71&amp;単価表!$AZ$64:$AZ$71,),),MATCH(内訳計算!AR$6,単価表!$AY$63:$CC$63,0))),0),0)</f>
        <v>0</v>
      </c>
      <c r="AS21" s="975" cm="1">
        <f t="array" ref="AS21">IFERROR(ROUNDDOWN(IF(HLOOKUP($U21,加算と減算!$E$4:$P$10,5,FALSE)="○",IF(OR($U21=2,$U21=3),
INDEX(単価表!$AY$64:$CC$71,MATCH($V21&amp;$W21,INDEX(単価表!$AY$64:$AY$71&amp;単価表!$AZ$64:$AZ$71,),),MATCH(内訳計算!AS$6,単価表!$AY$63:$CC$63,0)),
INDEX(単価表!$AY$64:$CC$71,MATCH($V21&amp;$W21,INDEX(単価表!$AY$64:$AY$71&amp;単価表!$AZ$64:$AZ$71,),),MATCH(内訳計算!AS$6,単価表!$AY$63:$CC$63,0))),0)*$Y21/25,0),0)</f>
        <v>0</v>
      </c>
      <c r="AT21" s="976" cm="1">
        <f t="array" ref="AT21">IFERROR(IF(HLOOKUP($U21,加算と減算!$E$4:$P$10,6,FALSE)="○",IF(OR($U21=2,$U21=3),
INDEX(単価表!$AY$64:$CC$71,MATCH($V21&amp;$W21,INDEX(単価表!$AY$64:$AY$71&amp;単価表!$AZ$64:$AZ$71,),),MATCH(内訳計算!AT$6,単価表!$AY$63:$CC$63,0)),
INDEX(単価表!$AY$64:$CC$71,MATCH($V21&amp;$W21,INDEX(単価表!$AY$64:$AY$71&amp;単価表!$AZ$64:$AZ$71,),),MATCH(内訳計算!AT$6,単価表!$AY$63:$CC$63,0))),0),0)</f>
        <v>0</v>
      </c>
      <c r="AU21" s="975" cm="1">
        <f t="array" ref="AU21">IFERROR(ROUNDDOWN(IF(HLOOKUP($U21,加算と減算!$E$4:$P$10,6,FALSE)="○",IF(OR($U21=2,$U21=3),
INDEX(単価表!$AY$64:$CC$71,MATCH($V21&amp;$W21,INDEX(単価表!$AY$64:$AY$71&amp;単価表!$AZ$64:$AZ$71,),),MATCH(内訳計算!AU$6,単価表!$AY$63:$CC$63,0)),
INDEX(単価表!$AY$64:$CC$71,MATCH($V21&amp;$W21,INDEX(単価表!$AY$64:$AY$71&amp;単価表!$AZ$64:$AZ$71,),),MATCH(内訳計算!AU$6,単価表!$AY$63:$CC$63,0))),0)*$Y21/25,0),0)</f>
        <v>0</v>
      </c>
      <c r="AV21" s="976" cm="1">
        <f t="array" ref="AV21">IFERROR(IF(HLOOKUP($U21,加算と減算!$E$4:$P$10,7,FALSE)="○",IF(OR($U21=2,$U21=3),
INDEX(単価表!$AY$64:$CC$71,MATCH($V21&amp;$W21,INDEX(単価表!$AY$64:$AY$71&amp;単価表!$AZ$64:$AZ$71,),),MATCH(内訳計算!AV$6,単価表!$AY$63:$CC$63,0)),
INDEX(単価表!$AY$64:$CC$71,MATCH($V21&amp;$W21,INDEX(単価表!$AY$64:$AY$71&amp;単価表!$AZ$64:$AZ$71,),),MATCH(内訳計算!AV$6,単価表!$AY$63:$CC$63,0))),0),0)</f>
        <v>0</v>
      </c>
      <c r="AW21" s="977" cm="1">
        <f t="array" ref="AW21">IFERROR(ROUNDDOWN(IF(HLOOKUP($U21,加算と減算!$E$4:$P$10,7,FALSE)="○",IF(OR($U21=2,$U21=3),
INDEX(単価表!$AY$64:$CC$71,MATCH($V21&amp;$W21,INDEX(単価表!$AY$64:$AY$71&amp;単価表!$AZ$64:$AZ$71,),),MATCH(内訳計算!AW$6,単価表!$AY$63:$CC$63,0)),
INDEX(単価表!$AY$64:$CC$71,MATCH($V21&amp;$W21,INDEX(単価表!$AY$64:$AY$71&amp;単価表!$AZ$64:$AZ$71,),),MATCH(内訳計算!AW$6,単価表!$AY$63:$CC$63,0))),0)*$Y21/25,0),0)</f>
        <v>0</v>
      </c>
      <c r="AX21" s="977" cm="1">
        <f t="array" ref="AX21">IFERROR(ROUNDDOWN(IF(HLOOKUP($U21,加算と減算!$E$4:$P$10,7,FALSE)="○",IF(OR($U21=2,$U21=3),
INDEX(単価表!$AY$64:$CC$71,MATCH($V21&amp;$W21,INDEX(単価表!$AY$64:$AY$71&amp;単価表!$AZ$64:$AZ$71,),),MATCH(内訳計算!AX$6,単価表!$AY$63:$CC$63,0)),
INDEX(単価表!$AY$64:$CC$71,MATCH($V21&amp;$W21,INDEX(単価表!$AY$64:$AY$71&amp;単価表!$AZ$64:$AZ$71,),),MATCH(内訳計算!AX$6,単価表!$AY$63:$CC$63,0))),0)*$Y21/25,0),0)</f>
        <v>0</v>
      </c>
      <c r="AY21" s="975" cm="1">
        <f t="array" ref="AY21">IFERROR(ROUNDDOWN(IF(HLOOKUP($U21,加算と減算!$E$4:$P$10,7,FALSE)="○",IF(OR($U21=2,$U21=3),
INDEX(単価表!$AY$64:$CC$71,MATCH($V21&amp;$W21,INDEX(単価表!$AY$64:$AY$71&amp;単価表!$AZ$64:$AZ$71,),),MATCH(内訳計算!AY$6,単価表!$AY$63:$CC$63,0)),
INDEX(単価表!$AY$64:$CC$71,MATCH($V21&amp;$W21,INDEX(単価表!$AY$64:$AY$71&amp;単価表!$AZ$64:$AZ$71,),),MATCH(内訳計算!AY$6,単価表!$AY$63:$CC$63,0))),0)*$Y21/25,0),0)</f>
        <v>0</v>
      </c>
      <c r="AZ21" s="976" cm="1">
        <f t="array" ref="AZ21">IFERROR(IF(X21="○",INDEX(単価表!$AY$64:$CC$71,MATCH($V21&amp;$W21,INDEX(単価表!$AY$64:$AY$71&amp;単価表!$AZ$64:$AZ$71,),),MATCH(内訳計算!AZ$6,単価表!$AY$63:$CC$63,0)),0),0)</f>
        <v>0</v>
      </c>
      <c r="BA21" s="975" cm="1">
        <f t="array" ref="BA21">IFERROR(ROUNDDOWN(INDEX(単価表!$AY$64:$CC$71,MATCH($V21&amp;$W21,INDEX(単価表!$AY$64:$AY$71&amp;単価表!$AZ$64:$AZ$71,),),MATCH(内訳計算!BA$6,単価表!$AY$63:$CC$63,0))*$Y21/25,0),0)</f>
        <v>0</v>
      </c>
      <c r="BB21" s="976" cm="1">
        <f t="array" ref="BB21">IFERROR(INDEX(単価表!$AY$64:$CC$71,MATCH($V21&amp;$W21,INDEX(単価表!$AY$64:$AY$71&amp;単価表!$AZ$64:$AZ$71,),),MATCH(内訳計算!BB$6,単価表!$AY$63:$CC$63,0)),0)</f>
        <v>0</v>
      </c>
      <c r="BC21" s="975" cm="1">
        <f t="array" ref="BC21">IFERROR(ROUNDDOWN(INDEX(単価表!$AY$64:$CC$71,MATCH($V21&amp;$W21,INDEX(単価表!$AY$64:$AY$71&amp;単価表!$AZ$64:$AZ$71,),),MATCH(内訳計算!BC$6,単価表!$AY$63:$CC$63,0))*$Y21/25,0),0)</f>
        <v>0</v>
      </c>
      <c r="BD21" s="985">
        <f>IFERROR(IF(HLOOKUP($U21,加算と減算!$E$31:$P$32,2,FALSE)="○",IF(OR($U21=2,$U21=3),-(単価表!$AZ$7+単価表!$BA$7*基本情報!$G$7),-(単価表!$AZ$7+単価表!$BA$7*基本情報!$G$7)),0),0)</f>
        <v>0</v>
      </c>
      <c r="BE21" s="986" t="e">
        <f t="shared" si="8"/>
        <v>#VALUE!</v>
      </c>
      <c r="BF21" s="986" t="e">
        <f t="shared" si="9"/>
        <v>#VALUE!</v>
      </c>
      <c r="BG21" s="987" t="e">
        <f t="shared" si="10"/>
        <v>#N/A</v>
      </c>
      <c r="BH21" s="988">
        <f>IFERROR(IF(基本情報!$E$12&lt;&gt;"",-ROUNDDOWN((AA21+AE21+AH21+AL21)*基本情報!$H$12/100,-1),0),0)</f>
        <v>0</v>
      </c>
      <c r="BI21" s="986" t="e">
        <f t="shared" si="11"/>
        <v>#VALUE!</v>
      </c>
      <c r="BJ21" s="986" t="e">
        <f t="shared" si="12"/>
        <v>#VALUE!</v>
      </c>
      <c r="BK21" s="989" t="e">
        <f t="shared" si="13"/>
        <v>#N/A</v>
      </c>
      <c r="BL21" s="990">
        <f>IFERROR(-ROUNDUP(SUM(AA21,AE21,AH21,AL21,AR21,AT21,AV21,BD21,BH21)*基本情報!$H$14/100,-1),0)</f>
        <v>0</v>
      </c>
      <c r="BM21" s="991" t="e">
        <f t="shared" si="14"/>
        <v>#VALUE!</v>
      </c>
      <c r="BN21" s="991" t="e">
        <f t="shared" si="15"/>
        <v>#VALUE!</v>
      </c>
      <c r="BO21" s="992" t="e">
        <f t="shared" si="16"/>
        <v>#N/A</v>
      </c>
      <c r="BP21" s="701"/>
      <c r="BQ21" s="701"/>
      <c r="BR21" s="701"/>
      <c r="BS21" s="701"/>
      <c r="BT21" s="721"/>
      <c r="BU21" s="1043" t="e">
        <f t="shared" si="17"/>
        <v>#VALUE!</v>
      </c>
      <c r="BV21" s="1044" t="e">
        <f t="shared" si="18"/>
        <v>#VALUE!</v>
      </c>
      <c r="BW21" s="1044" t="e">
        <f t="shared" si="19"/>
        <v>#N/A</v>
      </c>
      <c r="BX21" s="1051">
        <f t="shared" si="20"/>
        <v>0</v>
      </c>
      <c r="BY21" s="1045">
        <f t="shared" si="21"/>
        <v>0</v>
      </c>
      <c r="CB21" s="1626"/>
      <c r="CC21" s="1600"/>
      <c r="CD21" s="720" t="s">
        <v>41</v>
      </c>
      <c r="CE21" s="740" t="s">
        <v>559</v>
      </c>
      <c r="CF21" s="672">
        <f>'4月'!AQ24</f>
        <v>0</v>
      </c>
      <c r="CG21" s="672">
        <f>'5月'!AQ24</f>
        <v>0</v>
      </c>
      <c r="CH21" s="672">
        <f>'6月'!AQ24</f>
        <v>0</v>
      </c>
      <c r="CI21" s="672">
        <f>'7月'!AQ24</f>
        <v>0</v>
      </c>
      <c r="CJ21" s="672">
        <f>'8月'!AQ24</f>
        <v>0</v>
      </c>
      <c r="CK21" s="672">
        <f>'9月'!AQ24</f>
        <v>0</v>
      </c>
      <c r="CL21" s="672">
        <f>'10月'!AQ24</f>
        <v>0</v>
      </c>
      <c r="CM21" s="672">
        <f>'11月'!AQ24</f>
        <v>0</v>
      </c>
      <c r="CN21" s="672">
        <f>'12月'!AQ24</f>
        <v>0</v>
      </c>
      <c r="CO21" s="672">
        <f>'1月'!AQ24</f>
        <v>0</v>
      </c>
      <c r="CP21" s="672">
        <f>'2月'!AQ24</f>
        <v>0</v>
      </c>
      <c r="CQ21" s="756">
        <f>'3月'!AQ24</f>
        <v>0</v>
      </c>
      <c r="CR21" s="759">
        <f t="shared" si="22"/>
        <v>0</v>
      </c>
      <c r="CS21" s="1600"/>
      <c r="CT21" s="720" t="s">
        <v>41</v>
      </c>
      <c r="CU21" s="959" t="s">
        <v>559</v>
      </c>
      <c r="CV21" s="771">
        <f>CR21</f>
        <v>0</v>
      </c>
      <c r="CW21" s="776"/>
      <c r="CX21" s="776"/>
      <c r="CY21" s="954"/>
      <c r="CZ21" s="954"/>
      <c r="DA21" s="721"/>
      <c r="DB21" s="721"/>
    </row>
    <row r="22" spans="1:109" s="666" customFormat="1" ht="16.149999999999999" customHeight="1">
      <c r="A22" s="1652"/>
      <c r="B22" s="1540"/>
      <c r="C22" s="1527"/>
      <c r="D22" s="1528"/>
      <c r="E22" s="697" t="s">
        <v>535</v>
      </c>
      <c r="F22" s="697" t="s">
        <v>71</v>
      </c>
      <c r="G22" s="697" t="s">
        <v>536</v>
      </c>
      <c r="H22" s="697" t="s">
        <v>537</v>
      </c>
      <c r="I22" s="697" t="s">
        <v>538</v>
      </c>
      <c r="J22" s="703" t="s">
        <v>539</v>
      </c>
      <c r="K22" s="704" t="s">
        <v>540</v>
      </c>
      <c r="L22" s="705" t="s">
        <v>541</v>
      </c>
      <c r="N22" s="1082"/>
      <c r="O22" s="1086"/>
      <c r="P22" s="1086"/>
      <c r="Q22" s="1085"/>
      <c r="R22" s="1085"/>
      <c r="T22" s="682">
        <v>16</v>
      </c>
      <c r="U22" s="918">
        <f>月途中入退所情報!D23</f>
        <v>0</v>
      </c>
      <c r="V22" s="918">
        <f>月途中入退所情報!H23</f>
        <v>0</v>
      </c>
      <c r="W22" s="918">
        <f>月途中入退所情報!G23</f>
        <v>0</v>
      </c>
      <c r="X22" s="945">
        <f>月途中入退所情報!I23</f>
        <v>0</v>
      </c>
      <c r="Y22" s="918">
        <f>月途中入退所情報!J23</f>
        <v>0</v>
      </c>
      <c r="Z22" s="840">
        <f t="shared" si="6"/>
        <v>0</v>
      </c>
      <c r="AA22" s="976" cm="1">
        <f t="array" ref="AA22">IFERROR(IF(OR($U22=2,$U22=3),
INDEX(単価表!$AY$64:$CC$71,MATCH($V22&amp;$W22,INDEX(単価表!$AY$64:$AY$71&amp;単価表!$AZ$64:$AZ$71,),),MATCH(内訳計算!AA$6,単価表!$AY$63:$CC$63,0)),
INDEX(単価表!$AY$64:$CC$71,MATCH($V22&amp;$W22,INDEX(単価表!$AY$64:$AY$71&amp;単価表!$AZ$64:$AZ$71,),),MATCH(内訳計算!AA$6,単価表!$AY$63:$CC$63,0))),0)</f>
        <v>0</v>
      </c>
      <c r="AB22" s="977" t="e">
        <f t="shared" si="7"/>
        <v>#VALUE!</v>
      </c>
      <c r="AC22" s="977" cm="1">
        <f t="array" ref="AC22">IFERROR(ROUNDDOWN(IF(OR($U22=2,$U22=3),
INDEX(単価表!$AY$64:$CC$71,MATCH($V22&amp;$W22,INDEX(単価表!$AY$64:$AY$71&amp;単価表!$AZ$64:$AZ$71,),),MATCH(内訳計算!AC$6,単価表!$AY$63:$CC$63,0)),
INDEX(単価表!$AY$64:$CC$71,MATCH($V22&amp;$W22,INDEX(単価表!$AY$64:$AY$71&amp;単価表!$AZ$64:$AZ$71,),),MATCH(内訳計算!AC$6,単価表!$AY$63:$CC$63,0)))*$Y22/25,0),0)</f>
        <v>0</v>
      </c>
      <c r="AD22" s="975" cm="1">
        <f t="array" ref="AD22">IFERROR(ROUNDDOWN(IF(OR($U22=2,$U22=3),
INDEX(単価表!$AY$64:$CC$71,MATCH($V22&amp;$W22,INDEX(単価表!$AY$64:$AY$71&amp;単価表!$AZ$64:$AZ$71,),),MATCH(内訳計算!AD$6,単価表!$AY$63:$CC$63,0)),
INDEX(単価表!$AY$64:$CC$71,MATCH($V22&amp;$W22,INDEX(単価表!$AY$64:$AY$71&amp;単価表!$AZ$64:$AZ$71,),),MATCH(内訳計算!AD$6,単価表!$AY$63:$CC$63,0)))*$Y22/25,0),0)</f>
        <v>0</v>
      </c>
      <c r="AE22" s="976" cm="1">
        <f t="array" ref="AE22">IFERROR(IF(OR($U22=2,$U22=3),
INDEX(単価表!$AY$64:$CC$71,MATCH($V22&amp;$W22,INDEX(単価表!$AY$64:$AY$71&amp;単価表!$AZ$64:$AZ$71,),),MATCH(内訳計算!AE$6,単価表!$AY$63:$CC$63,0)),
INDEX(単価表!$AY$64:$CC$71,MATCH($V22&amp;$W22,INDEX(単価表!$AY$64:$AY$71&amp;単価表!$AZ$64:$AZ$71,),),MATCH(内訳計算!AE$6,単価表!$AY$63:$CC$63,0))),0)</f>
        <v>0</v>
      </c>
      <c r="AF22" s="977" cm="1">
        <f t="array" ref="AF22">IFERROR(ROUNDDOWN(IF(OR($U22=2,$U22=3),
INDEX(単価表!$AY$64:$CC$71,MATCH($V22&amp;$W22,INDEX(単価表!$AY$64:$AY$71&amp;単価表!$AZ$64:$AZ$71,),),MATCH(内訳計算!AF$6,単価表!$AY$63:$CC$63,0)),
INDEX(単価表!$AY$64:$CC$71,MATCH($V22&amp;$W22,INDEX(単価表!$AY$64:$AY$71&amp;単価表!$AZ$64:$AZ$71,),),MATCH(内訳計算!AF$6,単価表!$AY$63:$CC$63,0)))*$Y22/25,0),0)</f>
        <v>0</v>
      </c>
      <c r="AG22" s="975" cm="1">
        <f t="array" ref="AG22">IFERROR(ROUNDDOWN(IF(OR($U22=2,$U22=3),
INDEX(単価表!$AY$64:$CC$71,MATCH($V22&amp;$W22,INDEX(単価表!$AY$64:$AY$71&amp;単価表!$AZ$64:$AZ$71,),),MATCH(内訳計算!AG$6,単価表!$AY$63:$CC$63,0)),
INDEX(単価表!$AY$64:$CC$71,MATCH($V22&amp;$W22,INDEX(単価表!$AY$64:$AY$71&amp;単価表!$AZ$64:$AZ$71,),),MATCH(内訳計算!AG$6,単価表!$AY$63:$CC$63,0)))*$Y22/25,0),0)</f>
        <v>0</v>
      </c>
      <c r="AH22" s="976" cm="1">
        <f t="array" ref="AH22">IFERROR(IF(HLOOKUP($U22,加算と減算!$E$4:$P$10,2,FALSE)="○",IF(OR($U22=2,$U22=3),
INDEX(単価表!$AY$64:$CC$71,MATCH($V22&amp;$W22,INDEX(単価表!$AY$64:$AY$71&amp;単価表!$AZ$64:$AZ$71,),),MATCH(内訳計算!AH$6,単価表!$AY$63:$CC$63,0)),
INDEX(単価表!$AY$64:$CC$71,MATCH($V22&amp;$W22,INDEX(単価表!$AY$64:$AY$71&amp;単価表!$AZ$64:$AZ$71,),),MATCH(内訳計算!AH$6,単価表!$AY$63:$CC$63,0))),0),0)</f>
        <v>0</v>
      </c>
      <c r="AI22" s="978" cm="1">
        <f t="array" ref="AI22">IFERROR(ROUNDDOWN(IF(HLOOKUP($U22,加算と減算!$E$4:$P$10,2,FALSE)="○",IF(OR($U22=2,$U22=3),
INDEX(単価表!$AY$64:$CC$71,MATCH($V22&amp;$W22,INDEX(単価表!$AY$64:$AY$71&amp;単価表!$AZ$64:$AZ$71,),),MATCH(内訳計算!AI$6,単価表!$AY$63:$CC$63,0)),
INDEX(単価表!$AY$64:$CC$71,MATCH($V22&amp;$W22,INDEX(単価表!$AY$64:$AY$71&amp;単価表!$AZ$64:$AZ$71,),),MATCH(内訳計算!AI$6,単価表!$AY$63:$CC$63,0))),0)*$Y22/25,0),0)</f>
        <v>0</v>
      </c>
      <c r="AJ22" s="977" cm="1">
        <f t="array" ref="AJ22">IFERROR(ROUNDDOWN(IF(HLOOKUP($U22,加算と減算!$E$4:$P$10,2,FALSE)="○",IF(OR($U22=2,$U22=3),
INDEX(単価表!$AY$64:$CC$71,MATCH($V22&amp;$W22,INDEX(単価表!$AY$64:$AY$71&amp;単価表!$AZ$64:$AZ$71,),),MATCH(内訳計算!AJ$6,単価表!$AY$63:$CC$63,0)),
INDEX(単価表!$AY$64:$CC$71,MATCH($V22&amp;$W22,INDEX(単価表!$AY$64:$AY$71&amp;単価表!$AZ$64:$AZ$71,),),MATCH(内訳計算!AJ$6,単価表!$AY$63:$CC$63,0))),0)*$Y22/25,0),0)</f>
        <v>0</v>
      </c>
      <c r="AK22" s="975" cm="1">
        <f t="array" ref="AK22">IFERROR(ROUNDDOWN(IF(HLOOKUP($U22,加算と減算!$E$4:$P$10,2,FALSE)="○",IF(OR($U22=2,$U22=3),
INDEX(単価表!$AY$64:$CC$71,MATCH($V22&amp;$W22,INDEX(単価表!$AY$64:$AY$71&amp;単価表!$AZ$64:$AZ$71,),),MATCH(内訳計算!AK$6,単価表!$AY$63:$CC$63,0)),
INDEX(単価表!$AY$64:$CC$71,MATCH($V22&amp;$W22,INDEX(単価表!$AY$64:$AY$71&amp;単価表!$AZ$64:$AZ$71,),),MATCH(内訳計算!AK$6,単価表!$AY$63:$CC$63,0))),0)*$Y22/25,0),0)</f>
        <v>0</v>
      </c>
      <c r="AL22" s="976" cm="1">
        <f t="array" ref="AL22">IFERROR(IF(HLOOKUP($U22,加算と減算!$E$4:$P$10,4,FALSE)="○",IF(OR($U22=2,$U22=3),
INDEX(単価表!$AY$64:$CC$71,MATCH($V22&amp;$W22,INDEX(単価表!$AY$64:$AY$71&amp;単価表!$AZ$64:$AZ$71,),),MATCH(内訳計算!AL$6,単価表!$AY$63:$CC$63,0)),
INDEX(単価表!$AY$64:$CC$71,MATCH($V22&amp;$W22,INDEX(単価表!$AY$64:$AY$71&amp;単価表!$AZ$64:$AZ$71,),),MATCH(内訳計算!AL$6,単価表!$AY$63:$CC$63,0))),0),0)</f>
        <v>0</v>
      </c>
      <c r="AM22" s="977" cm="1">
        <f t="array" ref="AM22">IFERROR(ROUNDDOWN(IF(HLOOKUP($U22,加算と減算!$E$4:$P$10,4,FALSE)="○",IF(OR($U22=2,$U22=3),
INDEX(単価表!$AY$64:$CC$71,MATCH($V22&amp;$W22,INDEX(単価表!$AY$64:$AY$71&amp;単価表!$AZ$64:$AZ$71,),),MATCH(内訳計算!AM$6,単価表!$AY$63:$CC$63,0)),
INDEX(単価表!$AY$64:$CC$71,MATCH($V22&amp;$W22,INDEX(単価表!$AY$64:$AY$71&amp;単価表!$AZ$64:$AZ$71,),),MATCH(内訳計算!AM$6,単価表!$AY$63:$CC$63,0))),0)*$Y22/25,0),0)</f>
        <v>0</v>
      </c>
      <c r="AN22" s="977" cm="1">
        <f t="array" ref="AN22">IFERROR(ROUNDDOWN(IF(HLOOKUP($U22,加算と減算!$E$4:$P$10,4,FALSE)="○",IF(OR($U22=2,$U22=3),
INDEX(単価表!$AY$64:$CC$71,MATCH($V22&amp;$W22,INDEX(単価表!$AY$64:$AY$71&amp;単価表!$AZ$64:$AZ$71,),),MATCH(内訳計算!AN$6,単価表!$AY$63:$CC$63,0)),
INDEX(単価表!$AY$64:$CC$71,MATCH($V22&amp;$W22,INDEX(単価表!$AY$64:$AY$71&amp;単価表!$AZ$64:$AZ$71,),),MATCH(内訳計算!AN$6,単価表!$AY$63:$CC$63,0))),0)*$Y22/25,0),0)</f>
        <v>0</v>
      </c>
      <c r="AO22" s="977" cm="1">
        <f t="array" ref="AO22">IFERROR(ROUNDDOWN(IF(HLOOKUP($U22,加算と減算!$E$4:$P$10,4,FALSE)="○",IF(OR($U22=2,$U22=3),
INDEX(単価表!$AY$64:$CC$71,MATCH($V22&amp;$W22,INDEX(単価表!$AY$64:$AY$71&amp;単価表!$AZ$64:$AZ$71,),),MATCH(内訳計算!AO$6,単価表!$AY$63:$CC$63,0)),
INDEX(単価表!$AY$64:$CC$71,MATCH($V22&amp;$W22,INDEX(単価表!$AY$64:$AY$71&amp;単価表!$AZ$64:$AZ$71,),),MATCH(内訳計算!AO$6,単価表!$AY$63:$CC$63,0))),0)*$Y22/25,0),0)</f>
        <v>0</v>
      </c>
      <c r="AP22" s="977" cm="1">
        <f t="array" ref="AP22">IFERROR(ROUNDDOWN(IF(HLOOKUP($U22,加算と減算!$E$4:$P$10,4,FALSE)="○",IF(OR($U22=2,$U22=3),
INDEX(単価表!$AY$64:$CC$71,MATCH($V22&amp;$W22,INDEX(単価表!$AY$64:$AY$71&amp;単価表!$AZ$64:$AZ$71,),),MATCH(内訳計算!AP$6,単価表!$AY$63:$CC$63,0)),
INDEX(単価表!$AY$64:$CC$71,MATCH($V22&amp;$W22,INDEX(単価表!$AY$64:$AY$71&amp;単価表!$AZ$64:$AZ$71,),),MATCH(内訳計算!AP$6,単価表!$AY$63:$CC$63,0))),0)*$Y22/25,0),0)</f>
        <v>0</v>
      </c>
      <c r="AQ22" s="975" cm="1">
        <f t="array" ref="AQ22">IFERROR(ROUNDDOWN(IF(HLOOKUP($U22,加算と減算!$E$4:$P$10,4,FALSE)="○",IF(OR($U22=2,$U22=3),
INDEX(単価表!$AY$64:$CC$71,MATCH($V22&amp;$W22,INDEX(単価表!$AY$64:$AY$71&amp;単価表!$AZ$64:$AZ$71,),),MATCH(内訳計算!AQ$6,単価表!$AY$63:$CC$63,0)),
INDEX(単価表!$AY$64:$CC$71,MATCH($V22&amp;$W22,INDEX(単価表!$AY$64:$AY$71&amp;単価表!$AZ$64:$AZ$71,),),MATCH(内訳計算!AQ$6,単価表!$AY$63:$CC$63,0))),0)*$Y22/25,0),0)</f>
        <v>0</v>
      </c>
      <c r="AR22" s="976" cm="1">
        <f t="array" ref="AR22">IFERROR(IF(HLOOKUP($U22,加算と減算!$E$4:$P$10,5,FALSE)="○",IF(OR($U22=2,$U22=3),
INDEX(単価表!$AY$64:$CC$71,MATCH($V22&amp;$W22,INDEX(単価表!$AY$64:$AY$71&amp;単価表!$AZ$64:$AZ$71,),),MATCH(内訳計算!AR$6,単価表!$AY$63:$CC$63,0)),
INDEX(単価表!$AY$64:$CC$71,MATCH($V22&amp;$W22,INDEX(単価表!$AY$64:$AY$71&amp;単価表!$AZ$64:$AZ$71,),),MATCH(内訳計算!AR$6,単価表!$AY$63:$CC$63,0))),0),0)</f>
        <v>0</v>
      </c>
      <c r="AS22" s="975" cm="1">
        <f t="array" ref="AS22">IFERROR(ROUNDDOWN(IF(HLOOKUP($U22,加算と減算!$E$4:$P$10,5,FALSE)="○",IF(OR($U22=2,$U22=3),
INDEX(単価表!$AY$64:$CC$71,MATCH($V22&amp;$W22,INDEX(単価表!$AY$64:$AY$71&amp;単価表!$AZ$64:$AZ$71,),),MATCH(内訳計算!AS$6,単価表!$AY$63:$CC$63,0)),
INDEX(単価表!$AY$64:$CC$71,MATCH($V22&amp;$W22,INDEX(単価表!$AY$64:$AY$71&amp;単価表!$AZ$64:$AZ$71,),),MATCH(内訳計算!AS$6,単価表!$AY$63:$CC$63,0))),0)*$Y22/25,0),0)</f>
        <v>0</v>
      </c>
      <c r="AT22" s="976" cm="1">
        <f t="array" ref="AT22">IFERROR(IF(HLOOKUP($U22,加算と減算!$E$4:$P$10,6,FALSE)="○",IF(OR($U22=2,$U22=3),
INDEX(単価表!$AY$64:$CC$71,MATCH($V22&amp;$W22,INDEX(単価表!$AY$64:$AY$71&amp;単価表!$AZ$64:$AZ$71,),),MATCH(内訳計算!AT$6,単価表!$AY$63:$CC$63,0)),
INDEX(単価表!$AY$64:$CC$71,MATCH($V22&amp;$W22,INDEX(単価表!$AY$64:$AY$71&amp;単価表!$AZ$64:$AZ$71,),),MATCH(内訳計算!AT$6,単価表!$AY$63:$CC$63,0))),0),0)</f>
        <v>0</v>
      </c>
      <c r="AU22" s="975" cm="1">
        <f t="array" ref="AU22">IFERROR(ROUNDDOWN(IF(HLOOKUP($U22,加算と減算!$E$4:$P$10,6,FALSE)="○",IF(OR($U22=2,$U22=3),
INDEX(単価表!$AY$64:$CC$71,MATCH($V22&amp;$W22,INDEX(単価表!$AY$64:$AY$71&amp;単価表!$AZ$64:$AZ$71,),),MATCH(内訳計算!AU$6,単価表!$AY$63:$CC$63,0)),
INDEX(単価表!$AY$64:$CC$71,MATCH($V22&amp;$W22,INDEX(単価表!$AY$64:$AY$71&amp;単価表!$AZ$64:$AZ$71,),),MATCH(内訳計算!AU$6,単価表!$AY$63:$CC$63,0))),0)*$Y22/25,0),0)</f>
        <v>0</v>
      </c>
      <c r="AV22" s="976" cm="1">
        <f t="array" ref="AV22">IFERROR(IF(HLOOKUP($U22,加算と減算!$E$4:$P$10,7,FALSE)="○",IF(OR($U22=2,$U22=3),
INDEX(単価表!$AY$64:$CC$71,MATCH($V22&amp;$W22,INDEX(単価表!$AY$64:$AY$71&amp;単価表!$AZ$64:$AZ$71,),),MATCH(内訳計算!AV$6,単価表!$AY$63:$CC$63,0)),
INDEX(単価表!$AY$64:$CC$71,MATCH($V22&amp;$W22,INDEX(単価表!$AY$64:$AY$71&amp;単価表!$AZ$64:$AZ$71,),),MATCH(内訳計算!AV$6,単価表!$AY$63:$CC$63,0))),0),0)</f>
        <v>0</v>
      </c>
      <c r="AW22" s="977" cm="1">
        <f t="array" ref="AW22">IFERROR(ROUNDDOWN(IF(HLOOKUP($U22,加算と減算!$E$4:$P$10,7,FALSE)="○",IF(OR($U22=2,$U22=3),
INDEX(単価表!$AY$64:$CC$71,MATCH($V22&amp;$W22,INDEX(単価表!$AY$64:$AY$71&amp;単価表!$AZ$64:$AZ$71,),),MATCH(内訳計算!AW$6,単価表!$AY$63:$CC$63,0)),
INDEX(単価表!$AY$64:$CC$71,MATCH($V22&amp;$W22,INDEX(単価表!$AY$64:$AY$71&amp;単価表!$AZ$64:$AZ$71,),),MATCH(内訳計算!AW$6,単価表!$AY$63:$CC$63,0))),0)*$Y22/25,0),0)</f>
        <v>0</v>
      </c>
      <c r="AX22" s="977" cm="1">
        <f t="array" ref="AX22">IFERROR(ROUNDDOWN(IF(HLOOKUP($U22,加算と減算!$E$4:$P$10,7,FALSE)="○",IF(OR($U22=2,$U22=3),
INDEX(単価表!$AY$64:$CC$71,MATCH($V22&amp;$W22,INDEX(単価表!$AY$64:$AY$71&amp;単価表!$AZ$64:$AZ$71,),),MATCH(内訳計算!AX$6,単価表!$AY$63:$CC$63,0)),
INDEX(単価表!$AY$64:$CC$71,MATCH($V22&amp;$W22,INDEX(単価表!$AY$64:$AY$71&amp;単価表!$AZ$64:$AZ$71,),),MATCH(内訳計算!AX$6,単価表!$AY$63:$CC$63,0))),0)*$Y22/25,0),0)</f>
        <v>0</v>
      </c>
      <c r="AY22" s="975" cm="1">
        <f t="array" ref="AY22">IFERROR(ROUNDDOWN(IF(HLOOKUP($U22,加算と減算!$E$4:$P$10,7,FALSE)="○",IF(OR($U22=2,$U22=3),
INDEX(単価表!$AY$64:$CC$71,MATCH($V22&amp;$W22,INDEX(単価表!$AY$64:$AY$71&amp;単価表!$AZ$64:$AZ$71,),),MATCH(内訳計算!AY$6,単価表!$AY$63:$CC$63,0)),
INDEX(単価表!$AY$64:$CC$71,MATCH($V22&amp;$W22,INDEX(単価表!$AY$64:$AY$71&amp;単価表!$AZ$64:$AZ$71,),),MATCH(内訳計算!AY$6,単価表!$AY$63:$CC$63,0))),0)*$Y22/25,0),0)</f>
        <v>0</v>
      </c>
      <c r="AZ22" s="976" cm="1">
        <f t="array" ref="AZ22">IFERROR(IF(X22="○",INDEX(単価表!$AY$64:$CC$71,MATCH($V22&amp;$W22,INDEX(単価表!$AY$64:$AY$71&amp;単価表!$AZ$64:$AZ$71,),),MATCH(内訳計算!AZ$6,単価表!$AY$63:$CC$63,0)),0),0)</f>
        <v>0</v>
      </c>
      <c r="BA22" s="975" cm="1">
        <f t="array" ref="BA22">IFERROR(ROUNDDOWN(INDEX(単価表!$AY$64:$CC$71,MATCH($V22&amp;$W22,INDEX(単価表!$AY$64:$AY$71&amp;単価表!$AZ$64:$AZ$71,),),MATCH(内訳計算!BA$6,単価表!$AY$63:$CC$63,0))*$Y22/25,0),0)</f>
        <v>0</v>
      </c>
      <c r="BB22" s="976" cm="1">
        <f t="array" ref="BB22">IFERROR(INDEX(単価表!$AY$64:$CC$71,MATCH($V22&amp;$W22,INDEX(単価表!$AY$64:$AY$71&amp;単価表!$AZ$64:$AZ$71,),),MATCH(内訳計算!BB$6,単価表!$AY$63:$CC$63,0)),0)</f>
        <v>0</v>
      </c>
      <c r="BC22" s="975" cm="1">
        <f t="array" ref="BC22">IFERROR(ROUNDDOWN(INDEX(単価表!$AY$64:$CC$71,MATCH($V22&amp;$W22,INDEX(単価表!$AY$64:$AY$71&amp;単価表!$AZ$64:$AZ$71,),),MATCH(内訳計算!BC$6,単価表!$AY$63:$CC$63,0))*$Y22/25,0),0)</f>
        <v>0</v>
      </c>
      <c r="BD22" s="985">
        <f>IFERROR(IF(HLOOKUP($U22,加算と減算!$E$31:$P$32,2,FALSE)="○",IF(OR($U22=2,$U22=3),-(単価表!$AZ$7+単価表!$BA$7*基本情報!$G$7),-(単価表!$AZ$7+単価表!$BA$7*基本情報!$G$7)),0),0)</f>
        <v>0</v>
      </c>
      <c r="BE22" s="986" t="e">
        <f t="shared" si="8"/>
        <v>#VALUE!</v>
      </c>
      <c r="BF22" s="986" t="e">
        <f t="shared" si="9"/>
        <v>#VALUE!</v>
      </c>
      <c r="BG22" s="987" t="e">
        <f t="shared" si="10"/>
        <v>#N/A</v>
      </c>
      <c r="BH22" s="988">
        <f>IFERROR(IF(基本情報!$E$12&lt;&gt;"",-ROUNDDOWN((AA22+AE22+AH22+AL22)*基本情報!$H$12/100,-1),0),0)</f>
        <v>0</v>
      </c>
      <c r="BI22" s="986" t="e">
        <f t="shared" si="11"/>
        <v>#VALUE!</v>
      </c>
      <c r="BJ22" s="986" t="e">
        <f t="shared" si="12"/>
        <v>#VALUE!</v>
      </c>
      <c r="BK22" s="989" t="e">
        <f t="shared" si="13"/>
        <v>#N/A</v>
      </c>
      <c r="BL22" s="990">
        <f>IFERROR(-ROUNDUP(SUM(AA22,AE22,AH22,AL22,AR22,AT22,AV22,BD22,BH22)*基本情報!$H$14/100,-1),0)</f>
        <v>0</v>
      </c>
      <c r="BM22" s="991" t="e">
        <f t="shared" si="14"/>
        <v>#VALUE!</v>
      </c>
      <c r="BN22" s="991" t="e">
        <f t="shared" si="15"/>
        <v>#VALUE!</v>
      </c>
      <c r="BO22" s="992" t="e">
        <f t="shared" si="16"/>
        <v>#N/A</v>
      </c>
      <c r="BP22" s="701"/>
      <c r="BQ22" s="701"/>
      <c r="BR22" s="701"/>
      <c r="BS22" s="701"/>
      <c r="BT22" s="721"/>
      <c r="BU22" s="1043" t="e">
        <f t="shared" si="17"/>
        <v>#VALUE!</v>
      </c>
      <c r="BV22" s="1044" t="e">
        <f t="shared" si="18"/>
        <v>#VALUE!</v>
      </c>
      <c r="BW22" s="1044" t="e">
        <f t="shared" si="19"/>
        <v>#N/A</v>
      </c>
      <c r="BX22" s="1051">
        <f t="shared" si="20"/>
        <v>0</v>
      </c>
      <c r="BY22" s="1046">
        <f t="shared" si="21"/>
        <v>0</v>
      </c>
      <c r="BZ22" s="681"/>
      <c r="CA22" s="681"/>
      <c r="CB22" s="1626"/>
      <c r="CC22" s="1600"/>
      <c r="CD22" s="718" t="s">
        <v>42</v>
      </c>
      <c r="CE22" s="741" t="s">
        <v>353</v>
      </c>
      <c r="CF22" s="672">
        <f>'4月'!AQ25</f>
        <v>0</v>
      </c>
      <c r="CG22" s="672">
        <f>'5月'!AQ25</f>
        <v>0</v>
      </c>
      <c r="CH22" s="672">
        <f>'6月'!AQ25</f>
        <v>0</v>
      </c>
      <c r="CI22" s="672">
        <f>'7月'!AQ25</f>
        <v>0</v>
      </c>
      <c r="CJ22" s="672">
        <f>'8月'!AQ25</f>
        <v>0</v>
      </c>
      <c r="CK22" s="672">
        <f>'9月'!AQ25</f>
        <v>0</v>
      </c>
      <c r="CL22" s="672">
        <f>'10月'!AQ25</f>
        <v>0</v>
      </c>
      <c r="CM22" s="672">
        <f>'11月'!AQ25</f>
        <v>0</v>
      </c>
      <c r="CN22" s="672">
        <f>'12月'!AQ25</f>
        <v>0</v>
      </c>
      <c r="CO22" s="672">
        <f>'1月'!AQ25</f>
        <v>0</v>
      </c>
      <c r="CP22" s="672">
        <f>'2月'!AQ25</f>
        <v>0</v>
      </c>
      <c r="CQ22" s="756">
        <f>'3月'!AQ25</f>
        <v>0</v>
      </c>
      <c r="CR22" s="759">
        <f t="shared" si="22"/>
        <v>0</v>
      </c>
      <c r="CS22" s="1600"/>
      <c r="CT22" s="718" t="s">
        <v>42</v>
      </c>
      <c r="CU22" s="958" t="s">
        <v>353</v>
      </c>
      <c r="CV22" s="776"/>
      <c r="CW22" s="776"/>
      <c r="CX22" s="771">
        <f>CR22</f>
        <v>0</v>
      </c>
      <c r="CY22" s="955"/>
      <c r="CZ22" s="955"/>
      <c r="DA22" s="721"/>
      <c r="DB22" s="721"/>
      <c r="DC22" s="664"/>
      <c r="DD22" s="664"/>
      <c r="DE22" s="664"/>
    </row>
    <row r="23" spans="1:109" ht="16.149999999999999" customHeight="1">
      <c r="A23" s="1652"/>
      <c r="B23" s="1540"/>
      <c r="C23" s="1542" t="s">
        <v>16</v>
      </c>
      <c r="D23" s="667" t="s">
        <v>6</v>
      </c>
      <c r="E23" s="668">
        <f>SUM(児童数!J18:J19)</f>
        <v>0</v>
      </c>
      <c r="F23" s="668" t="e">
        <f>'3月'!J6</f>
        <v>#VALUE!</v>
      </c>
      <c r="G23" s="668">
        <f>G17</f>
        <v>1809</v>
      </c>
      <c r="H23" s="668" t="e">
        <f>H10</f>
        <v>#N/A</v>
      </c>
      <c r="I23" s="668" t="e">
        <f>F23-G23-H23</f>
        <v>#VALUE!</v>
      </c>
      <c r="J23" s="668" t="e">
        <f>E23*I23</f>
        <v>#VALUE!</v>
      </c>
      <c r="K23" s="668">
        <f>E23*G23</f>
        <v>0</v>
      </c>
      <c r="L23" s="706" t="e">
        <f>E23*H23</f>
        <v>#N/A</v>
      </c>
      <c r="M23" s="674"/>
      <c r="N23" s="1080"/>
      <c r="O23" s="1086"/>
      <c r="P23" s="1086"/>
      <c r="Q23" s="1085"/>
      <c r="R23" s="1085"/>
      <c r="T23" s="682">
        <v>17</v>
      </c>
      <c r="U23" s="918">
        <f>月途中入退所情報!D24</f>
        <v>0</v>
      </c>
      <c r="V23" s="918">
        <f>月途中入退所情報!H24</f>
        <v>0</v>
      </c>
      <c r="W23" s="918">
        <f>月途中入退所情報!G24</f>
        <v>0</v>
      </c>
      <c r="X23" s="945">
        <f>月途中入退所情報!I24</f>
        <v>0</v>
      </c>
      <c r="Y23" s="918">
        <f>月途中入退所情報!J24</f>
        <v>0</v>
      </c>
      <c r="Z23" s="840">
        <f t="shared" si="6"/>
        <v>0</v>
      </c>
      <c r="AA23" s="976" cm="1">
        <f t="array" ref="AA23">IFERROR(IF(OR($U23=2,$U23=3),
INDEX(単価表!$AY$64:$CC$71,MATCH($V23&amp;$W23,INDEX(単価表!$AY$64:$AY$71&amp;単価表!$AZ$64:$AZ$71,),),MATCH(内訳計算!AA$6,単価表!$AY$63:$CC$63,0)),
INDEX(単価表!$AY$64:$CC$71,MATCH($V23&amp;$W23,INDEX(単価表!$AY$64:$AY$71&amp;単価表!$AZ$64:$AZ$71,),),MATCH(内訳計算!AA$6,単価表!$AY$63:$CC$63,0))),0)</f>
        <v>0</v>
      </c>
      <c r="AB23" s="977" t="e">
        <f t="shared" si="7"/>
        <v>#VALUE!</v>
      </c>
      <c r="AC23" s="977" cm="1">
        <f t="array" ref="AC23">IFERROR(ROUNDDOWN(IF(OR($U23=2,$U23=3),
INDEX(単価表!$AY$64:$CC$71,MATCH($V23&amp;$W23,INDEX(単価表!$AY$64:$AY$71&amp;単価表!$AZ$64:$AZ$71,),),MATCH(内訳計算!AC$6,単価表!$AY$63:$CC$63,0)),
INDEX(単価表!$AY$64:$CC$71,MATCH($V23&amp;$W23,INDEX(単価表!$AY$64:$AY$71&amp;単価表!$AZ$64:$AZ$71,),),MATCH(内訳計算!AC$6,単価表!$AY$63:$CC$63,0)))*$Y23/25,0),0)</f>
        <v>0</v>
      </c>
      <c r="AD23" s="975" cm="1">
        <f t="array" ref="AD23">IFERROR(ROUNDDOWN(IF(OR($U23=2,$U23=3),
INDEX(単価表!$AY$64:$CC$71,MATCH($V23&amp;$W23,INDEX(単価表!$AY$64:$AY$71&amp;単価表!$AZ$64:$AZ$71,),),MATCH(内訳計算!AD$6,単価表!$AY$63:$CC$63,0)),
INDEX(単価表!$AY$64:$CC$71,MATCH($V23&amp;$W23,INDEX(単価表!$AY$64:$AY$71&amp;単価表!$AZ$64:$AZ$71,),),MATCH(内訳計算!AD$6,単価表!$AY$63:$CC$63,0)))*$Y23/25,0),0)</f>
        <v>0</v>
      </c>
      <c r="AE23" s="976" cm="1">
        <f t="array" ref="AE23">IFERROR(IF(OR($U23=2,$U23=3),
INDEX(単価表!$AY$64:$CC$71,MATCH($V23&amp;$W23,INDEX(単価表!$AY$64:$AY$71&amp;単価表!$AZ$64:$AZ$71,),),MATCH(内訳計算!AE$6,単価表!$AY$63:$CC$63,0)),
INDEX(単価表!$AY$64:$CC$71,MATCH($V23&amp;$W23,INDEX(単価表!$AY$64:$AY$71&amp;単価表!$AZ$64:$AZ$71,),),MATCH(内訳計算!AE$6,単価表!$AY$63:$CC$63,0))),0)</f>
        <v>0</v>
      </c>
      <c r="AF23" s="977" cm="1">
        <f t="array" ref="AF23">IFERROR(ROUNDDOWN(IF(OR($U23=2,$U23=3),
INDEX(単価表!$AY$64:$CC$71,MATCH($V23&amp;$W23,INDEX(単価表!$AY$64:$AY$71&amp;単価表!$AZ$64:$AZ$71,),),MATCH(内訳計算!AF$6,単価表!$AY$63:$CC$63,0)),
INDEX(単価表!$AY$64:$CC$71,MATCH($V23&amp;$W23,INDEX(単価表!$AY$64:$AY$71&amp;単価表!$AZ$64:$AZ$71,),),MATCH(内訳計算!AF$6,単価表!$AY$63:$CC$63,0)))*$Y23/25,0),0)</f>
        <v>0</v>
      </c>
      <c r="AG23" s="975" cm="1">
        <f t="array" ref="AG23">IFERROR(ROUNDDOWN(IF(OR($U23=2,$U23=3),
INDEX(単価表!$AY$64:$CC$71,MATCH($V23&amp;$W23,INDEX(単価表!$AY$64:$AY$71&amp;単価表!$AZ$64:$AZ$71,),),MATCH(内訳計算!AG$6,単価表!$AY$63:$CC$63,0)),
INDEX(単価表!$AY$64:$CC$71,MATCH($V23&amp;$W23,INDEX(単価表!$AY$64:$AY$71&amp;単価表!$AZ$64:$AZ$71,),),MATCH(内訳計算!AG$6,単価表!$AY$63:$CC$63,0)))*$Y23/25,0),0)</f>
        <v>0</v>
      </c>
      <c r="AH23" s="976" cm="1">
        <f t="array" ref="AH23">IFERROR(IF(HLOOKUP($U23,加算と減算!$E$4:$P$10,2,FALSE)="○",IF(OR($U23=2,$U23=3),
INDEX(単価表!$AY$64:$CC$71,MATCH($V23&amp;$W23,INDEX(単価表!$AY$64:$AY$71&amp;単価表!$AZ$64:$AZ$71,),),MATCH(内訳計算!AH$6,単価表!$AY$63:$CC$63,0)),
INDEX(単価表!$AY$64:$CC$71,MATCH($V23&amp;$W23,INDEX(単価表!$AY$64:$AY$71&amp;単価表!$AZ$64:$AZ$71,),),MATCH(内訳計算!AH$6,単価表!$AY$63:$CC$63,0))),0),0)</f>
        <v>0</v>
      </c>
      <c r="AI23" s="978" cm="1">
        <f t="array" ref="AI23">IFERROR(ROUNDDOWN(IF(HLOOKUP($U23,加算と減算!$E$4:$P$10,2,FALSE)="○",IF(OR($U23=2,$U23=3),
INDEX(単価表!$AY$64:$CC$71,MATCH($V23&amp;$W23,INDEX(単価表!$AY$64:$AY$71&amp;単価表!$AZ$64:$AZ$71,),),MATCH(内訳計算!AI$6,単価表!$AY$63:$CC$63,0)),
INDEX(単価表!$AY$64:$CC$71,MATCH($V23&amp;$W23,INDEX(単価表!$AY$64:$AY$71&amp;単価表!$AZ$64:$AZ$71,),),MATCH(内訳計算!AI$6,単価表!$AY$63:$CC$63,0))),0)*$Y23/25,0),0)</f>
        <v>0</v>
      </c>
      <c r="AJ23" s="977" cm="1">
        <f t="array" ref="AJ23">IFERROR(ROUNDDOWN(IF(HLOOKUP($U23,加算と減算!$E$4:$P$10,2,FALSE)="○",IF(OR($U23=2,$U23=3),
INDEX(単価表!$AY$64:$CC$71,MATCH($V23&amp;$W23,INDEX(単価表!$AY$64:$AY$71&amp;単価表!$AZ$64:$AZ$71,),),MATCH(内訳計算!AJ$6,単価表!$AY$63:$CC$63,0)),
INDEX(単価表!$AY$64:$CC$71,MATCH($V23&amp;$W23,INDEX(単価表!$AY$64:$AY$71&amp;単価表!$AZ$64:$AZ$71,),),MATCH(内訳計算!AJ$6,単価表!$AY$63:$CC$63,0))),0)*$Y23/25,0),0)</f>
        <v>0</v>
      </c>
      <c r="AK23" s="975" cm="1">
        <f t="array" ref="AK23">IFERROR(ROUNDDOWN(IF(HLOOKUP($U23,加算と減算!$E$4:$P$10,2,FALSE)="○",IF(OR($U23=2,$U23=3),
INDEX(単価表!$AY$64:$CC$71,MATCH($V23&amp;$W23,INDEX(単価表!$AY$64:$AY$71&amp;単価表!$AZ$64:$AZ$71,),),MATCH(内訳計算!AK$6,単価表!$AY$63:$CC$63,0)),
INDEX(単価表!$AY$64:$CC$71,MATCH($V23&amp;$W23,INDEX(単価表!$AY$64:$AY$71&amp;単価表!$AZ$64:$AZ$71,),),MATCH(内訳計算!AK$6,単価表!$AY$63:$CC$63,0))),0)*$Y23/25,0),0)</f>
        <v>0</v>
      </c>
      <c r="AL23" s="976" cm="1">
        <f t="array" ref="AL23">IFERROR(IF(HLOOKUP($U23,加算と減算!$E$4:$P$10,4,FALSE)="○",IF(OR($U23=2,$U23=3),
INDEX(単価表!$AY$64:$CC$71,MATCH($V23&amp;$W23,INDEX(単価表!$AY$64:$AY$71&amp;単価表!$AZ$64:$AZ$71,),),MATCH(内訳計算!AL$6,単価表!$AY$63:$CC$63,0)),
INDEX(単価表!$AY$64:$CC$71,MATCH($V23&amp;$W23,INDEX(単価表!$AY$64:$AY$71&amp;単価表!$AZ$64:$AZ$71,),),MATCH(内訳計算!AL$6,単価表!$AY$63:$CC$63,0))),0),0)</f>
        <v>0</v>
      </c>
      <c r="AM23" s="977" cm="1">
        <f t="array" ref="AM23">IFERROR(ROUNDDOWN(IF(HLOOKUP($U23,加算と減算!$E$4:$P$10,4,FALSE)="○",IF(OR($U23=2,$U23=3),
INDEX(単価表!$AY$64:$CC$71,MATCH($V23&amp;$W23,INDEX(単価表!$AY$64:$AY$71&amp;単価表!$AZ$64:$AZ$71,),),MATCH(内訳計算!AM$6,単価表!$AY$63:$CC$63,0)),
INDEX(単価表!$AY$64:$CC$71,MATCH($V23&amp;$W23,INDEX(単価表!$AY$64:$AY$71&amp;単価表!$AZ$64:$AZ$71,),),MATCH(内訳計算!AM$6,単価表!$AY$63:$CC$63,0))),0)*$Y23/25,0),0)</f>
        <v>0</v>
      </c>
      <c r="AN23" s="977" cm="1">
        <f t="array" ref="AN23">IFERROR(ROUNDDOWN(IF(HLOOKUP($U23,加算と減算!$E$4:$P$10,4,FALSE)="○",IF(OR($U23=2,$U23=3),
INDEX(単価表!$AY$64:$CC$71,MATCH($V23&amp;$W23,INDEX(単価表!$AY$64:$AY$71&amp;単価表!$AZ$64:$AZ$71,),),MATCH(内訳計算!AN$6,単価表!$AY$63:$CC$63,0)),
INDEX(単価表!$AY$64:$CC$71,MATCH($V23&amp;$W23,INDEX(単価表!$AY$64:$AY$71&amp;単価表!$AZ$64:$AZ$71,),),MATCH(内訳計算!AN$6,単価表!$AY$63:$CC$63,0))),0)*$Y23/25,0),0)</f>
        <v>0</v>
      </c>
      <c r="AO23" s="977" cm="1">
        <f t="array" ref="AO23">IFERROR(ROUNDDOWN(IF(HLOOKUP($U23,加算と減算!$E$4:$P$10,4,FALSE)="○",IF(OR($U23=2,$U23=3),
INDEX(単価表!$AY$64:$CC$71,MATCH($V23&amp;$W23,INDEX(単価表!$AY$64:$AY$71&amp;単価表!$AZ$64:$AZ$71,),),MATCH(内訳計算!AO$6,単価表!$AY$63:$CC$63,0)),
INDEX(単価表!$AY$64:$CC$71,MATCH($V23&amp;$W23,INDEX(単価表!$AY$64:$AY$71&amp;単価表!$AZ$64:$AZ$71,),),MATCH(内訳計算!AO$6,単価表!$AY$63:$CC$63,0))),0)*$Y23/25,0),0)</f>
        <v>0</v>
      </c>
      <c r="AP23" s="977" cm="1">
        <f t="array" ref="AP23">IFERROR(ROUNDDOWN(IF(HLOOKUP($U23,加算と減算!$E$4:$P$10,4,FALSE)="○",IF(OR($U23=2,$U23=3),
INDEX(単価表!$AY$64:$CC$71,MATCH($V23&amp;$W23,INDEX(単価表!$AY$64:$AY$71&amp;単価表!$AZ$64:$AZ$71,),),MATCH(内訳計算!AP$6,単価表!$AY$63:$CC$63,0)),
INDEX(単価表!$AY$64:$CC$71,MATCH($V23&amp;$W23,INDEX(単価表!$AY$64:$AY$71&amp;単価表!$AZ$64:$AZ$71,),),MATCH(内訳計算!AP$6,単価表!$AY$63:$CC$63,0))),0)*$Y23/25,0),0)</f>
        <v>0</v>
      </c>
      <c r="AQ23" s="975" cm="1">
        <f t="array" ref="AQ23">IFERROR(ROUNDDOWN(IF(HLOOKUP($U23,加算と減算!$E$4:$P$10,4,FALSE)="○",IF(OR($U23=2,$U23=3),
INDEX(単価表!$AY$64:$CC$71,MATCH($V23&amp;$W23,INDEX(単価表!$AY$64:$AY$71&amp;単価表!$AZ$64:$AZ$71,),),MATCH(内訳計算!AQ$6,単価表!$AY$63:$CC$63,0)),
INDEX(単価表!$AY$64:$CC$71,MATCH($V23&amp;$W23,INDEX(単価表!$AY$64:$AY$71&amp;単価表!$AZ$64:$AZ$71,),),MATCH(内訳計算!AQ$6,単価表!$AY$63:$CC$63,0))),0)*$Y23/25,0),0)</f>
        <v>0</v>
      </c>
      <c r="AR23" s="976" cm="1">
        <f t="array" ref="AR23">IFERROR(IF(HLOOKUP($U23,加算と減算!$E$4:$P$10,5,FALSE)="○",IF(OR($U23=2,$U23=3),
INDEX(単価表!$AY$64:$CC$71,MATCH($V23&amp;$W23,INDEX(単価表!$AY$64:$AY$71&amp;単価表!$AZ$64:$AZ$71,),),MATCH(内訳計算!AR$6,単価表!$AY$63:$CC$63,0)),
INDEX(単価表!$AY$64:$CC$71,MATCH($V23&amp;$W23,INDEX(単価表!$AY$64:$AY$71&amp;単価表!$AZ$64:$AZ$71,),),MATCH(内訳計算!AR$6,単価表!$AY$63:$CC$63,0))),0),0)</f>
        <v>0</v>
      </c>
      <c r="AS23" s="975" cm="1">
        <f t="array" ref="AS23">IFERROR(ROUNDDOWN(IF(HLOOKUP($U23,加算と減算!$E$4:$P$10,5,FALSE)="○",IF(OR($U23=2,$U23=3),
INDEX(単価表!$AY$64:$CC$71,MATCH($V23&amp;$W23,INDEX(単価表!$AY$64:$AY$71&amp;単価表!$AZ$64:$AZ$71,),),MATCH(内訳計算!AS$6,単価表!$AY$63:$CC$63,0)),
INDEX(単価表!$AY$64:$CC$71,MATCH($V23&amp;$W23,INDEX(単価表!$AY$64:$AY$71&amp;単価表!$AZ$64:$AZ$71,),),MATCH(内訳計算!AS$6,単価表!$AY$63:$CC$63,0))),0)*$Y23/25,0),0)</f>
        <v>0</v>
      </c>
      <c r="AT23" s="976" cm="1">
        <f t="array" ref="AT23">IFERROR(IF(HLOOKUP($U23,加算と減算!$E$4:$P$10,6,FALSE)="○",IF(OR($U23=2,$U23=3),
INDEX(単価表!$AY$64:$CC$71,MATCH($V23&amp;$W23,INDEX(単価表!$AY$64:$AY$71&amp;単価表!$AZ$64:$AZ$71,),),MATCH(内訳計算!AT$6,単価表!$AY$63:$CC$63,0)),
INDEX(単価表!$AY$64:$CC$71,MATCH($V23&amp;$W23,INDEX(単価表!$AY$64:$AY$71&amp;単価表!$AZ$64:$AZ$71,),),MATCH(内訳計算!AT$6,単価表!$AY$63:$CC$63,0))),0),0)</f>
        <v>0</v>
      </c>
      <c r="AU23" s="975" cm="1">
        <f t="array" ref="AU23">IFERROR(ROUNDDOWN(IF(HLOOKUP($U23,加算と減算!$E$4:$P$10,6,FALSE)="○",IF(OR($U23=2,$U23=3),
INDEX(単価表!$AY$64:$CC$71,MATCH($V23&amp;$W23,INDEX(単価表!$AY$64:$AY$71&amp;単価表!$AZ$64:$AZ$71,),),MATCH(内訳計算!AU$6,単価表!$AY$63:$CC$63,0)),
INDEX(単価表!$AY$64:$CC$71,MATCH($V23&amp;$W23,INDEX(単価表!$AY$64:$AY$71&amp;単価表!$AZ$64:$AZ$71,),),MATCH(内訳計算!AU$6,単価表!$AY$63:$CC$63,0))),0)*$Y23/25,0),0)</f>
        <v>0</v>
      </c>
      <c r="AV23" s="976" cm="1">
        <f t="array" ref="AV23">IFERROR(IF(HLOOKUP($U23,加算と減算!$E$4:$P$10,7,FALSE)="○",IF(OR($U23=2,$U23=3),
INDEX(単価表!$AY$64:$CC$71,MATCH($V23&amp;$W23,INDEX(単価表!$AY$64:$AY$71&amp;単価表!$AZ$64:$AZ$71,),),MATCH(内訳計算!AV$6,単価表!$AY$63:$CC$63,0)),
INDEX(単価表!$AY$64:$CC$71,MATCH($V23&amp;$W23,INDEX(単価表!$AY$64:$AY$71&amp;単価表!$AZ$64:$AZ$71,),),MATCH(内訳計算!AV$6,単価表!$AY$63:$CC$63,0))),0),0)</f>
        <v>0</v>
      </c>
      <c r="AW23" s="977" cm="1">
        <f t="array" ref="AW23">IFERROR(ROUNDDOWN(IF(HLOOKUP($U23,加算と減算!$E$4:$P$10,7,FALSE)="○",IF(OR($U23=2,$U23=3),
INDEX(単価表!$AY$64:$CC$71,MATCH($V23&amp;$W23,INDEX(単価表!$AY$64:$AY$71&amp;単価表!$AZ$64:$AZ$71,),),MATCH(内訳計算!AW$6,単価表!$AY$63:$CC$63,0)),
INDEX(単価表!$AY$64:$CC$71,MATCH($V23&amp;$W23,INDEX(単価表!$AY$64:$AY$71&amp;単価表!$AZ$64:$AZ$71,),),MATCH(内訳計算!AW$6,単価表!$AY$63:$CC$63,0))),0)*$Y23/25,0),0)</f>
        <v>0</v>
      </c>
      <c r="AX23" s="977" cm="1">
        <f t="array" ref="AX23">IFERROR(ROUNDDOWN(IF(HLOOKUP($U23,加算と減算!$E$4:$P$10,7,FALSE)="○",IF(OR($U23=2,$U23=3),
INDEX(単価表!$AY$64:$CC$71,MATCH($V23&amp;$W23,INDEX(単価表!$AY$64:$AY$71&amp;単価表!$AZ$64:$AZ$71,),),MATCH(内訳計算!AX$6,単価表!$AY$63:$CC$63,0)),
INDEX(単価表!$AY$64:$CC$71,MATCH($V23&amp;$W23,INDEX(単価表!$AY$64:$AY$71&amp;単価表!$AZ$64:$AZ$71,),),MATCH(内訳計算!AX$6,単価表!$AY$63:$CC$63,0))),0)*$Y23/25,0),0)</f>
        <v>0</v>
      </c>
      <c r="AY23" s="975" cm="1">
        <f t="array" ref="AY23">IFERROR(ROUNDDOWN(IF(HLOOKUP($U23,加算と減算!$E$4:$P$10,7,FALSE)="○",IF(OR($U23=2,$U23=3),
INDEX(単価表!$AY$64:$CC$71,MATCH($V23&amp;$W23,INDEX(単価表!$AY$64:$AY$71&amp;単価表!$AZ$64:$AZ$71,),),MATCH(内訳計算!AY$6,単価表!$AY$63:$CC$63,0)),
INDEX(単価表!$AY$64:$CC$71,MATCH($V23&amp;$W23,INDEX(単価表!$AY$64:$AY$71&amp;単価表!$AZ$64:$AZ$71,),),MATCH(内訳計算!AY$6,単価表!$AY$63:$CC$63,0))),0)*$Y23/25,0),0)</f>
        <v>0</v>
      </c>
      <c r="AZ23" s="976" cm="1">
        <f t="array" ref="AZ23">IFERROR(IF(X23="○",INDEX(単価表!$AY$64:$CC$71,MATCH($V23&amp;$W23,INDEX(単価表!$AY$64:$AY$71&amp;単価表!$AZ$64:$AZ$71,),),MATCH(内訳計算!AZ$6,単価表!$AY$63:$CC$63,0)),0),0)</f>
        <v>0</v>
      </c>
      <c r="BA23" s="975" cm="1">
        <f t="array" ref="BA23">IFERROR(ROUNDDOWN(INDEX(単価表!$AY$64:$CC$71,MATCH($V23&amp;$W23,INDEX(単価表!$AY$64:$AY$71&amp;単価表!$AZ$64:$AZ$71,),),MATCH(内訳計算!BA$6,単価表!$AY$63:$CC$63,0))*$Y23/25,0),0)</f>
        <v>0</v>
      </c>
      <c r="BB23" s="976" cm="1">
        <f t="array" ref="BB23">IFERROR(INDEX(単価表!$AY$64:$CC$71,MATCH($V23&amp;$W23,INDEX(単価表!$AY$64:$AY$71&amp;単価表!$AZ$64:$AZ$71,),),MATCH(内訳計算!BB$6,単価表!$AY$63:$CC$63,0)),0)</f>
        <v>0</v>
      </c>
      <c r="BC23" s="975" cm="1">
        <f t="array" ref="BC23">IFERROR(ROUNDDOWN(INDEX(単価表!$AY$64:$CC$71,MATCH($V23&amp;$W23,INDEX(単価表!$AY$64:$AY$71&amp;単価表!$AZ$64:$AZ$71,),),MATCH(内訳計算!BC$6,単価表!$AY$63:$CC$63,0))*$Y23/25,0),0)</f>
        <v>0</v>
      </c>
      <c r="BD23" s="985">
        <f>IFERROR(IF(HLOOKUP($U23,加算と減算!$E$31:$P$32,2,FALSE)="○",IF(OR($U23=2,$U23=3),-(単価表!$AZ$7+単価表!$BA$7*基本情報!$G$7),-(単価表!$AZ$7+単価表!$BA$7*基本情報!$G$7)),0),0)</f>
        <v>0</v>
      </c>
      <c r="BE23" s="986" t="e">
        <f t="shared" si="8"/>
        <v>#VALUE!</v>
      </c>
      <c r="BF23" s="986" t="e">
        <f t="shared" si="9"/>
        <v>#VALUE!</v>
      </c>
      <c r="BG23" s="987" t="e">
        <f t="shared" si="10"/>
        <v>#N/A</v>
      </c>
      <c r="BH23" s="988">
        <f>IFERROR(IF(基本情報!$E$12&lt;&gt;"",-ROUNDDOWN((AA23+AE23+AH23+AL23)*基本情報!$H$12/100,-1),0),0)</f>
        <v>0</v>
      </c>
      <c r="BI23" s="986" t="e">
        <f t="shared" si="11"/>
        <v>#VALUE!</v>
      </c>
      <c r="BJ23" s="986" t="e">
        <f t="shared" si="12"/>
        <v>#VALUE!</v>
      </c>
      <c r="BK23" s="989" t="e">
        <f t="shared" si="13"/>
        <v>#N/A</v>
      </c>
      <c r="BL23" s="990">
        <f>IFERROR(-ROUNDUP(SUM(AA23,AE23,AH23,AL23,AR23,AT23,AV23,BD23,BH23)*基本情報!$H$14/100,-1),0)</f>
        <v>0</v>
      </c>
      <c r="BM23" s="991" t="e">
        <f t="shared" si="14"/>
        <v>#VALUE!</v>
      </c>
      <c r="BN23" s="991" t="e">
        <f t="shared" si="15"/>
        <v>#VALUE!</v>
      </c>
      <c r="BO23" s="992" t="e">
        <f t="shared" si="16"/>
        <v>#N/A</v>
      </c>
      <c r="BP23" s="784"/>
      <c r="BQ23" s="784"/>
      <c r="BR23" s="784"/>
      <c r="BS23" s="784"/>
      <c r="BT23" s="721"/>
      <c r="BU23" s="1043" t="e">
        <f t="shared" si="17"/>
        <v>#VALUE!</v>
      </c>
      <c r="BV23" s="1044" t="e">
        <f t="shared" si="18"/>
        <v>#VALUE!</v>
      </c>
      <c r="BW23" s="1044" t="e">
        <f t="shared" si="19"/>
        <v>#N/A</v>
      </c>
      <c r="BX23" s="1051">
        <f t="shared" si="20"/>
        <v>0</v>
      </c>
      <c r="BY23" s="1045">
        <f t="shared" si="21"/>
        <v>0</v>
      </c>
      <c r="CB23" s="1626"/>
      <c r="CC23" s="1600"/>
      <c r="CD23" s="720" t="s">
        <v>80</v>
      </c>
      <c r="CE23" s="741" t="s">
        <v>353</v>
      </c>
      <c r="CF23" s="672">
        <f>'4月'!AQ26</f>
        <v>0</v>
      </c>
      <c r="CG23" s="672">
        <f>'5月'!AQ26</f>
        <v>0</v>
      </c>
      <c r="CH23" s="672">
        <f>'6月'!AQ26</f>
        <v>0</v>
      </c>
      <c r="CI23" s="672">
        <f>'7月'!AQ26</f>
        <v>0</v>
      </c>
      <c r="CJ23" s="672">
        <f>'8月'!AQ26</f>
        <v>0</v>
      </c>
      <c r="CK23" s="672">
        <f>'9月'!AQ26</f>
        <v>0</v>
      </c>
      <c r="CL23" s="672">
        <f>'10月'!AQ26</f>
        <v>0</v>
      </c>
      <c r="CM23" s="672">
        <f>'11月'!AQ26</f>
        <v>0</v>
      </c>
      <c r="CN23" s="672">
        <f>'12月'!AQ26</f>
        <v>0</v>
      </c>
      <c r="CO23" s="672">
        <f>'1月'!AQ26</f>
        <v>0</v>
      </c>
      <c r="CP23" s="672">
        <f>'2月'!AQ26</f>
        <v>0</v>
      </c>
      <c r="CQ23" s="756">
        <f>'3月'!AQ26</f>
        <v>0</v>
      </c>
      <c r="CR23" s="759">
        <f t="shared" si="22"/>
        <v>0</v>
      </c>
      <c r="CS23" s="1600"/>
      <c r="CT23" s="720" t="s">
        <v>80</v>
      </c>
      <c r="CU23" s="958" t="s">
        <v>353</v>
      </c>
      <c r="CV23" s="776"/>
      <c r="CW23" s="777"/>
      <c r="CX23" s="778" t="e">
        <f>CR23-CY23-CZ23</f>
        <v>#DIV/0!</v>
      </c>
      <c r="CY23" s="1055" t="e">
        <f>SUMPRODUCT($CF$1:$CQ$1,処遇Ⅰ計算用!$AA$21:$AL$21)+SUMPRODUCT($CF$1:$CQ$1,処遇Ⅰ計算用!$AA$22:$AL$22)</f>
        <v>#DIV/0!</v>
      </c>
      <c r="CZ23" s="1055" t="e">
        <f>SUMPRODUCT($CF$1:$CQ$1,処遇Ⅰ計算用!$AA$31:$AL$31)+SUMPRODUCT($CF$1:$CQ$1,処遇Ⅰ計算用!$AA$32:$AL$32)</f>
        <v>#DIV/0!</v>
      </c>
      <c r="DA23" s="721"/>
      <c r="DB23" s="721"/>
    </row>
    <row r="24" spans="1:109" ht="18.75" customHeight="1">
      <c r="A24" s="1652"/>
      <c r="B24" s="1540"/>
      <c r="C24" s="1542"/>
      <c r="D24" s="667" t="s">
        <v>7</v>
      </c>
      <c r="E24" s="668">
        <f>SUM(児童数!K18:K19)</f>
        <v>0</v>
      </c>
      <c r="F24" s="707" t="e">
        <f>'3月'!K6</f>
        <v>#VALUE!</v>
      </c>
      <c r="G24" s="668">
        <f>G18</f>
        <v>1809</v>
      </c>
      <c r="H24" s="668" t="e">
        <f t="shared" ref="H24:H26" si="32">H11</f>
        <v>#N/A</v>
      </c>
      <c r="I24" s="668" t="e">
        <f>F24-G24-H24</f>
        <v>#VALUE!</v>
      </c>
      <c r="J24" s="668" t="e">
        <f t="shared" ref="J24:J26" si="33">E24*I24</f>
        <v>#VALUE!</v>
      </c>
      <c r="K24" s="668">
        <f t="shared" ref="K24:K26" si="34">E24*G24</f>
        <v>0</v>
      </c>
      <c r="L24" s="706" t="e">
        <f t="shared" ref="L24:L26" si="35">E24*H24</f>
        <v>#N/A</v>
      </c>
      <c r="M24" s="674"/>
      <c r="N24" s="1080"/>
      <c r="O24" s="1086"/>
      <c r="P24" s="1086"/>
      <c r="Q24" s="1085"/>
      <c r="R24" s="1085"/>
      <c r="T24" s="682">
        <v>18</v>
      </c>
      <c r="U24" s="918">
        <f>月途中入退所情報!D25</f>
        <v>0</v>
      </c>
      <c r="V24" s="918">
        <f>月途中入退所情報!H25</f>
        <v>0</v>
      </c>
      <c r="W24" s="918">
        <f>月途中入退所情報!G25</f>
        <v>0</v>
      </c>
      <c r="X24" s="945">
        <f>月途中入退所情報!I25</f>
        <v>0</v>
      </c>
      <c r="Y24" s="918">
        <f>月途中入退所情報!J25</f>
        <v>0</v>
      </c>
      <c r="Z24" s="840">
        <f t="shared" si="6"/>
        <v>0</v>
      </c>
      <c r="AA24" s="976" cm="1">
        <f t="array" ref="AA24">IFERROR(IF(OR($U24=2,$U24=3),
INDEX(単価表!$AY$64:$CC$71,MATCH($V24&amp;$W24,INDEX(単価表!$AY$64:$AY$71&amp;単価表!$AZ$64:$AZ$71,),),MATCH(内訳計算!AA$6,単価表!$AY$63:$CC$63,0)),
INDEX(単価表!$AY$64:$CC$71,MATCH($V24&amp;$W24,INDEX(単価表!$AY$64:$AY$71&amp;単価表!$AZ$64:$AZ$71,),),MATCH(内訳計算!AA$6,単価表!$AY$63:$CC$63,0))),0)</f>
        <v>0</v>
      </c>
      <c r="AB24" s="977" t="e">
        <f t="shared" si="7"/>
        <v>#VALUE!</v>
      </c>
      <c r="AC24" s="977" cm="1">
        <f t="array" ref="AC24">IFERROR(ROUNDDOWN(IF(OR($U24=2,$U24=3),
INDEX(単価表!$AY$64:$CC$71,MATCH($V24&amp;$W24,INDEX(単価表!$AY$64:$AY$71&amp;単価表!$AZ$64:$AZ$71,),),MATCH(内訳計算!AC$6,単価表!$AY$63:$CC$63,0)),
INDEX(単価表!$AY$64:$CC$71,MATCH($V24&amp;$W24,INDEX(単価表!$AY$64:$AY$71&amp;単価表!$AZ$64:$AZ$71,),),MATCH(内訳計算!AC$6,単価表!$AY$63:$CC$63,0)))*$Y24/25,0),0)</f>
        <v>0</v>
      </c>
      <c r="AD24" s="975" cm="1">
        <f t="array" ref="AD24">IFERROR(ROUNDDOWN(IF(OR($U24=2,$U24=3),
INDEX(単価表!$AY$64:$CC$71,MATCH($V24&amp;$W24,INDEX(単価表!$AY$64:$AY$71&amp;単価表!$AZ$64:$AZ$71,),),MATCH(内訳計算!AD$6,単価表!$AY$63:$CC$63,0)),
INDEX(単価表!$AY$64:$CC$71,MATCH($V24&amp;$W24,INDEX(単価表!$AY$64:$AY$71&amp;単価表!$AZ$64:$AZ$71,),),MATCH(内訳計算!AD$6,単価表!$AY$63:$CC$63,0)))*$Y24/25,0),0)</f>
        <v>0</v>
      </c>
      <c r="AE24" s="976" cm="1">
        <f t="array" ref="AE24">IFERROR(IF(OR($U24=2,$U24=3),
INDEX(単価表!$AY$64:$CC$71,MATCH($V24&amp;$W24,INDEX(単価表!$AY$64:$AY$71&amp;単価表!$AZ$64:$AZ$71,),),MATCH(内訳計算!AE$6,単価表!$AY$63:$CC$63,0)),
INDEX(単価表!$AY$64:$CC$71,MATCH($V24&amp;$W24,INDEX(単価表!$AY$64:$AY$71&amp;単価表!$AZ$64:$AZ$71,),),MATCH(内訳計算!AE$6,単価表!$AY$63:$CC$63,0))),0)</f>
        <v>0</v>
      </c>
      <c r="AF24" s="977" cm="1">
        <f t="array" ref="AF24">IFERROR(ROUNDDOWN(IF(OR($U24=2,$U24=3),
INDEX(単価表!$AY$64:$CC$71,MATCH($V24&amp;$W24,INDEX(単価表!$AY$64:$AY$71&amp;単価表!$AZ$64:$AZ$71,),),MATCH(内訳計算!AF$6,単価表!$AY$63:$CC$63,0)),
INDEX(単価表!$AY$64:$CC$71,MATCH($V24&amp;$W24,INDEX(単価表!$AY$64:$AY$71&amp;単価表!$AZ$64:$AZ$71,),),MATCH(内訳計算!AF$6,単価表!$AY$63:$CC$63,0)))*$Y24/25,0),0)</f>
        <v>0</v>
      </c>
      <c r="AG24" s="975" cm="1">
        <f t="array" ref="AG24">IFERROR(ROUNDDOWN(IF(OR($U24=2,$U24=3),
INDEX(単価表!$AY$64:$CC$71,MATCH($V24&amp;$W24,INDEX(単価表!$AY$64:$AY$71&amp;単価表!$AZ$64:$AZ$71,),),MATCH(内訳計算!AG$6,単価表!$AY$63:$CC$63,0)),
INDEX(単価表!$AY$64:$CC$71,MATCH($V24&amp;$W24,INDEX(単価表!$AY$64:$AY$71&amp;単価表!$AZ$64:$AZ$71,),),MATCH(内訳計算!AG$6,単価表!$AY$63:$CC$63,0)))*$Y24/25,0),0)</f>
        <v>0</v>
      </c>
      <c r="AH24" s="976" cm="1">
        <f t="array" ref="AH24">IFERROR(IF(HLOOKUP($U24,加算と減算!$E$4:$P$10,2,FALSE)="○",IF(OR($U24=2,$U24=3),
INDEX(単価表!$AY$64:$CC$71,MATCH($V24&amp;$W24,INDEX(単価表!$AY$64:$AY$71&amp;単価表!$AZ$64:$AZ$71,),),MATCH(内訳計算!AH$6,単価表!$AY$63:$CC$63,0)),
INDEX(単価表!$AY$64:$CC$71,MATCH($V24&amp;$W24,INDEX(単価表!$AY$64:$AY$71&amp;単価表!$AZ$64:$AZ$71,),),MATCH(内訳計算!AH$6,単価表!$AY$63:$CC$63,0))),0),0)</f>
        <v>0</v>
      </c>
      <c r="AI24" s="978" cm="1">
        <f t="array" ref="AI24">IFERROR(ROUNDDOWN(IF(HLOOKUP($U24,加算と減算!$E$4:$P$10,2,FALSE)="○",IF(OR($U24=2,$U24=3),
INDEX(単価表!$AY$64:$CC$71,MATCH($V24&amp;$W24,INDEX(単価表!$AY$64:$AY$71&amp;単価表!$AZ$64:$AZ$71,),),MATCH(内訳計算!AI$6,単価表!$AY$63:$CC$63,0)),
INDEX(単価表!$AY$64:$CC$71,MATCH($V24&amp;$W24,INDEX(単価表!$AY$64:$AY$71&amp;単価表!$AZ$64:$AZ$71,),),MATCH(内訳計算!AI$6,単価表!$AY$63:$CC$63,0))),0)*$Y24/25,0),0)</f>
        <v>0</v>
      </c>
      <c r="AJ24" s="977" cm="1">
        <f t="array" ref="AJ24">IFERROR(ROUNDDOWN(IF(HLOOKUP($U24,加算と減算!$E$4:$P$10,2,FALSE)="○",IF(OR($U24=2,$U24=3),
INDEX(単価表!$AY$64:$CC$71,MATCH($V24&amp;$W24,INDEX(単価表!$AY$64:$AY$71&amp;単価表!$AZ$64:$AZ$71,),),MATCH(内訳計算!AJ$6,単価表!$AY$63:$CC$63,0)),
INDEX(単価表!$AY$64:$CC$71,MATCH($V24&amp;$W24,INDEX(単価表!$AY$64:$AY$71&amp;単価表!$AZ$64:$AZ$71,),),MATCH(内訳計算!AJ$6,単価表!$AY$63:$CC$63,0))),0)*$Y24/25,0),0)</f>
        <v>0</v>
      </c>
      <c r="AK24" s="975" cm="1">
        <f t="array" ref="AK24">IFERROR(ROUNDDOWN(IF(HLOOKUP($U24,加算と減算!$E$4:$P$10,2,FALSE)="○",IF(OR($U24=2,$U24=3),
INDEX(単価表!$AY$64:$CC$71,MATCH($V24&amp;$W24,INDEX(単価表!$AY$64:$AY$71&amp;単価表!$AZ$64:$AZ$71,),),MATCH(内訳計算!AK$6,単価表!$AY$63:$CC$63,0)),
INDEX(単価表!$AY$64:$CC$71,MATCH($V24&amp;$W24,INDEX(単価表!$AY$64:$AY$71&amp;単価表!$AZ$64:$AZ$71,),),MATCH(内訳計算!AK$6,単価表!$AY$63:$CC$63,0))),0)*$Y24/25,0),0)</f>
        <v>0</v>
      </c>
      <c r="AL24" s="976" cm="1">
        <f t="array" ref="AL24">IFERROR(IF(HLOOKUP($U24,加算と減算!$E$4:$P$10,4,FALSE)="○",IF(OR($U24=2,$U24=3),
INDEX(単価表!$AY$64:$CC$71,MATCH($V24&amp;$W24,INDEX(単価表!$AY$64:$AY$71&amp;単価表!$AZ$64:$AZ$71,),),MATCH(内訳計算!AL$6,単価表!$AY$63:$CC$63,0)),
INDEX(単価表!$AY$64:$CC$71,MATCH($V24&amp;$W24,INDEX(単価表!$AY$64:$AY$71&amp;単価表!$AZ$64:$AZ$71,),),MATCH(内訳計算!AL$6,単価表!$AY$63:$CC$63,0))),0),0)</f>
        <v>0</v>
      </c>
      <c r="AM24" s="977" cm="1">
        <f t="array" ref="AM24">IFERROR(ROUNDDOWN(IF(HLOOKUP($U24,加算と減算!$E$4:$P$10,4,FALSE)="○",IF(OR($U24=2,$U24=3),
INDEX(単価表!$AY$64:$CC$71,MATCH($V24&amp;$W24,INDEX(単価表!$AY$64:$AY$71&amp;単価表!$AZ$64:$AZ$71,),),MATCH(内訳計算!AM$6,単価表!$AY$63:$CC$63,0)),
INDEX(単価表!$AY$64:$CC$71,MATCH($V24&amp;$W24,INDEX(単価表!$AY$64:$AY$71&amp;単価表!$AZ$64:$AZ$71,),),MATCH(内訳計算!AM$6,単価表!$AY$63:$CC$63,0))),0)*$Y24/25,0),0)</f>
        <v>0</v>
      </c>
      <c r="AN24" s="977" cm="1">
        <f t="array" ref="AN24">IFERROR(ROUNDDOWN(IF(HLOOKUP($U24,加算と減算!$E$4:$P$10,4,FALSE)="○",IF(OR($U24=2,$U24=3),
INDEX(単価表!$AY$64:$CC$71,MATCH($V24&amp;$W24,INDEX(単価表!$AY$64:$AY$71&amp;単価表!$AZ$64:$AZ$71,),),MATCH(内訳計算!AN$6,単価表!$AY$63:$CC$63,0)),
INDEX(単価表!$AY$64:$CC$71,MATCH($V24&amp;$W24,INDEX(単価表!$AY$64:$AY$71&amp;単価表!$AZ$64:$AZ$71,),),MATCH(内訳計算!AN$6,単価表!$AY$63:$CC$63,0))),0)*$Y24/25,0),0)</f>
        <v>0</v>
      </c>
      <c r="AO24" s="977" cm="1">
        <f t="array" ref="AO24">IFERROR(ROUNDDOWN(IF(HLOOKUP($U24,加算と減算!$E$4:$P$10,4,FALSE)="○",IF(OR($U24=2,$U24=3),
INDEX(単価表!$AY$64:$CC$71,MATCH($V24&amp;$W24,INDEX(単価表!$AY$64:$AY$71&amp;単価表!$AZ$64:$AZ$71,),),MATCH(内訳計算!AO$6,単価表!$AY$63:$CC$63,0)),
INDEX(単価表!$AY$64:$CC$71,MATCH($V24&amp;$W24,INDEX(単価表!$AY$64:$AY$71&amp;単価表!$AZ$64:$AZ$71,),),MATCH(内訳計算!AO$6,単価表!$AY$63:$CC$63,0))),0)*$Y24/25,0),0)</f>
        <v>0</v>
      </c>
      <c r="AP24" s="977" cm="1">
        <f t="array" ref="AP24">IFERROR(ROUNDDOWN(IF(HLOOKUP($U24,加算と減算!$E$4:$P$10,4,FALSE)="○",IF(OR($U24=2,$U24=3),
INDEX(単価表!$AY$64:$CC$71,MATCH($V24&amp;$W24,INDEX(単価表!$AY$64:$AY$71&amp;単価表!$AZ$64:$AZ$71,),),MATCH(内訳計算!AP$6,単価表!$AY$63:$CC$63,0)),
INDEX(単価表!$AY$64:$CC$71,MATCH($V24&amp;$W24,INDEX(単価表!$AY$64:$AY$71&amp;単価表!$AZ$64:$AZ$71,),),MATCH(内訳計算!AP$6,単価表!$AY$63:$CC$63,0))),0)*$Y24/25,0),0)</f>
        <v>0</v>
      </c>
      <c r="AQ24" s="975" cm="1">
        <f t="array" ref="AQ24">IFERROR(ROUNDDOWN(IF(HLOOKUP($U24,加算と減算!$E$4:$P$10,4,FALSE)="○",IF(OR($U24=2,$U24=3),
INDEX(単価表!$AY$64:$CC$71,MATCH($V24&amp;$W24,INDEX(単価表!$AY$64:$AY$71&amp;単価表!$AZ$64:$AZ$71,),),MATCH(内訳計算!AQ$6,単価表!$AY$63:$CC$63,0)),
INDEX(単価表!$AY$64:$CC$71,MATCH($V24&amp;$W24,INDEX(単価表!$AY$64:$AY$71&amp;単価表!$AZ$64:$AZ$71,),),MATCH(内訳計算!AQ$6,単価表!$AY$63:$CC$63,0))),0)*$Y24/25,0),0)</f>
        <v>0</v>
      </c>
      <c r="AR24" s="976" cm="1">
        <f t="array" ref="AR24">IFERROR(IF(HLOOKUP($U24,加算と減算!$E$4:$P$10,5,FALSE)="○",IF(OR($U24=2,$U24=3),
INDEX(単価表!$AY$64:$CC$71,MATCH($V24&amp;$W24,INDEX(単価表!$AY$64:$AY$71&amp;単価表!$AZ$64:$AZ$71,),),MATCH(内訳計算!AR$6,単価表!$AY$63:$CC$63,0)),
INDEX(単価表!$AY$64:$CC$71,MATCH($V24&amp;$W24,INDEX(単価表!$AY$64:$AY$71&amp;単価表!$AZ$64:$AZ$71,),),MATCH(内訳計算!AR$6,単価表!$AY$63:$CC$63,0))),0),0)</f>
        <v>0</v>
      </c>
      <c r="AS24" s="975" cm="1">
        <f t="array" ref="AS24">IFERROR(ROUNDDOWN(IF(HLOOKUP($U24,加算と減算!$E$4:$P$10,5,FALSE)="○",IF(OR($U24=2,$U24=3),
INDEX(単価表!$AY$64:$CC$71,MATCH($V24&amp;$W24,INDEX(単価表!$AY$64:$AY$71&amp;単価表!$AZ$64:$AZ$71,),),MATCH(内訳計算!AS$6,単価表!$AY$63:$CC$63,0)),
INDEX(単価表!$AY$64:$CC$71,MATCH($V24&amp;$W24,INDEX(単価表!$AY$64:$AY$71&amp;単価表!$AZ$64:$AZ$71,),),MATCH(内訳計算!AS$6,単価表!$AY$63:$CC$63,0))),0)*$Y24/25,0),0)</f>
        <v>0</v>
      </c>
      <c r="AT24" s="976" cm="1">
        <f t="array" ref="AT24">IFERROR(IF(HLOOKUP($U24,加算と減算!$E$4:$P$10,6,FALSE)="○",IF(OR($U24=2,$U24=3),
INDEX(単価表!$AY$64:$CC$71,MATCH($V24&amp;$W24,INDEX(単価表!$AY$64:$AY$71&amp;単価表!$AZ$64:$AZ$71,),),MATCH(内訳計算!AT$6,単価表!$AY$63:$CC$63,0)),
INDEX(単価表!$AY$64:$CC$71,MATCH($V24&amp;$W24,INDEX(単価表!$AY$64:$AY$71&amp;単価表!$AZ$64:$AZ$71,),),MATCH(内訳計算!AT$6,単価表!$AY$63:$CC$63,0))),0),0)</f>
        <v>0</v>
      </c>
      <c r="AU24" s="975" cm="1">
        <f t="array" ref="AU24">IFERROR(ROUNDDOWN(IF(HLOOKUP($U24,加算と減算!$E$4:$P$10,6,FALSE)="○",IF(OR($U24=2,$U24=3),
INDEX(単価表!$AY$64:$CC$71,MATCH($V24&amp;$W24,INDEX(単価表!$AY$64:$AY$71&amp;単価表!$AZ$64:$AZ$71,),),MATCH(内訳計算!AU$6,単価表!$AY$63:$CC$63,0)),
INDEX(単価表!$AY$64:$CC$71,MATCH($V24&amp;$W24,INDEX(単価表!$AY$64:$AY$71&amp;単価表!$AZ$64:$AZ$71,),),MATCH(内訳計算!AU$6,単価表!$AY$63:$CC$63,0))),0)*$Y24/25,0),0)</f>
        <v>0</v>
      </c>
      <c r="AV24" s="976" cm="1">
        <f t="array" ref="AV24">IFERROR(IF(HLOOKUP($U24,加算と減算!$E$4:$P$10,7,FALSE)="○",IF(OR($U24=2,$U24=3),
INDEX(単価表!$AY$64:$CC$71,MATCH($V24&amp;$W24,INDEX(単価表!$AY$64:$AY$71&amp;単価表!$AZ$64:$AZ$71,),),MATCH(内訳計算!AV$6,単価表!$AY$63:$CC$63,0)),
INDEX(単価表!$AY$64:$CC$71,MATCH($V24&amp;$W24,INDEX(単価表!$AY$64:$AY$71&amp;単価表!$AZ$64:$AZ$71,),),MATCH(内訳計算!AV$6,単価表!$AY$63:$CC$63,0))),0),0)</f>
        <v>0</v>
      </c>
      <c r="AW24" s="977" cm="1">
        <f t="array" ref="AW24">IFERROR(ROUNDDOWN(IF(HLOOKUP($U24,加算と減算!$E$4:$P$10,7,FALSE)="○",IF(OR($U24=2,$U24=3),
INDEX(単価表!$AY$64:$CC$71,MATCH($V24&amp;$W24,INDEX(単価表!$AY$64:$AY$71&amp;単価表!$AZ$64:$AZ$71,),),MATCH(内訳計算!AW$6,単価表!$AY$63:$CC$63,0)),
INDEX(単価表!$AY$64:$CC$71,MATCH($V24&amp;$W24,INDEX(単価表!$AY$64:$AY$71&amp;単価表!$AZ$64:$AZ$71,),),MATCH(内訳計算!AW$6,単価表!$AY$63:$CC$63,0))),0)*$Y24/25,0),0)</f>
        <v>0</v>
      </c>
      <c r="AX24" s="977" cm="1">
        <f t="array" ref="AX24">IFERROR(ROUNDDOWN(IF(HLOOKUP($U24,加算と減算!$E$4:$P$10,7,FALSE)="○",IF(OR($U24=2,$U24=3),
INDEX(単価表!$AY$64:$CC$71,MATCH($V24&amp;$W24,INDEX(単価表!$AY$64:$AY$71&amp;単価表!$AZ$64:$AZ$71,),),MATCH(内訳計算!AX$6,単価表!$AY$63:$CC$63,0)),
INDEX(単価表!$AY$64:$CC$71,MATCH($V24&amp;$W24,INDEX(単価表!$AY$64:$AY$71&amp;単価表!$AZ$64:$AZ$71,),),MATCH(内訳計算!AX$6,単価表!$AY$63:$CC$63,0))),0)*$Y24/25,0),0)</f>
        <v>0</v>
      </c>
      <c r="AY24" s="975" cm="1">
        <f t="array" ref="AY24">IFERROR(ROUNDDOWN(IF(HLOOKUP($U24,加算と減算!$E$4:$P$10,7,FALSE)="○",IF(OR($U24=2,$U24=3),
INDEX(単価表!$AY$64:$CC$71,MATCH($V24&amp;$W24,INDEX(単価表!$AY$64:$AY$71&amp;単価表!$AZ$64:$AZ$71,),),MATCH(内訳計算!AY$6,単価表!$AY$63:$CC$63,0)),
INDEX(単価表!$AY$64:$CC$71,MATCH($V24&amp;$W24,INDEX(単価表!$AY$64:$AY$71&amp;単価表!$AZ$64:$AZ$71,),),MATCH(内訳計算!AY$6,単価表!$AY$63:$CC$63,0))),0)*$Y24/25,0),0)</f>
        <v>0</v>
      </c>
      <c r="AZ24" s="976" cm="1">
        <f t="array" ref="AZ24">IFERROR(IF(X24="○",INDEX(単価表!$AY$64:$CC$71,MATCH($V24&amp;$W24,INDEX(単価表!$AY$64:$AY$71&amp;単価表!$AZ$64:$AZ$71,),),MATCH(内訳計算!AZ$6,単価表!$AY$63:$CC$63,0)),0),0)</f>
        <v>0</v>
      </c>
      <c r="BA24" s="975" cm="1">
        <f t="array" ref="BA24">IFERROR(ROUNDDOWN(INDEX(単価表!$AY$64:$CC$71,MATCH($V24&amp;$W24,INDEX(単価表!$AY$64:$AY$71&amp;単価表!$AZ$64:$AZ$71,),),MATCH(内訳計算!BA$6,単価表!$AY$63:$CC$63,0))*$Y24/25,0),0)</f>
        <v>0</v>
      </c>
      <c r="BB24" s="976" cm="1">
        <f t="array" ref="BB24">IFERROR(INDEX(単価表!$AY$64:$CC$71,MATCH($V24&amp;$W24,INDEX(単価表!$AY$64:$AY$71&amp;単価表!$AZ$64:$AZ$71,),),MATCH(内訳計算!BB$6,単価表!$AY$63:$CC$63,0)),0)</f>
        <v>0</v>
      </c>
      <c r="BC24" s="975" cm="1">
        <f t="array" ref="BC24">IFERROR(ROUNDDOWN(INDEX(単価表!$AY$64:$CC$71,MATCH($V24&amp;$W24,INDEX(単価表!$AY$64:$AY$71&amp;単価表!$AZ$64:$AZ$71,),),MATCH(内訳計算!BC$6,単価表!$AY$63:$CC$63,0))*$Y24/25,0),0)</f>
        <v>0</v>
      </c>
      <c r="BD24" s="985">
        <f>IFERROR(IF(HLOOKUP($U24,加算と減算!$E$31:$P$32,2,FALSE)="○",IF(OR($U24=2,$U24=3),-(単価表!$AZ$7+単価表!$BA$7*基本情報!$G$7),-(単価表!$AZ$7+単価表!$BA$7*基本情報!$G$7)),0),0)</f>
        <v>0</v>
      </c>
      <c r="BE24" s="986" t="e">
        <f t="shared" si="8"/>
        <v>#VALUE!</v>
      </c>
      <c r="BF24" s="986" t="e">
        <f t="shared" si="9"/>
        <v>#VALUE!</v>
      </c>
      <c r="BG24" s="987" t="e">
        <f t="shared" si="10"/>
        <v>#N/A</v>
      </c>
      <c r="BH24" s="988">
        <f>IFERROR(IF(基本情報!$E$12&lt;&gt;"",-ROUNDDOWN((AA24+AE24+AH24+AL24)*基本情報!$H$12/100,-1),0),0)</f>
        <v>0</v>
      </c>
      <c r="BI24" s="986" t="e">
        <f t="shared" si="11"/>
        <v>#VALUE!</v>
      </c>
      <c r="BJ24" s="986" t="e">
        <f t="shared" si="12"/>
        <v>#VALUE!</v>
      </c>
      <c r="BK24" s="989" t="e">
        <f t="shared" si="13"/>
        <v>#N/A</v>
      </c>
      <c r="BL24" s="990">
        <f>IFERROR(-ROUNDUP(SUM(AA24,AE24,AH24,AL24,AR24,AT24,AV24,BD24,BH24)*基本情報!$H$14/100,-1),0)</f>
        <v>0</v>
      </c>
      <c r="BM24" s="991" t="e">
        <f t="shared" si="14"/>
        <v>#VALUE!</v>
      </c>
      <c r="BN24" s="991" t="e">
        <f t="shared" si="15"/>
        <v>#VALUE!</v>
      </c>
      <c r="BO24" s="992" t="e">
        <f t="shared" si="16"/>
        <v>#N/A</v>
      </c>
      <c r="BP24" s="701"/>
      <c r="BQ24" s="701"/>
      <c r="BR24" s="701"/>
      <c r="BS24" s="701"/>
      <c r="BT24" s="721"/>
      <c r="BU24" s="1043" t="e">
        <f t="shared" si="17"/>
        <v>#VALUE!</v>
      </c>
      <c r="BV24" s="1044" t="e">
        <f t="shared" si="18"/>
        <v>#VALUE!</v>
      </c>
      <c r="BW24" s="1044" t="e">
        <f t="shared" si="19"/>
        <v>#N/A</v>
      </c>
      <c r="BX24" s="1051">
        <f t="shared" si="20"/>
        <v>0</v>
      </c>
      <c r="BY24" s="1045">
        <f t="shared" si="21"/>
        <v>0</v>
      </c>
      <c r="CB24" s="1626"/>
      <c r="CC24" s="1600"/>
      <c r="CD24" s="719" t="s">
        <v>78</v>
      </c>
      <c r="CE24" s="741" t="s">
        <v>353</v>
      </c>
      <c r="CF24" s="742"/>
      <c r="CG24" s="742"/>
      <c r="CH24" s="742"/>
      <c r="CI24" s="742"/>
      <c r="CJ24" s="742"/>
      <c r="CK24" s="742"/>
      <c r="CL24" s="742"/>
      <c r="CM24" s="742"/>
      <c r="CN24" s="742"/>
      <c r="CO24" s="742"/>
      <c r="CP24" s="742"/>
      <c r="CQ24" s="756">
        <f>'3月'!AQ27</f>
        <v>0</v>
      </c>
      <c r="CR24" s="759">
        <f t="shared" si="22"/>
        <v>0</v>
      </c>
      <c r="CS24" s="1600"/>
      <c r="CT24" s="719" t="s">
        <v>78</v>
      </c>
      <c r="CU24" s="958" t="s">
        <v>353</v>
      </c>
      <c r="CV24" s="776"/>
      <c r="CW24" s="776"/>
      <c r="CX24" s="778">
        <f t="shared" ref="CX24:CX29" si="36">CR24</f>
        <v>0</v>
      </c>
      <c r="CY24" s="954"/>
      <c r="CZ24" s="954"/>
      <c r="DA24" s="721"/>
      <c r="DB24" s="721"/>
    </row>
    <row r="25" spans="1:109" ht="18.75" customHeight="1">
      <c r="A25" s="1652"/>
      <c r="B25" s="1540"/>
      <c r="C25" s="1542"/>
      <c r="D25" s="667" t="s">
        <v>8</v>
      </c>
      <c r="E25" s="668">
        <f>SUM(児童数!L18:L19)</f>
        <v>0</v>
      </c>
      <c r="F25" s="668" t="e">
        <f>'3月'!L6</f>
        <v>#VALUE!</v>
      </c>
      <c r="G25" s="668">
        <f>G19</f>
        <v>10478</v>
      </c>
      <c r="H25" s="668" t="e">
        <f t="shared" si="32"/>
        <v>#N/A</v>
      </c>
      <c r="I25" s="668" t="e">
        <f>F25-G25-H25</f>
        <v>#VALUE!</v>
      </c>
      <c r="J25" s="668" t="e">
        <f t="shared" si="33"/>
        <v>#VALUE!</v>
      </c>
      <c r="K25" s="668">
        <f t="shared" si="34"/>
        <v>0</v>
      </c>
      <c r="L25" s="706" t="e">
        <f t="shared" si="35"/>
        <v>#N/A</v>
      </c>
      <c r="M25" s="674"/>
      <c r="N25" s="1080"/>
      <c r="O25" s="1086"/>
      <c r="P25" s="1086"/>
      <c r="Q25" s="1085"/>
      <c r="R25" s="1085"/>
      <c r="T25" s="682">
        <v>19</v>
      </c>
      <c r="U25" s="918">
        <f>月途中入退所情報!D26</f>
        <v>0</v>
      </c>
      <c r="V25" s="918">
        <f>月途中入退所情報!H26</f>
        <v>0</v>
      </c>
      <c r="W25" s="918">
        <f>月途中入退所情報!G26</f>
        <v>0</v>
      </c>
      <c r="X25" s="945">
        <f>月途中入退所情報!I26</f>
        <v>0</v>
      </c>
      <c r="Y25" s="918">
        <f>月途中入退所情報!J26</f>
        <v>0</v>
      </c>
      <c r="Z25" s="993">
        <f t="shared" si="6"/>
        <v>0</v>
      </c>
      <c r="AA25" s="976" cm="1">
        <f t="array" ref="AA25">IFERROR(IF(OR($U25=2,$U25=3),
INDEX(単価表!$AY$64:$CC$71,MATCH($V25&amp;$W25,INDEX(単価表!$AY$64:$AY$71&amp;単価表!$AZ$64:$AZ$71,),),MATCH(内訳計算!AA$6,単価表!$AY$63:$CC$63,0)),
INDEX(単価表!$AY$64:$CC$71,MATCH($V25&amp;$W25,INDEX(単価表!$AY$64:$AY$71&amp;単価表!$AZ$64:$AZ$71,),),MATCH(内訳計算!AA$6,単価表!$AY$63:$CC$63,0))),0)</f>
        <v>0</v>
      </c>
      <c r="AB25" s="977" t="e">
        <f t="shared" si="7"/>
        <v>#VALUE!</v>
      </c>
      <c r="AC25" s="977" cm="1">
        <f t="array" ref="AC25">IFERROR(ROUNDDOWN(IF(OR($U25=2,$U25=3),
INDEX(単価表!$AY$64:$CC$71,MATCH($V25&amp;$W25,INDEX(単価表!$AY$64:$AY$71&amp;単価表!$AZ$64:$AZ$71,),),MATCH(内訳計算!AC$6,単価表!$AY$63:$CC$63,0)),
INDEX(単価表!$AY$64:$CC$71,MATCH($V25&amp;$W25,INDEX(単価表!$AY$64:$AY$71&amp;単価表!$AZ$64:$AZ$71,),),MATCH(内訳計算!AC$6,単価表!$AY$63:$CC$63,0)))*$Y25/25,0),0)</f>
        <v>0</v>
      </c>
      <c r="AD25" s="975" cm="1">
        <f t="array" ref="AD25">IFERROR(ROUNDDOWN(IF(OR($U25=2,$U25=3),
INDEX(単価表!$AY$64:$CC$71,MATCH($V25&amp;$W25,INDEX(単価表!$AY$64:$AY$71&amp;単価表!$AZ$64:$AZ$71,),),MATCH(内訳計算!AD$6,単価表!$AY$63:$CC$63,0)),
INDEX(単価表!$AY$64:$CC$71,MATCH($V25&amp;$W25,INDEX(単価表!$AY$64:$AY$71&amp;単価表!$AZ$64:$AZ$71,),),MATCH(内訳計算!AD$6,単価表!$AY$63:$CC$63,0)))*$Y25/25,0),0)</f>
        <v>0</v>
      </c>
      <c r="AE25" s="976" cm="1">
        <f t="array" ref="AE25">IFERROR(IF(OR($U25=2,$U25=3),
INDEX(単価表!$AY$64:$CC$71,MATCH($V25&amp;$W25,INDEX(単価表!$AY$64:$AY$71&amp;単価表!$AZ$64:$AZ$71,),),MATCH(内訳計算!AE$6,単価表!$AY$63:$CC$63,0)),
INDEX(単価表!$AY$64:$CC$71,MATCH($V25&amp;$W25,INDEX(単価表!$AY$64:$AY$71&amp;単価表!$AZ$64:$AZ$71,),),MATCH(内訳計算!AE$6,単価表!$AY$63:$CC$63,0))),0)</f>
        <v>0</v>
      </c>
      <c r="AF25" s="977" cm="1">
        <f t="array" ref="AF25">IFERROR(ROUNDDOWN(IF(OR($U25=2,$U25=3),
INDEX(単価表!$AY$64:$CC$71,MATCH($V25&amp;$W25,INDEX(単価表!$AY$64:$AY$71&amp;単価表!$AZ$64:$AZ$71,),),MATCH(内訳計算!AF$6,単価表!$AY$63:$CC$63,0)),
INDEX(単価表!$AY$64:$CC$71,MATCH($V25&amp;$W25,INDEX(単価表!$AY$64:$AY$71&amp;単価表!$AZ$64:$AZ$71,),),MATCH(内訳計算!AF$6,単価表!$AY$63:$CC$63,0)))*$Y25/25,0),0)</f>
        <v>0</v>
      </c>
      <c r="AG25" s="975" cm="1">
        <f t="array" ref="AG25">IFERROR(ROUNDDOWN(IF(OR($U25=2,$U25=3),
INDEX(単価表!$AY$64:$CC$71,MATCH($V25&amp;$W25,INDEX(単価表!$AY$64:$AY$71&amp;単価表!$AZ$64:$AZ$71,),),MATCH(内訳計算!AG$6,単価表!$AY$63:$CC$63,0)),
INDEX(単価表!$AY$64:$CC$71,MATCH($V25&amp;$W25,INDEX(単価表!$AY$64:$AY$71&amp;単価表!$AZ$64:$AZ$71,),),MATCH(内訳計算!AG$6,単価表!$AY$63:$CC$63,0)))*$Y25/25,0),0)</f>
        <v>0</v>
      </c>
      <c r="AH25" s="976" cm="1">
        <f t="array" ref="AH25">IFERROR(IF(HLOOKUP($U25,加算と減算!$E$4:$P$10,2,FALSE)="○",IF(OR($U25=2,$U25=3),
INDEX(単価表!$AY$64:$CC$71,MATCH($V25&amp;$W25,INDEX(単価表!$AY$64:$AY$71&amp;単価表!$AZ$64:$AZ$71,),),MATCH(内訳計算!AH$6,単価表!$AY$63:$CC$63,0)),
INDEX(単価表!$AY$64:$CC$71,MATCH($V25&amp;$W25,INDEX(単価表!$AY$64:$AY$71&amp;単価表!$AZ$64:$AZ$71,),),MATCH(内訳計算!AH$6,単価表!$AY$63:$CC$63,0))),0),0)</f>
        <v>0</v>
      </c>
      <c r="AI25" s="978" cm="1">
        <f t="array" ref="AI25">IFERROR(ROUNDDOWN(IF(HLOOKUP($U25,加算と減算!$E$4:$P$10,2,FALSE)="○",IF(OR($U25=2,$U25=3),
INDEX(単価表!$AY$64:$CC$71,MATCH($V25&amp;$W25,INDEX(単価表!$AY$64:$AY$71&amp;単価表!$AZ$64:$AZ$71,),),MATCH(内訳計算!AI$6,単価表!$AY$63:$CC$63,0)),
INDEX(単価表!$AY$64:$CC$71,MATCH($V25&amp;$W25,INDEX(単価表!$AY$64:$AY$71&amp;単価表!$AZ$64:$AZ$71,),),MATCH(内訳計算!AI$6,単価表!$AY$63:$CC$63,0))),0)*$Y25/25,0),0)</f>
        <v>0</v>
      </c>
      <c r="AJ25" s="977" cm="1">
        <f t="array" ref="AJ25">IFERROR(ROUNDDOWN(IF(HLOOKUP($U25,加算と減算!$E$4:$P$10,2,FALSE)="○",IF(OR($U25=2,$U25=3),
INDEX(単価表!$AY$64:$CC$71,MATCH($V25&amp;$W25,INDEX(単価表!$AY$64:$AY$71&amp;単価表!$AZ$64:$AZ$71,),),MATCH(内訳計算!AJ$6,単価表!$AY$63:$CC$63,0)),
INDEX(単価表!$AY$64:$CC$71,MATCH($V25&amp;$W25,INDEX(単価表!$AY$64:$AY$71&amp;単価表!$AZ$64:$AZ$71,),),MATCH(内訳計算!AJ$6,単価表!$AY$63:$CC$63,0))),0)*$Y25/25,0),0)</f>
        <v>0</v>
      </c>
      <c r="AK25" s="975" cm="1">
        <f t="array" ref="AK25">IFERROR(ROUNDDOWN(IF(HLOOKUP($U25,加算と減算!$E$4:$P$10,2,FALSE)="○",IF(OR($U25=2,$U25=3),
INDEX(単価表!$AY$64:$CC$71,MATCH($V25&amp;$W25,INDEX(単価表!$AY$64:$AY$71&amp;単価表!$AZ$64:$AZ$71,),),MATCH(内訳計算!AK$6,単価表!$AY$63:$CC$63,0)),
INDEX(単価表!$AY$64:$CC$71,MATCH($V25&amp;$W25,INDEX(単価表!$AY$64:$AY$71&amp;単価表!$AZ$64:$AZ$71,),),MATCH(内訳計算!AK$6,単価表!$AY$63:$CC$63,0))),0)*$Y25/25,0),0)</f>
        <v>0</v>
      </c>
      <c r="AL25" s="976" cm="1">
        <f t="array" ref="AL25">IFERROR(IF(HLOOKUP($U25,加算と減算!$E$4:$P$10,4,FALSE)="○",IF(OR($U25=2,$U25=3),
INDEX(単価表!$AY$64:$CC$71,MATCH($V25&amp;$W25,INDEX(単価表!$AY$64:$AY$71&amp;単価表!$AZ$64:$AZ$71,),),MATCH(内訳計算!AL$6,単価表!$AY$63:$CC$63,0)),
INDEX(単価表!$AY$64:$CC$71,MATCH($V25&amp;$W25,INDEX(単価表!$AY$64:$AY$71&amp;単価表!$AZ$64:$AZ$71,),),MATCH(内訳計算!AL$6,単価表!$AY$63:$CC$63,0))),0),0)</f>
        <v>0</v>
      </c>
      <c r="AM25" s="977" cm="1">
        <f t="array" ref="AM25">IFERROR(ROUNDDOWN(IF(HLOOKUP($U25,加算と減算!$E$4:$P$10,4,FALSE)="○",IF(OR($U25=2,$U25=3),
INDEX(単価表!$AY$64:$CC$71,MATCH($V25&amp;$W25,INDEX(単価表!$AY$64:$AY$71&amp;単価表!$AZ$64:$AZ$71,),),MATCH(内訳計算!AM$6,単価表!$AY$63:$CC$63,0)),
INDEX(単価表!$AY$64:$CC$71,MATCH($V25&amp;$W25,INDEX(単価表!$AY$64:$AY$71&amp;単価表!$AZ$64:$AZ$71,),),MATCH(内訳計算!AM$6,単価表!$AY$63:$CC$63,0))),0)*$Y25/25,0),0)</f>
        <v>0</v>
      </c>
      <c r="AN25" s="977" cm="1">
        <f t="array" ref="AN25">IFERROR(ROUNDDOWN(IF(HLOOKUP($U25,加算と減算!$E$4:$P$10,4,FALSE)="○",IF(OR($U25=2,$U25=3),
INDEX(単価表!$AY$64:$CC$71,MATCH($V25&amp;$W25,INDEX(単価表!$AY$64:$AY$71&amp;単価表!$AZ$64:$AZ$71,),),MATCH(内訳計算!AN$6,単価表!$AY$63:$CC$63,0)),
INDEX(単価表!$AY$64:$CC$71,MATCH($V25&amp;$W25,INDEX(単価表!$AY$64:$AY$71&amp;単価表!$AZ$64:$AZ$71,),),MATCH(内訳計算!AN$6,単価表!$AY$63:$CC$63,0))),0)*$Y25/25,0),0)</f>
        <v>0</v>
      </c>
      <c r="AO25" s="977" cm="1">
        <f t="array" ref="AO25">IFERROR(ROUNDDOWN(IF(HLOOKUP($U25,加算と減算!$E$4:$P$10,4,FALSE)="○",IF(OR($U25=2,$U25=3),
INDEX(単価表!$AY$64:$CC$71,MATCH($V25&amp;$W25,INDEX(単価表!$AY$64:$AY$71&amp;単価表!$AZ$64:$AZ$71,),),MATCH(内訳計算!AO$6,単価表!$AY$63:$CC$63,0)),
INDEX(単価表!$AY$64:$CC$71,MATCH($V25&amp;$W25,INDEX(単価表!$AY$64:$AY$71&amp;単価表!$AZ$64:$AZ$71,),),MATCH(内訳計算!AO$6,単価表!$AY$63:$CC$63,0))),0)*$Y25/25,0),0)</f>
        <v>0</v>
      </c>
      <c r="AP25" s="977" cm="1">
        <f t="array" ref="AP25">IFERROR(ROUNDDOWN(IF(HLOOKUP($U25,加算と減算!$E$4:$P$10,4,FALSE)="○",IF(OR($U25=2,$U25=3),
INDEX(単価表!$AY$64:$CC$71,MATCH($V25&amp;$W25,INDEX(単価表!$AY$64:$AY$71&amp;単価表!$AZ$64:$AZ$71,),),MATCH(内訳計算!AP$6,単価表!$AY$63:$CC$63,0)),
INDEX(単価表!$AY$64:$CC$71,MATCH($V25&amp;$W25,INDEX(単価表!$AY$64:$AY$71&amp;単価表!$AZ$64:$AZ$71,),),MATCH(内訳計算!AP$6,単価表!$AY$63:$CC$63,0))),0)*$Y25/25,0),0)</f>
        <v>0</v>
      </c>
      <c r="AQ25" s="975" cm="1">
        <f t="array" ref="AQ25">IFERROR(ROUNDDOWN(IF(HLOOKUP($U25,加算と減算!$E$4:$P$10,4,FALSE)="○",IF(OR($U25=2,$U25=3),
INDEX(単価表!$AY$64:$CC$71,MATCH($V25&amp;$W25,INDEX(単価表!$AY$64:$AY$71&amp;単価表!$AZ$64:$AZ$71,),),MATCH(内訳計算!AQ$6,単価表!$AY$63:$CC$63,0)),
INDEX(単価表!$AY$64:$CC$71,MATCH($V25&amp;$W25,INDEX(単価表!$AY$64:$AY$71&amp;単価表!$AZ$64:$AZ$71,),),MATCH(内訳計算!AQ$6,単価表!$AY$63:$CC$63,0))),0)*$Y25/25,0),0)</f>
        <v>0</v>
      </c>
      <c r="AR25" s="976" cm="1">
        <f t="array" ref="AR25">IFERROR(IF(HLOOKUP($U25,加算と減算!$E$4:$P$10,5,FALSE)="○",IF(OR($U25=2,$U25=3),
INDEX(単価表!$AY$64:$CC$71,MATCH($V25&amp;$W25,INDEX(単価表!$AY$64:$AY$71&amp;単価表!$AZ$64:$AZ$71,),),MATCH(内訳計算!AR$6,単価表!$AY$63:$CC$63,0)),
INDEX(単価表!$AY$64:$CC$71,MATCH($V25&amp;$W25,INDEX(単価表!$AY$64:$AY$71&amp;単価表!$AZ$64:$AZ$71,),),MATCH(内訳計算!AR$6,単価表!$AY$63:$CC$63,0))),0),0)</f>
        <v>0</v>
      </c>
      <c r="AS25" s="975" cm="1">
        <f t="array" ref="AS25">IFERROR(ROUNDDOWN(IF(HLOOKUP($U25,加算と減算!$E$4:$P$10,5,FALSE)="○",IF(OR($U25=2,$U25=3),
INDEX(単価表!$AY$64:$CC$71,MATCH($V25&amp;$W25,INDEX(単価表!$AY$64:$AY$71&amp;単価表!$AZ$64:$AZ$71,),),MATCH(内訳計算!AS$6,単価表!$AY$63:$CC$63,0)),
INDEX(単価表!$AY$64:$CC$71,MATCH($V25&amp;$W25,INDEX(単価表!$AY$64:$AY$71&amp;単価表!$AZ$64:$AZ$71,),),MATCH(内訳計算!AS$6,単価表!$AY$63:$CC$63,0))),0)*$Y25/25,0),0)</f>
        <v>0</v>
      </c>
      <c r="AT25" s="976" cm="1">
        <f t="array" ref="AT25">IFERROR(IF(HLOOKUP($U25,加算と減算!$E$4:$P$10,6,FALSE)="○",IF(OR($U25=2,$U25=3),
INDEX(単価表!$AY$64:$CC$71,MATCH($V25&amp;$W25,INDEX(単価表!$AY$64:$AY$71&amp;単価表!$AZ$64:$AZ$71,),),MATCH(内訳計算!AT$6,単価表!$AY$63:$CC$63,0)),
INDEX(単価表!$AY$64:$CC$71,MATCH($V25&amp;$W25,INDEX(単価表!$AY$64:$AY$71&amp;単価表!$AZ$64:$AZ$71,),),MATCH(内訳計算!AT$6,単価表!$AY$63:$CC$63,0))),0),0)</f>
        <v>0</v>
      </c>
      <c r="AU25" s="975" cm="1">
        <f t="array" ref="AU25">IFERROR(ROUNDDOWN(IF(HLOOKUP($U25,加算と減算!$E$4:$P$10,6,FALSE)="○",IF(OR($U25=2,$U25=3),
INDEX(単価表!$AY$64:$CC$71,MATCH($V25&amp;$W25,INDEX(単価表!$AY$64:$AY$71&amp;単価表!$AZ$64:$AZ$71,),),MATCH(内訳計算!AU$6,単価表!$AY$63:$CC$63,0)),
INDEX(単価表!$AY$64:$CC$71,MATCH($V25&amp;$W25,INDEX(単価表!$AY$64:$AY$71&amp;単価表!$AZ$64:$AZ$71,),),MATCH(内訳計算!AU$6,単価表!$AY$63:$CC$63,0))),0)*$Y25/25,0),0)</f>
        <v>0</v>
      </c>
      <c r="AV25" s="976" cm="1">
        <f t="array" ref="AV25">IFERROR(IF(HLOOKUP($U25,加算と減算!$E$4:$P$10,7,FALSE)="○",IF(OR($U25=2,$U25=3),
INDEX(単価表!$AY$64:$CC$71,MATCH($V25&amp;$W25,INDEX(単価表!$AY$64:$AY$71&amp;単価表!$AZ$64:$AZ$71,),),MATCH(内訳計算!AV$6,単価表!$AY$63:$CC$63,0)),
INDEX(単価表!$AY$64:$CC$71,MATCH($V25&amp;$W25,INDEX(単価表!$AY$64:$AY$71&amp;単価表!$AZ$64:$AZ$71,),),MATCH(内訳計算!AV$6,単価表!$AY$63:$CC$63,0))),0),0)</f>
        <v>0</v>
      </c>
      <c r="AW25" s="977" cm="1">
        <f t="array" ref="AW25">IFERROR(ROUNDDOWN(IF(HLOOKUP($U25,加算と減算!$E$4:$P$10,7,FALSE)="○",IF(OR($U25=2,$U25=3),
INDEX(単価表!$AY$64:$CC$71,MATCH($V25&amp;$W25,INDEX(単価表!$AY$64:$AY$71&amp;単価表!$AZ$64:$AZ$71,),),MATCH(内訳計算!AW$6,単価表!$AY$63:$CC$63,0)),
INDEX(単価表!$AY$64:$CC$71,MATCH($V25&amp;$W25,INDEX(単価表!$AY$64:$AY$71&amp;単価表!$AZ$64:$AZ$71,),),MATCH(内訳計算!AW$6,単価表!$AY$63:$CC$63,0))),0)*$Y25/25,0),0)</f>
        <v>0</v>
      </c>
      <c r="AX25" s="977" cm="1">
        <f t="array" ref="AX25">IFERROR(ROUNDDOWN(IF(HLOOKUP($U25,加算と減算!$E$4:$P$10,7,FALSE)="○",IF(OR($U25=2,$U25=3),
INDEX(単価表!$AY$64:$CC$71,MATCH($V25&amp;$W25,INDEX(単価表!$AY$64:$AY$71&amp;単価表!$AZ$64:$AZ$71,),),MATCH(内訳計算!AX$6,単価表!$AY$63:$CC$63,0)),
INDEX(単価表!$AY$64:$CC$71,MATCH($V25&amp;$W25,INDEX(単価表!$AY$64:$AY$71&amp;単価表!$AZ$64:$AZ$71,),),MATCH(内訳計算!AX$6,単価表!$AY$63:$CC$63,0))),0)*$Y25/25,0),0)</f>
        <v>0</v>
      </c>
      <c r="AY25" s="975" cm="1">
        <f t="array" ref="AY25">IFERROR(ROUNDDOWN(IF(HLOOKUP($U25,加算と減算!$E$4:$P$10,7,FALSE)="○",IF(OR($U25=2,$U25=3),
INDEX(単価表!$AY$64:$CC$71,MATCH($V25&amp;$W25,INDEX(単価表!$AY$64:$AY$71&amp;単価表!$AZ$64:$AZ$71,),),MATCH(内訳計算!AY$6,単価表!$AY$63:$CC$63,0)),
INDEX(単価表!$AY$64:$CC$71,MATCH($V25&amp;$W25,INDEX(単価表!$AY$64:$AY$71&amp;単価表!$AZ$64:$AZ$71,),),MATCH(内訳計算!AY$6,単価表!$AY$63:$CC$63,0))),0)*$Y25/25,0),0)</f>
        <v>0</v>
      </c>
      <c r="AZ25" s="976" cm="1">
        <f t="array" ref="AZ25">IFERROR(IF(X25="○",INDEX(単価表!$AY$64:$CC$71,MATCH($V25&amp;$W25,INDEX(単価表!$AY$64:$AY$71&amp;単価表!$AZ$64:$AZ$71,),),MATCH(内訳計算!AZ$6,単価表!$AY$63:$CC$63,0)),0),0)</f>
        <v>0</v>
      </c>
      <c r="BA25" s="975" cm="1">
        <f t="array" ref="BA25">IFERROR(ROUNDDOWN(INDEX(単価表!$AY$64:$CC$71,MATCH($V25&amp;$W25,INDEX(単価表!$AY$64:$AY$71&amp;単価表!$AZ$64:$AZ$71,),),MATCH(内訳計算!BA$6,単価表!$AY$63:$CC$63,0))*$Y25/25,0),0)</f>
        <v>0</v>
      </c>
      <c r="BB25" s="976" cm="1">
        <f t="array" ref="BB25">IFERROR(INDEX(単価表!$AY$64:$CC$71,MATCH($V25&amp;$W25,INDEX(単価表!$AY$64:$AY$71&amp;単価表!$AZ$64:$AZ$71,),),MATCH(内訳計算!BB$6,単価表!$AY$63:$CC$63,0)),0)</f>
        <v>0</v>
      </c>
      <c r="BC25" s="975" cm="1">
        <f t="array" ref="BC25">IFERROR(ROUNDDOWN(INDEX(単価表!$AY$64:$CC$71,MATCH($V25&amp;$W25,INDEX(単価表!$AY$64:$AY$71&amp;単価表!$AZ$64:$AZ$71,),),MATCH(内訳計算!BC$6,単価表!$AY$63:$CC$63,0))*$Y25/25,0),0)</f>
        <v>0</v>
      </c>
      <c r="BD25" s="985">
        <f>IFERROR(IF(HLOOKUP($U25,加算と減算!$E$31:$P$32,2,FALSE)="○",IF(OR($U25=2,$U25=3),-(単価表!$AZ$7+単価表!$BA$7*基本情報!$G$7),-(単価表!$AZ$7+単価表!$BA$7*基本情報!$G$7)),0),0)</f>
        <v>0</v>
      </c>
      <c r="BE25" s="986" t="e">
        <f t="shared" si="8"/>
        <v>#VALUE!</v>
      </c>
      <c r="BF25" s="986" t="e">
        <f t="shared" si="9"/>
        <v>#VALUE!</v>
      </c>
      <c r="BG25" s="987" t="e">
        <f t="shared" si="10"/>
        <v>#N/A</v>
      </c>
      <c r="BH25" s="988">
        <f>IFERROR(IF(基本情報!$E$12&lt;&gt;"",-ROUNDDOWN((AA25+AE25+AH25+AL25)*基本情報!$H$12/100,-1),0),0)</f>
        <v>0</v>
      </c>
      <c r="BI25" s="986" t="e">
        <f t="shared" si="11"/>
        <v>#VALUE!</v>
      </c>
      <c r="BJ25" s="986" t="e">
        <f t="shared" si="12"/>
        <v>#VALUE!</v>
      </c>
      <c r="BK25" s="989" t="e">
        <f t="shared" si="13"/>
        <v>#N/A</v>
      </c>
      <c r="BL25" s="990">
        <f>IFERROR(-ROUNDUP(SUM(AA25,AE25,AH25,AL25,AR25,AT25,AV25,BD25,BH25)*基本情報!$H$14/100,-1),0)</f>
        <v>0</v>
      </c>
      <c r="BM25" s="991" t="e">
        <f t="shared" si="14"/>
        <v>#VALUE!</v>
      </c>
      <c r="BN25" s="991" t="e">
        <f t="shared" si="15"/>
        <v>#VALUE!</v>
      </c>
      <c r="BO25" s="992" t="e">
        <f t="shared" si="16"/>
        <v>#N/A</v>
      </c>
      <c r="BP25" s="701"/>
      <c r="BQ25" s="701"/>
      <c r="BR25" s="701"/>
      <c r="BS25" s="701"/>
      <c r="BT25" s="721"/>
      <c r="BU25" s="1043" t="e">
        <f t="shared" si="17"/>
        <v>#VALUE!</v>
      </c>
      <c r="BV25" s="1044" t="e">
        <f t="shared" si="18"/>
        <v>#VALUE!</v>
      </c>
      <c r="BW25" s="1044" t="e">
        <f t="shared" si="19"/>
        <v>#N/A</v>
      </c>
      <c r="BX25" s="1051">
        <f t="shared" si="20"/>
        <v>0</v>
      </c>
      <c r="BY25" s="1045">
        <f t="shared" si="21"/>
        <v>0</v>
      </c>
      <c r="CB25" s="1626"/>
      <c r="CC25" s="1600"/>
      <c r="CD25" s="719" t="s">
        <v>432</v>
      </c>
      <c r="CE25" s="741" t="s">
        <v>353</v>
      </c>
      <c r="CF25" s="742"/>
      <c r="CG25" s="742"/>
      <c r="CH25" s="742"/>
      <c r="CI25" s="742"/>
      <c r="CJ25" s="742"/>
      <c r="CK25" s="742"/>
      <c r="CL25" s="742"/>
      <c r="CM25" s="742"/>
      <c r="CN25" s="742"/>
      <c r="CO25" s="742"/>
      <c r="CP25" s="742"/>
      <c r="CQ25" s="756">
        <f>'3月'!AQ28</f>
        <v>0</v>
      </c>
      <c r="CR25" s="759">
        <f t="shared" si="22"/>
        <v>0</v>
      </c>
      <c r="CS25" s="1600"/>
      <c r="CT25" s="719" t="s">
        <v>432</v>
      </c>
      <c r="CU25" s="958" t="s">
        <v>353</v>
      </c>
      <c r="CV25" s="776"/>
      <c r="CW25" s="776"/>
      <c r="CX25" s="778">
        <f t="shared" si="36"/>
        <v>0</v>
      </c>
      <c r="CY25" s="954"/>
      <c r="CZ25" s="954"/>
      <c r="DA25" s="721"/>
      <c r="DB25" s="721"/>
    </row>
    <row r="26" spans="1:109" ht="16.149999999999999" customHeight="1" thickBot="1">
      <c r="A26" s="1652"/>
      <c r="B26" s="1540"/>
      <c r="C26" s="1542"/>
      <c r="D26" s="708" t="s">
        <v>9</v>
      </c>
      <c r="E26" s="709">
        <f>SUM(児童数!M18:M19)</f>
        <v>0</v>
      </c>
      <c r="F26" s="709" t="e">
        <f>'3月'!M6</f>
        <v>#VALUE!</v>
      </c>
      <c r="G26" s="709">
        <f>G20</f>
        <v>10478</v>
      </c>
      <c r="H26" s="709" t="e">
        <f t="shared" si="32"/>
        <v>#N/A</v>
      </c>
      <c r="I26" s="709" t="e">
        <f>F26-G26-H26</f>
        <v>#VALUE!</v>
      </c>
      <c r="J26" s="709" t="e">
        <f t="shared" si="33"/>
        <v>#VALUE!</v>
      </c>
      <c r="K26" s="709">
        <f t="shared" si="34"/>
        <v>0</v>
      </c>
      <c r="L26" s="710" t="e">
        <f t="shared" si="35"/>
        <v>#N/A</v>
      </c>
      <c r="M26" s="674"/>
      <c r="N26" s="1080"/>
      <c r="O26" s="1087"/>
      <c r="P26" s="1087"/>
      <c r="Q26" s="1084"/>
      <c r="R26" s="1084"/>
      <c r="T26" s="683">
        <v>20</v>
      </c>
      <c r="U26" s="946">
        <f>月途中入退所情報!D27</f>
        <v>0</v>
      </c>
      <c r="V26" s="946">
        <f>月途中入退所情報!H27</f>
        <v>0</v>
      </c>
      <c r="W26" s="946">
        <f>月途中入退所情報!G27</f>
        <v>0</v>
      </c>
      <c r="X26" s="947">
        <f>月途中入退所情報!I27</f>
        <v>0</v>
      </c>
      <c r="Y26" s="946">
        <f>月途中入退所情報!J27</f>
        <v>0</v>
      </c>
      <c r="Z26" s="869">
        <f t="shared" si="6"/>
        <v>0</v>
      </c>
      <c r="AA26" s="876" cm="1">
        <f t="array" ref="AA26">IFERROR(IF(OR($U26=2,$U26=3),
INDEX(単価表!$AY$64:$CC$71,MATCH($V26&amp;$W26,INDEX(単価表!$AY$64:$AY$71&amp;単価表!$AZ$64:$AZ$71,),),MATCH(内訳計算!AA$6,単価表!$AY$63:$CC$63,0)),
INDEX(単価表!$AY$64:$CC$71,MATCH($V26&amp;$W26,INDEX(単価表!$AY$64:$AY$71&amp;単価表!$AZ$64:$AZ$71,),),MATCH(内訳計算!AA$6,単価表!$AY$63:$CC$63,0))),0)</f>
        <v>0</v>
      </c>
      <c r="AB26" s="754" t="e">
        <f t="shared" si="7"/>
        <v>#VALUE!</v>
      </c>
      <c r="AC26" s="754" cm="1">
        <f t="array" ref="AC26">IFERROR(ROUNDDOWN(IF(OR($U26=2,$U26=3),
INDEX(単価表!$AY$64:$CC$71,MATCH($V26&amp;$W26,INDEX(単価表!$AY$64:$AY$71&amp;単価表!$AZ$64:$AZ$71,),),MATCH(内訳計算!AC$6,単価表!$AY$63:$CC$63,0)),
INDEX(単価表!$AY$64:$CC$71,MATCH($V26&amp;$W26,INDEX(単価表!$AY$64:$AY$71&amp;単価表!$AZ$64:$AZ$71,),),MATCH(内訳計算!AC$6,単価表!$AY$63:$CC$63,0)))*$Y26/25,0),0)</f>
        <v>0</v>
      </c>
      <c r="AD26" s="871" cm="1">
        <f t="array" ref="AD26">IFERROR(ROUNDDOWN(IF(OR($U26=2,$U26=3),
INDEX(単価表!$AY$64:$CC$71,MATCH($V26&amp;$W26,INDEX(単価表!$AY$64:$AY$71&amp;単価表!$AZ$64:$AZ$71,),),MATCH(内訳計算!AD$6,単価表!$AY$63:$CC$63,0)),
INDEX(単価表!$AY$64:$CC$71,MATCH($V26&amp;$W26,INDEX(単価表!$AY$64:$AY$71&amp;単価表!$AZ$64:$AZ$71,),),MATCH(内訳計算!AD$6,単価表!$AY$63:$CC$63,0)))*$Y26/25,0),0)</f>
        <v>0</v>
      </c>
      <c r="AE26" s="876" cm="1">
        <f t="array" ref="AE26">IFERROR(IF(OR($U26=2,$U26=3),
INDEX(単価表!$AY$64:$CC$71,MATCH($V26&amp;$W26,INDEX(単価表!$AY$64:$AY$71&amp;単価表!$AZ$64:$AZ$71,),),MATCH(内訳計算!AE$6,単価表!$AY$63:$CC$63,0)),
INDEX(単価表!$AY$64:$CC$71,MATCH($V26&amp;$W26,INDEX(単価表!$AY$64:$AY$71&amp;単価表!$AZ$64:$AZ$71,),),MATCH(内訳計算!AE$6,単価表!$AY$63:$CC$63,0))),0)</f>
        <v>0</v>
      </c>
      <c r="AF26" s="754" cm="1">
        <f t="array" ref="AF26">IFERROR(ROUNDDOWN(IF(OR($U26=2,$U26=3),
INDEX(単価表!$AY$64:$CC$71,MATCH($V26&amp;$W26,INDEX(単価表!$AY$64:$AY$71&amp;単価表!$AZ$64:$AZ$71,),),MATCH(内訳計算!AF$6,単価表!$AY$63:$CC$63,0)),
INDEX(単価表!$AY$64:$CC$71,MATCH($V26&amp;$W26,INDEX(単価表!$AY$64:$AY$71&amp;単価表!$AZ$64:$AZ$71,),),MATCH(内訳計算!AF$6,単価表!$AY$63:$CC$63,0)))*$Y26/25,0),0)</f>
        <v>0</v>
      </c>
      <c r="AG26" s="871" cm="1">
        <f t="array" ref="AG26">IFERROR(ROUNDDOWN(IF(OR($U26=2,$U26=3),
INDEX(単価表!$AY$64:$CC$71,MATCH($V26&amp;$W26,INDEX(単価表!$AY$64:$AY$71&amp;単価表!$AZ$64:$AZ$71,),),MATCH(内訳計算!AG$6,単価表!$AY$63:$CC$63,0)),
INDEX(単価表!$AY$64:$CC$71,MATCH($V26&amp;$W26,INDEX(単価表!$AY$64:$AY$71&amp;単価表!$AZ$64:$AZ$71,),),MATCH(内訳計算!AG$6,単価表!$AY$63:$CC$63,0)))*$Y26/25,0),0)</f>
        <v>0</v>
      </c>
      <c r="AH26" s="876" cm="1">
        <f t="array" ref="AH26">IFERROR(IF(HLOOKUP($U26,加算と減算!$E$4:$P$10,2,FALSE)="○",IF(OR($U26=2,$U26=3),
INDEX(単価表!$AY$64:$CC$71,MATCH($V26&amp;$W26,INDEX(単価表!$AY$64:$AY$71&amp;単価表!$AZ$64:$AZ$71,),),MATCH(内訳計算!AH$6,単価表!$AY$63:$CC$63,0)),
INDEX(単価表!$AY$64:$CC$71,MATCH($V26&amp;$W26,INDEX(単価表!$AY$64:$AY$71&amp;単価表!$AZ$64:$AZ$71,),),MATCH(内訳計算!AH$6,単価表!$AY$63:$CC$63,0))),0),0)</f>
        <v>0</v>
      </c>
      <c r="AI26" s="994" cm="1">
        <f t="array" ref="AI26">IFERROR(ROUNDDOWN(IF(HLOOKUP($U26,加算と減算!$E$4:$P$10,2,FALSE)="○",IF(OR($U26=2,$U26=3),
INDEX(単価表!$AY$64:$CC$71,MATCH($V26&amp;$W26,INDEX(単価表!$AY$64:$AY$71&amp;単価表!$AZ$64:$AZ$71,),),MATCH(内訳計算!AI$6,単価表!$AY$63:$CC$63,0)),
INDEX(単価表!$AY$64:$CC$71,MATCH($V26&amp;$W26,INDEX(単価表!$AY$64:$AY$71&amp;単価表!$AZ$64:$AZ$71,),),MATCH(内訳計算!AI$6,単価表!$AY$63:$CC$63,0))),0)*$Y26/25,0),0)</f>
        <v>0</v>
      </c>
      <c r="AJ26" s="754" cm="1">
        <f t="array" ref="AJ26">IFERROR(ROUNDDOWN(IF(HLOOKUP($U26,加算と減算!$E$4:$P$10,2,FALSE)="○",IF(OR($U26=2,$U26=3),
INDEX(単価表!$AY$64:$CC$71,MATCH($V26&amp;$W26,INDEX(単価表!$AY$64:$AY$71&amp;単価表!$AZ$64:$AZ$71,),),MATCH(内訳計算!AJ$6,単価表!$AY$63:$CC$63,0)),
INDEX(単価表!$AY$64:$CC$71,MATCH($V26&amp;$W26,INDEX(単価表!$AY$64:$AY$71&amp;単価表!$AZ$64:$AZ$71,),),MATCH(内訳計算!AJ$6,単価表!$AY$63:$CC$63,0))),0)*$Y26/25,0),0)</f>
        <v>0</v>
      </c>
      <c r="AK26" s="871" cm="1">
        <f t="array" ref="AK26">IFERROR(ROUNDDOWN(IF(HLOOKUP($U26,加算と減算!$E$4:$P$10,2,FALSE)="○",IF(OR($U26=2,$U26=3),
INDEX(単価表!$AY$64:$CC$71,MATCH($V26&amp;$W26,INDEX(単価表!$AY$64:$AY$71&amp;単価表!$AZ$64:$AZ$71,),),MATCH(内訳計算!AK$6,単価表!$AY$63:$CC$63,0)),
INDEX(単価表!$AY$64:$CC$71,MATCH($V26&amp;$W26,INDEX(単価表!$AY$64:$AY$71&amp;単価表!$AZ$64:$AZ$71,),),MATCH(内訳計算!AK$6,単価表!$AY$63:$CC$63,0))),0)*$Y26/25,0),0)</f>
        <v>0</v>
      </c>
      <c r="AL26" s="876" cm="1">
        <f t="array" ref="AL26">IFERROR(IF(HLOOKUP($U26,加算と減算!$E$4:$P$10,4,FALSE)="○",IF(OR($U26=2,$U26=3),
INDEX(単価表!$AY$64:$CC$71,MATCH($V26&amp;$W26,INDEX(単価表!$AY$64:$AY$71&amp;単価表!$AZ$64:$AZ$71,),),MATCH(内訳計算!AL$6,単価表!$AY$63:$CC$63,0)),
INDEX(単価表!$AY$64:$CC$71,MATCH($V26&amp;$W26,INDEX(単価表!$AY$64:$AY$71&amp;単価表!$AZ$64:$AZ$71,),),MATCH(内訳計算!AL$6,単価表!$AY$63:$CC$63,0))),0),0)</f>
        <v>0</v>
      </c>
      <c r="AM26" s="754" cm="1">
        <f t="array" ref="AM26">IFERROR(ROUNDDOWN(IF(HLOOKUP($U26,加算と減算!$E$4:$P$10,4,FALSE)="○",IF(OR($U26=2,$U26=3),
INDEX(単価表!$AY$64:$CC$71,MATCH($V26&amp;$W26,INDEX(単価表!$AY$64:$AY$71&amp;単価表!$AZ$64:$AZ$71,),),MATCH(内訳計算!AM$6,単価表!$AY$63:$CC$63,0)),
INDEX(単価表!$AY$64:$CC$71,MATCH($V26&amp;$W26,INDEX(単価表!$AY$64:$AY$71&amp;単価表!$AZ$64:$AZ$71,),),MATCH(内訳計算!AM$6,単価表!$AY$63:$CC$63,0))),0)*$Y26/25,0),0)</f>
        <v>0</v>
      </c>
      <c r="AN26" s="754" cm="1">
        <f t="array" ref="AN26">IFERROR(ROUNDDOWN(IF(HLOOKUP($U26,加算と減算!$E$4:$P$10,4,FALSE)="○",IF(OR($U26=2,$U26=3),
INDEX(単価表!$AY$64:$CC$71,MATCH($V26&amp;$W26,INDEX(単価表!$AY$64:$AY$71&amp;単価表!$AZ$64:$AZ$71,),),MATCH(内訳計算!AN$6,単価表!$AY$63:$CC$63,0)),
INDEX(単価表!$AY$64:$CC$71,MATCH($V26&amp;$W26,INDEX(単価表!$AY$64:$AY$71&amp;単価表!$AZ$64:$AZ$71,),),MATCH(内訳計算!AN$6,単価表!$AY$63:$CC$63,0))),0)*$Y26/25,0),0)</f>
        <v>0</v>
      </c>
      <c r="AO26" s="754" cm="1">
        <f t="array" ref="AO26">IFERROR(ROUNDDOWN(IF(HLOOKUP($U26,加算と減算!$E$4:$P$10,4,FALSE)="○",IF(OR($U26=2,$U26=3),
INDEX(単価表!$AY$64:$CC$71,MATCH($V26&amp;$W26,INDEX(単価表!$AY$64:$AY$71&amp;単価表!$AZ$64:$AZ$71,),),MATCH(内訳計算!AO$6,単価表!$AY$63:$CC$63,0)),
INDEX(単価表!$AY$64:$CC$71,MATCH($V26&amp;$W26,INDEX(単価表!$AY$64:$AY$71&amp;単価表!$AZ$64:$AZ$71,),),MATCH(内訳計算!AO$6,単価表!$AY$63:$CC$63,0))),0)*$Y26/25,0),0)</f>
        <v>0</v>
      </c>
      <c r="AP26" s="754" cm="1">
        <f t="array" ref="AP26">IFERROR(ROUNDDOWN(IF(HLOOKUP($U26,加算と減算!$E$4:$P$10,4,FALSE)="○",IF(OR($U26=2,$U26=3),
INDEX(単価表!$AY$64:$CC$71,MATCH($V26&amp;$W26,INDEX(単価表!$AY$64:$AY$71&amp;単価表!$AZ$64:$AZ$71,),),MATCH(内訳計算!AP$6,単価表!$AY$63:$CC$63,0)),
INDEX(単価表!$AY$64:$CC$71,MATCH($V26&amp;$W26,INDEX(単価表!$AY$64:$AY$71&amp;単価表!$AZ$64:$AZ$71,),),MATCH(内訳計算!AP$6,単価表!$AY$63:$CC$63,0))),0)*$Y26/25,0),0)</f>
        <v>0</v>
      </c>
      <c r="AQ26" s="871" cm="1">
        <f t="array" ref="AQ26">IFERROR(ROUNDDOWN(IF(HLOOKUP($U26,加算と減算!$E$4:$P$10,4,FALSE)="○",IF(OR($U26=2,$U26=3),
INDEX(単価表!$AY$64:$CC$71,MATCH($V26&amp;$W26,INDEX(単価表!$AY$64:$AY$71&amp;単価表!$AZ$64:$AZ$71,),),MATCH(内訳計算!AQ$6,単価表!$AY$63:$CC$63,0)),
INDEX(単価表!$AY$64:$CC$71,MATCH($V26&amp;$W26,INDEX(単価表!$AY$64:$AY$71&amp;単価表!$AZ$64:$AZ$71,),),MATCH(内訳計算!AQ$6,単価表!$AY$63:$CC$63,0))),0)*$Y26/25,0),0)</f>
        <v>0</v>
      </c>
      <c r="AR26" s="876" cm="1">
        <f t="array" ref="AR26">IFERROR(IF(HLOOKUP($U26,加算と減算!$E$4:$P$10,5,FALSE)="○",IF(OR($U26=2,$U26=3),
INDEX(単価表!$AY$64:$CC$71,MATCH($V26&amp;$W26,INDEX(単価表!$AY$64:$AY$71&amp;単価表!$AZ$64:$AZ$71,),),MATCH(内訳計算!AR$6,単価表!$AY$63:$CC$63,0)),
INDEX(単価表!$AY$64:$CC$71,MATCH($V26&amp;$W26,INDEX(単価表!$AY$64:$AY$71&amp;単価表!$AZ$64:$AZ$71,),),MATCH(内訳計算!AR$6,単価表!$AY$63:$CC$63,0))),0),0)</f>
        <v>0</v>
      </c>
      <c r="AS26" s="871" cm="1">
        <f t="array" ref="AS26">IFERROR(ROUNDDOWN(IF(HLOOKUP($U26,加算と減算!$E$4:$P$10,5,FALSE)="○",IF(OR($U26=2,$U26=3),
INDEX(単価表!$AY$64:$CC$71,MATCH($V26&amp;$W26,INDEX(単価表!$AY$64:$AY$71&amp;単価表!$AZ$64:$AZ$71,),),MATCH(内訳計算!AS$6,単価表!$AY$63:$CC$63,0)),
INDEX(単価表!$AY$64:$CC$71,MATCH($V26&amp;$W26,INDEX(単価表!$AY$64:$AY$71&amp;単価表!$AZ$64:$AZ$71,),),MATCH(内訳計算!AS$6,単価表!$AY$63:$CC$63,0))),0)*$Y26/25,0),0)</f>
        <v>0</v>
      </c>
      <c r="AT26" s="876" cm="1">
        <f t="array" ref="AT26">IFERROR(IF(HLOOKUP($U26,加算と減算!$E$4:$P$10,6,FALSE)="○",IF(OR($U26=2,$U26=3),
INDEX(単価表!$AY$64:$CC$71,MATCH($V26&amp;$W26,INDEX(単価表!$AY$64:$AY$71&amp;単価表!$AZ$64:$AZ$71,),),MATCH(内訳計算!AT$6,単価表!$AY$63:$CC$63,0)),
INDEX(単価表!$AY$64:$CC$71,MATCH($V26&amp;$W26,INDEX(単価表!$AY$64:$AY$71&amp;単価表!$AZ$64:$AZ$71,),),MATCH(内訳計算!AT$6,単価表!$AY$63:$CC$63,0))),0),0)</f>
        <v>0</v>
      </c>
      <c r="AU26" s="871" cm="1">
        <f t="array" ref="AU26">IFERROR(ROUNDDOWN(IF(HLOOKUP($U26,加算と減算!$E$4:$P$10,6,FALSE)="○",IF(OR($U26=2,$U26=3),
INDEX(単価表!$AY$64:$CC$71,MATCH($V26&amp;$W26,INDEX(単価表!$AY$64:$AY$71&amp;単価表!$AZ$64:$AZ$71,),),MATCH(内訳計算!AU$6,単価表!$AY$63:$CC$63,0)),
INDEX(単価表!$AY$64:$CC$71,MATCH($V26&amp;$W26,INDEX(単価表!$AY$64:$AY$71&amp;単価表!$AZ$64:$AZ$71,),),MATCH(内訳計算!AU$6,単価表!$AY$63:$CC$63,0))),0)*$Y26/25,0),0)</f>
        <v>0</v>
      </c>
      <c r="AV26" s="876" cm="1">
        <f t="array" ref="AV26">IFERROR(IF(HLOOKUP($U26,加算と減算!$E$4:$P$10,7,FALSE)="○",IF(OR($U26=2,$U26=3),
INDEX(単価表!$AY$64:$CC$71,MATCH($V26&amp;$W26,INDEX(単価表!$AY$64:$AY$71&amp;単価表!$AZ$64:$AZ$71,),),MATCH(内訳計算!AV$6,単価表!$AY$63:$CC$63,0)),
INDEX(単価表!$AY$64:$CC$71,MATCH($V26&amp;$W26,INDEX(単価表!$AY$64:$AY$71&amp;単価表!$AZ$64:$AZ$71,),),MATCH(内訳計算!AV$6,単価表!$AY$63:$CC$63,0))),0),0)</f>
        <v>0</v>
      </c>
      <c r="AW26" s="754" cm="1">
        <f t="array" ref="AW26">IFERROR(ROUNDDOWN(IF(HLOOKUP($U26,加算と減算!$E$4:$P$10,7,FALSE)="○",IF(OR($U26=2,$U26=3),
INDEX(単価表!$AY$64:$CC$71,MATCH($V26&amp;$W26,INDEX(単価表!$AY$64:$AY$71&amp;単価表!$AZ$64:$AZ$71,),),MATCH(内訳計算!AW$6,単価表!$AY$63:$CC$63,0)),
INDEX(単価表!$AY$64:$CC$71,MATCH($V26&amp;$W26,INDEX(単価表!$AY$64:$AY$71&amp;単価表!$AZ$64:$AZ$71,),),MATCH(内訳計算!AW$6,単価表!$AY$63:$CC$63,0))),0)*$Y26/25,0),0)</f>
        <v>0</v>
      </c>
      <c r="AX26" s="754" cm="1">
        <f t="array" ref="AX26">IFERROR(ROUNDDOWN(IF(HLOOKUP($U26,加算と減算!$E$4:$P$10,7,FALSE)="○",IF(OR($U26=2,$U26=3),
INDEX(単価表!$AY$64:$CC$71,MATCH($V26&amp;$W26,INDEX(単価表!$AY$64:$AY$71&amp;単価表!$AZ$64:$AZ$71,),),MATCH(内訳計算!AX$6,単価表!$AY$63:$CC$63,0)),
INDEX(単価表!$AY$64:$CC$71,MATCH($V26&amp;$W26,INDEX(単価表!$AY$64:$AY$71&amp;単価表!$AZ$64:$AZ$71,),),MATCH(内訳計算!AX$6,単価表!$AY$63:$CC$63,0))),0)*$Y26/25,0),0)</f>
        <v>0</v>
      </c>
      <c r="AY26" s="871" cm="1">
        <f t="array" ref="AY26">IFERROR(ROUNDDOWN(IF(HLOOKUP($U26,加算と減算!$E$4:$P$10,7,FALSE)="○",IF(OR($U26=2,$U26=3),
INDEX(単価表!$AY$64:$CC$71,MATCH($V26&amp;$W26,INDEX(単価表!$AY$64:$AY$71&amp;単価表!$AZ$64:$AZ$71,),),MATCH(内訳計算!AY$6,単価表!$AY$63:$CC$63,0)),
INDEX(単価表!$AY$64:$CC$71,MATCH($V26&amp;$W26,INDEX(単価表!$AY$64:$AY$71&amp;単価表!$AZ$64:$AZ$71,),),MATCH(内訳計算!AY$6,単価表!$AY$63:$CC$63,0))),0)*$Y26/25,0),0)</f>
        <v>0</v>
      </c>
      <c r="AZ26" s="876" cm="1">
        <f t="array" ref="AZ26">IFERROR(IF(X26="○",INDEX(単価表!$AY$64:$CC$71,MATCH($V26&amp;$W26,INDEX(単価表!$AY$64:$AY$71&amp;単価表!$AZ$64:$AZ$71,),),MATCH(内訳計算!AZ$6,単価表!$AY$63:$CC$63,0)),0),0)</f>
        <v>0</v>
      </c>
      <c r="BA26" s="871" cm="1">
        <f t="array" ref="BA26">IFERROR(ROUNDDOWN(INDEX(単価表!$AY$64:$CC$71,MATCH($V26&amp;$W26,INDEX(単価表!$AY$64:$AY$71&amp;単価表!$AZ$64:$AZ$71,),),MATCH(内訳計算!BA$6,単価表!$AY$63:$CC$63,0))*$Y26/25,0),0)</f>
        <v>0</v>
      </c>
      <c r="BB26" s="876" cm="1">
        <f t="array" ref="BB26">IFERROR(INDEX(単価表!$AY$64:$CC$71,MATCH($V26&amp;$W26,INDEX(単価表!$AY$64:$AY$71&amp;単価表!$AZ$64:$AZ$71,),),MATCH(内訳計算!BB$6,単価表!$AY$63:$CC$63,0)),0)</f>
        <v>0</v>
      </c>
      <c r="BC26" s="871" cm="1">
        <f t="array" ref="BC26">IFERROR(ROUNDDOWN(INDEX(単価表!$AY$64:$CC$71,MATCH($V26&amp;$W26,INDEX(単価表!$AY$64:$AY$71&amp;単価表!$AZ$64:$AZ$71,),),MATCH(内訳計算!BC$6,単価表!$AY$63:$CC$63,0))*$Y26/25,0),0)</f>
        <v>0</v>
      </c>
      <c r="BD26" s="995">
        <f>IFERROR(IF(HLOOKUP($U26,加算と減算!$E$31:$P$32,2,FALSE)="○",IF(OR($U26=2,$U26=3),-(単価表!$AZ$7+単価表!$BA$7*基本情報!$G$7),-(単価表!$AZ$7+単価表!$BA$7*基本情報!$G$7)),0),0)</f>
        <v>0</v>
      </c>
      <c r="BE26" s="996" t="e">
        <f t="shared" si="8"/>
        <v>#VALUE!</v>
      </c>
      <c r="BF26" s="996" t="e">
        <f t="shared" si="9"/>
        <v>#VALUE!</v>
      </c>
      <c r="BG26" s="997" t="e">
        <f t="shared" si="10"/>
        <v>#N/A</v>
      </c>
      <c r="BH26" s="998">
        <f>IFERROR(IF(基本情報!$E$12&lt;&gt;"",-ROUNDDOWN((AA26+AE26+AH26+AL26)*基本情報!$H$12/100,-1),0),0)</f>
        <v>0</v>
      </c>
      <c r="BI26" s="996" t="e">
        <f t="shared" si="11"/>
        <v>#VALUE!</v>
      </c>
      <c r="BJ26" s="996" t="e">
        <f t="shared" si="12"/>
        <v>#VALUE!</v>
      </c>
      <c r="BK26" s="999" t="e">
        <f t="shared" si="13"/>
        <v>#N/A</v>
      </c>
      <c r="BL26" s="1000">
        <f>IFERROR(-ROUNDUP(SUM(AA26,AE26,AH26,AL26,AR26,AT26,AV26,BD26,BH26)*基本情報!$H$14/100,-1),0)</f>
        <v>0</v>
      </c>
      <c r="BM26" s="1001" t="e">
        <f t="shared" si="14"/>
        <v>#VALUE!</v>
      </c>
      <c r="BN26" s="1001" t="e">
        <f t="shared" si="15"/>
        <v>#VALUE!</v>
      </c>
      <c r="BO26" s="1002" t="e">
        <f t="shared" si="16"/>
        <v>#N/A</v>
      </c>
      <c r="BP26" s="701"/>
      <c r="BQ26" s="701"/>
      <c r="BR26" s="701"/>
      <c r="BS26" s="701"/>
      <c r="BT26" s="721"/>
      <c r="BU26" s="1047" t="e">
        <f t="shared" si="17"/>
        <v>#VALUE!</v>
      </c>
      <c r="BV26" s="1048" t="e">
        <f t="shared" si="18"/>
        <v>#VALUE!</v>
      </c>
      <c r="BW26" s="1048" t="e">
        <f t="shared" si="19"/>
        <v>#N/A</v>
      </c>
      <c r="BX26" s="1052">
        <f t="shared" si="20"/>
        <v>0</v>
      </c>
      <c r="BY26" s="1049">
        <f t="shared" si="21"/>
        <v>0</v>
      </c>
      <c r="CB26" s="1626"/>
      <c r="CC26" s="1600"/>
      <c r="CD26" s="719" t="s">
        <v>433</v>
      </c>
      <c r="CE26" s="741" t="s">
        <v>353</v>
      </c>
      <c r="CF26" s="742"/>
      <c r="CG26" s="742"/>
      <c r="CH26" s="742"/>
      <c r="CI26" s="742"/>
      <c r="CJ26" s="742"/>
      <c r="CK26" s="742"/>
      <c r="CL26" s="742"/>
      <c r="CM26" s="742"/>
      <c r="CN26" s="742"/>
      <c r="CO26" s="742"/>
      <c r="CP26" s="742"/>
      <c r="CQ26" s="756">
        <f>'3月'!AQ29</f>
        <v>0</v>
      </c>
      <c r="CR26" s="759">
        <f t="shared" si="22"/>
        <v>0</v>
      </c>
      <c r="CS26" s="1600"/>
      <c r="CT26" s="719" t="s">
        <v>433</v>
      </c>
      <c r="CU26" s="958" t="s">
        <v>353</v>
      </c>
      <c r="CV26" s="776"/>
      <c r="CW26" s="776"/>
      <c r="CX26" s="778">
        <f t="shared" si="36"/>
        <v>0</v>
      </c>
      <c r="CY26" s="954"/>
      <c r="CZ26" s="954"/>
      <c r="DA26" s="721"/>
      <c r="DB26" s="721"/>
    </row>
    <row r="27" spans="1:109" ht="16.149999999999999" customHeight="1" thickTop="1" thickBot="1">
      <c r="A27" s="1652"/>
      <c r="B27" s="1541"/>
      <c r="C27" s="1543"/>
      <c r="D27" s="711" t="s">
        <v>36</v>
      </c>
      <c r="E27" s="712">
        <f>SUM(E23:E26)</f>
        <v>0</v>
      </c>
      <c r="F27" s="714"/>
      <c r="G27" s="714"/>
      <c r="H27" s="714"/>
      <c r="I27" s="714"/>
      <c r="J27" s="712" t="e">
        <f>SUM(J23:J26)</f>
        <v>#VALUE!</v>
      </c>
      <c r="K27" s="712">
        <f t="shared" ref="K27:L27" si="37">SUM(K23:K26)</f>
        <v>0</v>
      </c>
      <c r="L27" s="713" t="e">
        <f t="shared" si="37"/>
        <v>#N/A</v>
      </c>
      <c r="M27" s="674"/>
      <c r="N27" s="1080"/>
      <c r="O27" s="1086"/>
      <c r="P27" s="1086"/>
      <c r="Q27" s="1085"/>
      <c r="R27" s="1085"/>
      <c r="T27" s="915"/>
      <c r="U27" s="915"/>
      <c r="V27" s="915"/>
      <c r="W27" s="915"/>
      <c r="X27" s="1015"/>
      <c r="Y27" s="915"/>
      <c r="Z27" s="721">
        <f>SUM(Z7:Z26)</f>
        <v>0</v>
      </c>
      <c r="AA27" s="721"/>
      <c r="AB27" s="721" t="e">
        <f t="shared" ref="AB27" si="38">SUM(AB7:AB26)</f>
        <v>#VALUE!</v>
      </c>
      <c r="AC27" s="721">
        <f t="shared" ref="AC27" si="39">SUM(AC7:AC26)</f>
        <v>0</v>
      </c>
      <c r="AD27" s="721">
        <f t="shared" ref="AD27" si="40">SUM(AD7:AD26)</f>
        <v>0</v>
      </c>
      <c r="AE27" s="721"/>
      <c r="AF27" s="721">
        <f t="shared" ref="AF27" si="41">SUM(AF7:AF26)</f>
        <v>0</v>
      </c>
      <c r="AG27" s="721">
        <f t="shared" ref="AG27" si="42">SUM(AG7:AG26)</f>
        <v>0</v>
      </c>
      <c r="AH27" s="721"/>
      <c r="AI27" s="721">
        <f t="shared" ref="AI27" si="43">SUM(AI7:AI26)</f>
        <v>0</v>
      </c>
      <c r="AJ27" s="721">
        <f t="shared" ref="AJ27" si="44">SUM(AJ7:AJ26)</f>
        <v>0</v>
      </c>
      <c r="AK27" s="721">
        <f t="shared" ref="AK27" si="45">SUM(AK7:AK26)</f>
        <v>0</v>
      </c>
      <c r="AL27" s="721"/>
      <c r="AM27" s="721">
        <f t="shared" ref="AM27" si="46">SUM(AM7:AM26)</f>
        <v>0</v>
      </c>
      <c r="AN27" s="721">
        <f t="shared" ref="AN27" si="47">SUM(AN7:AN26)</f>
        <v>0</v>
      </c>
      <c r="AO27" s="721">
        <f t="shared" ref="AO27" si="48">SUM(AO7:AO26)</f>
        <v>0</v>
      </c>
      <c r="AP27" s="721">
        <f t="shared" ref="AP27" si="49">SUM(AP7:AP26)</f>
        <v>0</v>
      </c>
      <c r="AQ27" s="721">
        <f t="shared" ref="AQ27" si="50">SUM(AQ7:AQ26)</f>
        <v>0</v>
      </c>
      <c r="AR27" s="721"/>
      <c r="AS27" s="721">
        <f t="shared" ref="AS27" si="51">SUM(AS7:AS26)</f>
        <v>0</v>
      </c>
      <c r="AT27" s="721"/>
      <c r="AU27" s="721">
        <f t="shared" ref="AU27" si="52">SUM(AU7:AU26)</f>
        <v>0</v>
      </c>
      <c r="AV27" s="721"/>
      <c r="AW27" s="721">
        <f t="shared" ref="AW27" si="53">SUM(AW7:AW26)</f>
        <v>0</v>
      </c>
      <c r="AX27" s="721">
        <f t="shared" ref="AX27" si="54">SUM(AX7:AX26)</f>
        <v>0</v>
      </c>
      <c r="AY27" s="721">
        <f t="shared" ref="AY27" si="55">SUM(AY7:AY26)</f>
        <v>0</v>
      </c>
      <c r="AZ27" s="721"/>
      <c r="BA27" s="721">
        <f t="shared" ref="BA27" si="56">SUM(BA7:BA26)</f>
        <v>0</v>
      </c>
      <c r="BB27" s="721"/>
      <c r="BC27" s="721">
        <f t="shared" ref="BC27" si="57">SUM(BC7:BC26)</f>
        <v>0</v>
      </c>
      <c r="BD27" s="721"/>
      <c r="BE27" s="721" t="e">
        <f t="shared" ref="BE27" si="58">SUM(BE7:BE26)</f>
        <v>#VALUE!</v>
      </c>
      <c r="BF27" s="721" t="e">
        <f t="shared" ref="BF27" si="59">SUM(BF7:BF26)</f>
        <v>#VALUE!</v>
      </c>
      <c r="BG27" s="721" t="e">
        <f t="shared" ref="BG27" si="60">SUM(BG7:BG26)</f>
        <v>#N/A</v>
      </c>
      <c r="BH27" s="721"/>
      <c r="BI27" s="721" t="e">
        <f t="shared" ref="BI27" si="61">SUM(BI7:BI26)</f>
        <v>#VALUE!</v>
      </c>
      <c r="BJ27" s="721" t="e">
        <f t="shared" ref="BJ27" si="62">SUM(BJ7:BJ26)</f>
        <v>#VALUE!</v>
      </c>
      <c r="BK27" s="721" t="e">
        <f t="shared" ref="BK27" si="63">SUM(BK7:BK26)</f>
        <v>#N/A</v>
      </c>
      <c r="BL27" s="1019"/>
      <c r="BM27" s="721" t="e">
        <f t="shared" ref="BM27" si="64">SUM(BM7:BM26)</f>
        <v>#VALUE!</v>
      </c>
      <c r="BN27" s="721" t="e">
        <f t="shared" ref="BN27" si="65">SUM(BN7:BN26)</f>
        <v>#VALUE!</v>
      </c>
      <c r="BO27" s="721" t="e">
        <f t="shared" ref="BO27" si="66">SUM(BO7:BO26)</f>
        <v>#N/A</v>
      </c>
      <c r="BP27" s="701"/>
      <c r="BQ27" s="701"/>
      <c r="BR27" s="701"/>
      <c r="BS27" s="701"/>
      <c r="BU27" s="1037" t="e">
        <f>SUM(BU7:BU26)</f>
        <v>#VALUE!</v>
      </c>
      <c r="BV27" s="1038" t="e">
        <f>SUM(BV7:BV26)</f>
        <v>#VALUE!</v>
      </c>
      <c r="BW27" s="1038" t="e">
        <f>SUM(BW7:BW26)</f>
        <v>#N/A</v>
      </c>
      <c r="BX27" s="1053">
        <f>SUM(BX7:BX26)</f>
        <v>0</v>
      </c>
      <c r="BY27" s="1039">
        <f>SUM(BY7:BY26)</f>
        <v>0</v>
      </c>
      <c r="CB27" s="1626"/>
      <c r="CC27" s="1600"/>
      <c r="CD27" s="719" t="s">
        <v>434</v>
      </c>
      <c r="CE27" s="741" t="s">
        <v>353</v>
      </c>
      <c r="CF27" s="742"/>
      <c r="CG27" s="742"/>
      <c r="CH27" s="742"/>
      <c r="CI27" s="742"/>
      <c r="CJ27" s="742"/>
      <c r="CK27" s="742"/>
      <c r="CL27" s="742"/>
      <c r="CM27" s="742"/>
      <c r="CN27" s="742"/>
      <c r="CO27" s="742"/>
      <c r="CP27" s="742"/>
      <c r="CQ27" s="756">
        <f>'3月'!AQ30</f>
        <v>0</v>
      </c>
      <c r="CR27" s="759">
        <f t="shared" si="22"/>
        <v>0</v>
      </c>
      <c r="CS27" s="1600"/>
      <c r="CT27" s="719" t="s">
        <v>434</v>
      </c>
      <c r="CU27" s="958" t="s">
        <v>353</v>
      </c>
      <c r="CV27" s="776"/>
      <c r="CW27" s="776"/>
      <c r="CX27" s="778">
        <f t="shared" si="36"/>
        <v>0</v>
      </c>
      <c r="CY27" s="954"/>
      <c r="CZ27" s="954"/>
      <c r="DA27" s="721"/>
      <c r="DB27" s="721"/>
    </row>
    <row r="28" spans="1:109" ht="16.149999999999999" customHeight="1">
      <c r="B28" s="678"/>
      <c r="C28" s="679"/>
      <c r="D28" s="680"/>
      <c r="E28" s="674"/>
      <c r="F28" s="674"/>
      <c r="G28" s="674"/>
      <c r="H28" s="674"/>
      <c r="I28" s="674"/>
      <c r="J28" s="674"/>
      <c r="K28" s="674"/>
      <c r="L28" s="674"/>
      <c r="N28" s="1080"/>
      <c r="O28" s="1086"/>
      <c r="P28" s="1086"/>
      <c r="Q28" s="1085"/>
      <c r="R28" s="1085"/>
      <c r="T28" s="915"/>
      <c r="U28" s="915"/>
      <c r="V28" s="915"/>
      <c r="W28" s="915"/>
      <c r="X28" s="1015"/>
      <c r="Y28" s="915"/>
      <c r="Z28" s="1016"/>
      <c r="AA28" s="707"/>
      <c r="AB28" s="707"/>
      <c r="AC28" s="707"/>
      <c r="AD28" s="707"/>
      <c r="AE28" s="707"/>
      <c r="AF28" s="743"/>
      <c r="AG28" s="743"/>
      <c r="AH28" s="743"/>
      <c r="AI28" s="743"/>
      <c r="AJ28" s="743"/>
      <c r="AK28" s="743"/>
      <c r="AL28" s="743"/>
      <c r="AM28" s="743"/>
      <c r="AN28" s="743"/>
      <c r="AO28" s="743"/>
      <c r="AP28" s="743"/>
      <c r="AQ28" s="743"/>
      <c r="AR28" s="743"/>
      <c r="AS28" s="743"/>
      <c r="AT28" s="743"/>
      <c r="AU28" s="743"/>
      <c r="AV28" s="743"/>
      <c r="AW28" s="743"/>
      <c r="AX28" s="743"/>
      <c r="AY28" s="743"/>
      <c r="AZ28" s="743"/>
      <c r="BA28" s="743"/>
      <c r="BB28" s="707"/>
      <c r="BC28" s="707"/>
      <c r="BD28" s="1017"/>
      <c r="BE28" s="1018"/>
      <c r="BF28" s="1018"/>
      <c r="BG28" s="1018"/>
      <c r="BH28" s="1018"/>
      <c r="BI28" s="1018"/>
      <c r="BJ28" s="1018"/>
      <c r="BK28" s="1019"/>
      <c r="BL28" s="1019"/>
      <c r="BM28" s="1019"/>
      <c r="BN28" s="1019"/>
      <c r="BO28" s="1019"/>
      <c r="BP28" s="701"/>
      <c r="BQ28" s="701"/>
      <c r="BR28" s="701"/>
      <c r="BS28" s="701"/>
      <c r="CB28" s="1626"/>
      <c r="CC28" s="1600"/>
      <c r="CD28" s="719" t="s">
        <v>21</v>
      </c>
      <c r="CE28" s="741" t="s">
        <v>353</v>
      </c>
      <c r="CF28" s="742"/>
      <c r="CG28" s="742"/>
      <c r="CH28" s="742"/>
      <c r="CI28" s="742"/>
      <c r="CJ28" s="742"/>
      <c r="CK28" s="742"/>
      <c r="CL28" s="742"/>
      <c r="CM28" s="742"/>
      <c r="CN28" s="742"/>
      <c r="CO28" s="742"/>
      <c r="CP28" s="742"/>
      <c r="CQ28" s="756">
        <f>'3月'!AQ31</f>
        <v>0</v>
      </c>
      <c r="CR28" s="759">
        <f t="shared" si="22"/>
        <v>0</v>
      </c>
      <c r="CS28" s="1600"/>
      <c r="CT28" s="719" t="s">
        <v>21</v>
      </c>
      <c r="CU28" s="958" t="s">
        <v>353</v>
      </c>
      <c r="CV28" s="776"/>
      <c r="CW28" s="776"/>
      <c r="CX28" s="778">
        <f t="shared" si="36"/>
        <v>0</v>
      </c>
      <c r="CY28" s="954"/>
      <c r="CZ28" s="954"/>
      <c r="DA28" s="721"/>
      <c r="DB28" s="721"/>
    </row>
    <row r="29" spans="1:109" ht="16.149999999999999" customHeight="1" thickBot="1">
      <c r="B29" s="678"/>
      <c r="C29" s="679"/>
      <c r="D29" s="680"/>
      <c r="E29" s="674"/>
      <c r="F29" s="674"/>
      <c r="G29" s="674"/>
      <c r="H29" s="674"/>
      <c r="I29" s="674"/>
      <c r="J29" s="674"/>
      <c r="K29" s="674"/>
      <c r="L29" s="674"/>
      <c r="N29" s="1080"/>
      <c r="O29" s="1086"/>
      <c r="P29" s="1086"/>
      <c r="Q29" s="1085"/>
      <c r="R29" s="1085"/>
      <c r="T29" s="716" t="s">
        <v>674</v>
      </c>
      <c r="Z29" s="721"/>
      <c r="AA29" s="721"/>
      <c r="AB29" s="721"/>
      <c r="AC29" s="721"/>
      <c r="AD29" s="721"/>
      <c r="AE29" s="721"/>
      <c r="AF29" s="721"/>
      <c r="AG29" s="721"/>
      <c r="AH29" s="721"/>
      <c r="AI29" s="721"/>
      <c r="AJ29" s="721"/>
      <c r="AK29" s="721"/>
      <c r="AL29" s="721"/>
      <c r="AM29" s="721"/>
      <c r="AN29" s="721"/>
      <c r="AO29" s="721"/>
      <c r="AP29" s="721"/>
      <c r="AQ29" s="721"/>
      <c r="AR29" s="721"/>
      <c r="AS29" s="721"/>
      <c r="AT29" s="721"/>
      <c r="AU29" s="721"/>
      <c r="AV29" s="721"/>
      <c r="AW29" s="721"/>
      <c r="AX29" s="721"/>
      <c r="AY29" s="721"/>
      <c r="AZ29" s="721"/>
      <c r="BA29" s="721"/>
      <c r="BB29" s="721"/>
      <c r="BC29" s="721"/>
      <c r="BD29" s="721"/>
      <c r="BE29" s="721"/>
      <c r="BF29" s="721"/>
      <c r="BG29" s="721"/>
      <c r="BH29" s="721"/>
      <c r="BI29" s="721"/>
      <c r="BJ29" s="721"/>
      <c r="BK29" s="721"/>
      <c r="BL29" s="721"/>
      <c r="BM29" s="721"/>
      <c r="BN29" s="721"/>
      <c r="BO29" s="721"/>
      <c r="BP29" s="784"/>
      <c r="BQ29" s="784"/>
      <c r="BR29" s="784"/>
      <c r="BS29" s="784"/>
      <c r="CB29" s="1626"/>
      <c r="CC29" s="1601"/>
      <c r="CD29" s="719" t="s">
        <v>435</v>
      </c>
      <c r="CE29" s="741" t="s">
        <v>353</v>
      </c>
      <c r="CF29" s="742"/>
      <c r="CG29" s="742"/>
      <c r="CH29" s="742"/>
      <c r="CI29" s="742"/>
      <c r="CJ29" s="742"/>
      <c r="CK29" s="742"/>
      <c r="CL29" s="742"/>
      <c r="CM29" s="742"/>
      <c r="CN29" s="742"/>
      <c r="CO29" s="742"/>
      <c r="CP29" s="742"/>
      <c r="CQ29" s="756">
        <f>'3月'!AQ32</f>
        <v>0</v>
      </c>
      <c r="CR29" s="759">
        <f t="shared" si="22"/>
        <v>0</v>
      </c>
      <c r="CS29" s="1601"/>
      <c r="CT29" s="719" t="s">
        <v>435</v>
      </c>
      <c r="CU29" s="958" t="s">
        <v>353</v>
      </c>
      <c r="CV29" s="776"/>
      <c r="CW29" s="776"/>
      <c r="CX29" s="778">
        <f t="shared" si="36"/>
        <v>0</v>
      </c>
      <c r="CY29" s="954"/>
      <c r="CZ29" s="954"/>
      <c r="DA29" s="721"/>
      <c r="DB29" s="721"/>
    </row>
    <row r="30" spans="1:109" ht="16.149999999999999" customHeight="1" thickBot="1">
      <c r="B30" s="678"/>
      <c r="C30" s="679"/>
      <c r="D30" s="680"/>
      <c r="E30" s="674"/>
      <c r="F30" s="674"/>
      <c r="G30" s="674"/>
      <c r="H30" s="674"/>
      <c r="I30" s="674"/>
      <c r="J30" s="674"/>
      <c r="K30" s="674"/>
      <c r="L30" s="674"/>
      <c r="N30" s="1080"/>
      <c r="O30" s="1086"/>
      <c r="P30" s="1086"/>
      <c r="Q30" s="1085"/>
      <c r="R30" s="1085"/>
      <c r="T30" s="1391"/>
      <c r="U30" s="1560" t="s">
        <v>438</v>
      </c>
      <c r="V30" s="1560" t="s">
        <v>444</v>
      </c>
      <c r="W30" s="1560" t="s">
        <v>206</v>
      </c>
      <c r="X30" s="1557" t="s">
        <v>544</v>
      </c>
      <c r="Y30" s="1634" t="s">
        <v>218</v>
      </c>
      <c r="Z30" s="1637" t="s">
        <v>481</v>
      </c>
      <c r="AA30" s="1388" t="s">
        <v>548</v>
      </c>
      <c r="AB30" s="1389"/>
      <c r="AC30" s="1389"/>
      <c r="AD30" s="1390"/>
      <c r="AE30" s="1388" t="s">
        <v>613</v>
      </c>
      <c r="AF30" s="1389"/>
      <c r="AG30" s="1390"/>
      <c r="AH30" s="1388" t="s">
        <v>615</v>
      </c>
      <c r="AI30" s="1389"/>
      <c r="AJ30" s="1389"/>
      <c r="AK30" s="1390"/>
      <c r="AL30" s="1391" t="s">
        <v>619</v>
      </c>
      <c r="AM30" s="1392"/>
      <c r="AN30" s="1392"/>
      <c r="AO30" s="1392"/>
      <c r="AP30" s="1392"/>
      <c r="AQ30" s="1393"/>
      <c r="AR30" s="1391" t="s">
        <v>622</v>
      </c>
      <c r="AS30" s="1393"/>
      <c r="AT30" s="1391" t="s">
        <v>623</v>
      </c>
      <c r="AU30" s="1393"/>
      <c r="AV30" s="1391" t="s">
        <v>624</v>
      </c>
      <c r="AW30" s="1392"/>
      <c r="AX30" s="1392"/>
      <c r="AY30" s="1393"/>
      <c r="AZ30" s="1391" t="s">
        <v>626</v>
      </c>
      <c r="BA30" s="1393"/>
      <c r="BB30" s="1391" t="s">
        <v>625</v>
      </c>
      <c r="BC30" s="1393"/>
      <c r="BD30" s="1518" t="s">
        <v>670</v>
      </c>
      <c r="BE30" s="1519"/>
      <c r="BF30" s="1519"/>
      <c r="BG30" s="1520"/>
      <c r="BH30" s="1521" t="s">
        <v>671</v>
      </c>
      <c r="BI30" s="1519"/>
      <c r="BJ30" s="1519"/>
      <c r="BK30" s="1522"/>
      <c r="BL30" s="1524" t="s">
        <v>672</v>
      </c>
      <c r="BM30" s="1519"/>
      <c r="BN30" s="1519"/>
      <c r="BO30" s="1522"/>
      <c r="BP30" s="784"/>
      <c r="BQ30" s="784"/>
      <c r="BR30" s="784"/>
      <c r="BS30" s="784"/>
      <c r="CB30" s="1627"/>
      <c r="CC30" s="1594" t="s">
        <v>562</v>
      </c>
      <c r="CD30" s="1595"/>
      <c r="CE30" s="768" t="s">
        <v>376</v>
      </c>
      <c r="CF30" s="754">
        <f>'4月'!AQ27</f>
        <v>0</v>
      </c>
      <c r="CG30" s="754">
        <f>'5月'!AQ27</f>
        <v>0</v>
      </c>
      <c r="CH30" s="754">
        <f>'6月'!AQ27</f>
        <v>0</v>
      </c>
      <c r="CI30" s="754">
        <f>'7月'!AQ27</f>
        <v>0</v>
      </c>
      <c r="CJ30" s="754">
        <f>'8月'!AQ27</f>
        <v>0</v>
      </c>
      <c r="CK30" s="754">
        <f>'9月'!AQ27</f>
        <v>0</v>
      </c>
      <c r="CL30" s="754">
        <f>'10月'!AQ27</f>
        <v>0</v>
      </c>
      <c r="CM30" s="754">
        <f>'11月'!AQ27</f>
        <v>0</v>
      </c>
      <c r="CN30" s="754">
        <f>'12月'!AQ27</f>
        <v>0</v>
      </c>
      <c r="CO30" s="754">
        <f>'1月'!AQ27</f>
        <v>0</v>
      </c>
      <c r="CP30" s="754">
        <f>'2月'!AQ27</f>
        <v>0</v>
      </c>
      <c r="CQ30" s="757">
        <f>'3月'!AQ33</f>
        <v>0</v>
      </c>
      <c r="CR30" s="760">
        <f t="shared" si="22"/>
        <v>0</v>
      </c>
      <c r="CS30" s="1594" t="s">
        <v>562</v>
      </c>
      <c r="CT30" s="1595"/>
      <c r="CU30" s="768" t="s">
        <v>376</v>
      </c>
      <c r="CV30" s="776"/>
      <c r="CW30" s="771">
        <f>CR30</f>
        <v>0</v>
      </c>
      <c r="CX30" s="776"/>
      <c r="CY30" s="954"/>
      <c r="CZ30" s="954"/>
      <c r="DA30" s="721"/>
      <c r="DB30" s="721"/>
    </row>
    <row r="31" spans="1:109" ht="16.149999999999999" customHeight="1" thickTop="1" thickBot="1">
      <c r="A31" s="1653" t="s">
        <v>557</v>
      </c>
      <c r="B31" s="1654" t="s">
        <v>534</v>
      </c>
      <c r="C31" s="1527"/>
      <c r="D31" s="1528"/>
      <c r="E31" s="697" t="s">
        <v>535</v>
      </c>
      <c r="F31" s="697" t="s">
        <v>71</v>
      </c>
      <c r="G31" s="697" t="s">
        <v>536</v>
      </c>
      <c r="H31" s="697" t="s">
        <v>537</v>
      </c>
      <c r="I31" s="697" t="s">
        <v>538</v>
      </c>
      <c r="J31" s="703" t="s">
        <v>539</v>
      </c>
      <c r="K31" s="704" t="s">
        <v>540</v>
      </c>
      <c r="L31" s="705" t="s">
        <v>541</v>
      </c>
      <c r="O31" s="973"/>
      <c r="P31" s="973"/>
      <c r="Q31" s="721"/>
      <c r="R31" s="721"/>
      <c r="T31" s="1407"/>
      <c r="U31" s="1561"/>
      <c r="V31" s="1561"/>
      <c r="W31" s="1561"/>
      <c r="X31" s="1558"/>
      <c r="Y31" s="1635"/>
      <c r="Z31" s="1638"/>
      <c r="AA31" s="1394" t="s">
        <v>612</v>
      </c>
      <c r="AB31" s="1396" t="s">
        <v>550</v>
      </c>
      <c r="AC31" s="1397"/>
      <c r="AD31" s="1398"/>
      <c r="AE31" s="1394" t="s">
        <v>612</v>
      </c>
      <c r="AF31" s="1396" t="s">
        <v>550</v>
      </c>
      <c r="AG31" s="1398"/>
      <c r="AH31" s="1394" t="s">
        <v>612</v>
      </c>
      <c r="AI31" s="1396" t="s">
        <v>620</v>
      </c>
      <c r="AJ31" s="1397"/>
      <c r="AK31" s="1398"/>
      <c r="AL31" s="1404" t="s">
        <v>612</v>
      </c>
      <c r="AM31" s="1405" t="s">
        <v>621</v>
      </c>
      <c r="AN31" s="1405"/>
      <c r="AO31" s="1405"/>
      <c r="AP31" s="1405"/>
      <c r="AQ31" s="1406"/>
      <c r="AR31" s="1407" t="s">
        <v>612</v>
      </c>
      <c r="AS31" s="1406" t="s">
        <v>620</v>
      </c>
      <c r="AT31" s="1407" t="s">
        <v>612</v>
      </c>
      <c r="AU31" s="1406" t="s">
        <v>620</v>
      </c>
      <c r="AV31" s="1404" t="s">
        <v>612</v>
      </c>
      <c r="AW31" s="1405" t="s">
        <v>620</v>
      </c>
      <c r="AX31" s="1405"/>
      <c r="AY31" s="1406"/>
      <c r="AZ31" s="1407" t="s">
        <v>612</v>
      </c>
      <c r="BA31" s="1406" t="s">
        <v>620</v>
      </c>
      <c r="BB31" s="1407" t="s">
        <v>612</v>
      </c>
      <c r="BC31" s="1406" t="s">
        <v>620</v>
      </c>
      <c r="BD31" s="1512" t="s">
        <v>612</v>
      </c>
      <c r="BE31" s="1513" t="s">
        <v>620</v>
      </c>
      <c r="BF31" s="1513"/>
      <c r="BG31" s="1514"/>
      <c r="BH31" s="1515" t="s">
        <v>612</v>
      </c>
      <c r="BI31" s="1513" t="s">
        <v>620</v>
      </c>
      <c r="BJ31" s="1513"/>
      <c r="BK31" s="1516"/>
      <c r="BL31" s="1517" t="s">
        <v>612</v>
      </c>
      <c r="BM31" s="1513" t="s">
        <v>620</v>
      </c>
      <c r="BN31" s="1513"/>
      <c r="BO31" s="1516"/>
      <c r="BP31" s="915"/>
      <c r="BQ31" s="784"/>
      <c r="BR31" s="784"/>
      <c r="BS31" s="784"/>
      <c r="BU31" s="1670" t="s">
        <v>706</v>
      </c>
      <c r="BV31" s="1671"/>
      <c r="BW31" s="1671"/>
      <c r="BX31" s="1672"/>
      <c r="BY31" s="1673"/>
      <c r="CC31" s="4"/>
      <c r="CD31" s="261"/>
      <c r="CE31" s="744"/>
      <c r="CF31" s="707"/>
      <c r="CG31" s="707"/>
      <c r="CH31" s="707"/>
      <c r="CI31" s="707"/>
      <c r="CJ31" s="707"/>
      <c r="CK31" s="707"/>
      <c r="CL31" s="707"/>
      <c r="CM31" s="707"/>
      <c r="CN31" s="707"/>
      <c r="CO31" s="707"/>
      <c r="CP31" s="707"/>
      <c r="CQ31" s="701"/>
      <c r="CR31" s="707"/>
      <c r="CS31" s="4"/>
      <c r="CT31" s="261"/>
      <c r="CV31" s="774" t="s">
        <v>570</v>
      </c>
      <c r="CW31" s="774" t="s">
        <v>571</v>
      </c>
      <c r="CX31" s="774" t="s">
        <v>572</v>
      </c>
      <c r="CY31" s="902" t="s">
        <v>681</v>
      </c>
      <c r="CZ31" s="902" t="s">
        <v>682</v>
      </c>
      <c r="DA31" s="721"/>
      <c r="DB31" s="721"/>
    </row>
    <row r="32" spans="1:109" ht="16.5" customHeight="1" thickBot="1">
      <c r="A32" s="1653"/>
      <c r="B32" s="1655"/>
      <c r="C32" s="1542" t="s">
        <v>15</v>
      </c>
      <c r="D32" s="667" t="s">
        <v>6</v>
      </c>
      <c r="E32" s="668">
        <f>SUM(児童数!R8:R17)</f>
        <v>0</v>
      </c>
      <c r="F32" s="668">
        <f>'4月'!F32</f>
        <v>0</v>
      </c>
      <c r="G32" s="669">
        <f>G4</f>
        <v>1809</v>
      </c>
      <c r="H32" s="668">
        <f>IFERROR(INDEX(事業費・管理費!C6:$T$10,MATCH(D32,事業費・管理費!$C$6:$C$10,0),MATCH(基本情報!$AB$4,事業費・管理費!$C$6:$T$6,0)),0)</f>
        <v>0</v>
      </c>
      <c r="I32" s="668">
        <f>F32-G32-H32</f>
        <v>-1809</v>
      </c>
      <c r="J32" s="668">
        <f>E32*I32</f>
        <v>0</v>
      </c>
      <c r="K32" s="668">
        <f>E32*G32</f>
        <v>0</v>
      </c>
      <c r="L32" s="706">
        <f>E32*H32</f>
        <v>0</v>
      </c>
      <c r="N32" s="701"/>
      <c r="O32" s="700"/>
      <c r="P32" s="700"/>
      <c r="Q32" s="707"/>
      <c r="R32" s="721"/>
      <c r="T32" s="1536"/>
      <c r="U32" s="1562"/>
      <c r="V32" s="1562"/>
      <c r="W32" s="1562"/>
      <c r="X32" s="1559"/>
      <c r="Y32" s="1636"/>
      <c r="Z32" s="1639"/>
      <c r="AA32" s="1544"/>
      <c r="AB32" s="725" t="s">
        <v>609</v>
      </c>
      <c r="AC32" s="725" t="s">
        <v>610</v>
      </c>
      <c r="AD32" s="726" t="s">
        <v>611</v>
      </c>
      <c r="AE32" s="1544"/>
      <c r="AF32" s="964" t="s">
        <v>700</v>
      </c>
      <c r="AG32" s="965" t="s">
        <v>682</v>
      </c>
      <c r="AH32" s="1544"/>
      <c r="AI32" s="725" t="s">
        <v>617</v>
      </c>
      <c r="AJ32" s="964" t="s">
        <v>700</v>
      </c>
      <c r="AK32" s="965" t="s">
        <v>682</v>
      </c>
      <c r="AL32" s="1404"/>
      <c r="AM32" s="724" t="s">
        <v>616</v>
      </c>
      <c r="AN32" s="724" t="s">
        <v>618</v>
      </c>
      <c r="AO32" s="723" t="s">
        <v>614</v>
      </c>
      <c r="AP32" s="964" t="s">
        <v>700</v>
      </c>
      <c r="AQ32" s="965" t="s">
        <v>682</v>
      </c>
      <c r="AR32" s="1407"/>
      <c r="AS32" s="1406"/>
      <c r="AT32" s="1407"/>
      <c r="AU32" s="1406"/>
      <c r="AV32" s="1404"/>
      <c r="AW32" s="724" t="s">
        <v>617</v>
      </c>
      <c r="AX32" s="964" t="s">
        <v>700</v>
      </c>
      <c r="AY32" s="965" t="s">
        <v>682</v>
      </c>
      <c r="AZ32" s="1407"/>
      <c r="BA32" s="1406"/>
      <c r="BB32" s="1407"/>
      <c r="BC32" s="1406"/>
      <c r="BD32" s="1512"/>
      <c r="BE32" s="929" t="s">
        <v>559</v>
      </c>
      <c r="BF32" s="930" t="s">
        <v>376</v>
      </c>
      <c r="BG32" s="931" t="s">
        <v>353</v>
      </c>
      <c r="BH32" s="1515"/>
      <c r="BI32" s="929" t="s">
        <v>559</v>
      </c>
      <c r="BJ32" s="930" t="s">
        <v>376</v>
      </c>
      <c r="BK32" s="932" t="s">
        <v>353</v>
      </c>
      <c r="BL32" s="1517"/>
      <c r="BM32" s="929" t="s">
        <v>559</v>
      </c>
      <c r="BN32" s="930" t="s">
        <v>376</v>
      </c>
      <c r="BO32" s="932" t="s">
        <v>353</v>
      </c>
      <c r="BP32" s="915"/>
      <c r="BQ32" s="915"/>
      <c r="BR32" s="916"/>
      <c r="BS32" s="917"/>
      <c r="BU32" s="1674" t="s">
        <v>616</v>
      </c>
      <c r="BV32" s="1676" t="s">
        <v>618</v>
      </c>
      <c r="BW32" s="1678" t="s">
        <v>574</v>
      </c>
      <c r="BX32" s="1678" t="s">
        <v>709</v>
      </c>
      <c r="BY32" s="1659" t="s">
        <v>682</v>
      </c>
      <c r="CB32" s="1625" t="s">
        <v>568</v>
      </c>
      <c r="CC32" s="1596" t="s">
        <v>17</v>
      </c>
      <c r="CD32" s="1597"/>
      <c r="CE32" s="750" t="s">
        <v>169</v>
      </c>
      <c r="CF32" s="751">
        <f>'4月'!AQ32</f>
        <v>0</v>
      </c>
      <c r="CG32" s="751">
        <f>'5月'!AQ32</f>
        <v>0</v>
      </c>
      <c r="CH32" s="751">
        <f>'6月'!AQ32</f>
        <v>0</v>
      </c>
      <c r="CI32" s="751">
        <f>'7月'!AQ32</f>
        <v>0</v>
      </c>
      <c r="CJ32" s="751">
        <f>'8月'!AQ32</f>
        <v>0</v>
      </c>
      <c r="CK32" s="751">
        <f>'9月'!AQ32</f>
        <v>0</v>
      </c>
      <c r="CL32" s="751">
        <f>'10月'!AQ32</f>
        <v>0</v>
      </c>
      <c r="CM32" s="751">
        <f>'11月'!AQ32</f>
        <v>0</v>
      </c>
      <c r="CN32" s="751">
        <f>'12月'!AQ32</f>
        <v>0</v>
      </c>
      <c r="CO32" s="751">
        <f>'1月'!AQ32</f>
        <v>0</v>
      </c>
      <c r="CP32" s="751">
        <f>'2月'!AQ32</f>
        <v>0</v>
      </c>
      <c r="CQ32" s="755">
        <f>'3月'!AQ38</f>
        <v>0</v>
      </c>
      <c r="CR32" s="758">
        <f>SUM(CF32:CQ32)</f>
        <v>0</v>
      </c>
      <c r="CS32" s="1596" t="s">
        <v>17</v>
      </c>
      <c r="CT32" s="1597"/>
      <c r="CU32" s="750" t="s">
        <v>169</v>
      </c>
      <c r="CV32" s="771">
        <f>J36+J42+J49+J55</f>
        <v>0</v>
      </c>
      <c r="CW32" s="771">
        <f>K36+K42+K49+K55</f>
        <v>0</v>
      </c>
      <c r="CX32" s="771">
        <f>L36+L42+L49+L55</f>
        <v>0</v>
      </c>
      <c r="CY32" s="954"/>
      <c r="CZ32" s="954"/>
      <c r="DA32" s="721"/>
      <c r="DB32" s="721"/>
    </row>
    <row r="33" spans="1:106" ht="18" thickTop="1" thickBot="1">
      <c r="A33" s="1653"/>
      <c r="B33" s="1655"/>
      <c r="C33" s="1542"/>
      <c r="D33" s="667" t="s">
        <v>7</v>
      </c>
      <c r="E33" s="668">
        <f>SUM(児童数!S8:S17)</f>
        <v>0</v>
      </c>
      <c r="F33" s="707">
        <f>'4月'!G32</f>
        <v>0</v>
      </c>
      <c r="G33" s="668">
        <f>G32</f>
        <v>1809</v>
      </c>
      <c r="H33" s="668">
        <f>IFERROR(INDEX(事業費・管理費!C6:$T$10,MATCH(D33,事業費・管理費!$C$6:$C$10,0),MATCH(基本情報!$AB$4,事業費・管理費!$C$6:$T$6,0)),0)</f>
        <v>0</v>
      </c>
      <c r="I33" s="668">
        <f>F33-G33-H33</f>
        <v>-1809</v>
      </c>
      <c r="J33" s="668">
        <f t="shared" ref="J33:J35" si="67">E33*I33</f>
        <v>0</v>
      </c>
      <c r="K33" s="668">
        <f t="shared" ref="K33:K35" si="68">E33*G33</f>
        <v>0</v>
      </c>
      <c r="L33" s="706">
        <f t="shared" ref="L33:L35" si="69">E33*H33</f>
        <v>0</v>
      </c>
      <c r="N33" s="701"/>
      <c r="O33" s="700"/>
      <c r="P33" s="700"/>
      <c r="Q33" s="707"/>
      <c r="R33" s="721"/>
      <c r="T33" s="911"/>
      <c r="U33" s="905"/>
      <c r="V33" s="905"/>
      <c r="W33" s="905"/>
      <c r="X33" s="913"/>
      <c r="Y33" s="905"/>
      <c r="Z33" s="944"/>
      <c r="AA33" s="838" t="s">
        <v>630</v>
      </c>
      <c r="AB33" s="920" t="s">
        <v>632</v>
      </c>
      <c r="AC33" s="920" t="s">
        <v>634</v>
      </c>
      <c r="AD33" s="922" t="s">
        <v>636</v>
      </c>
      <c r="AE33" s="838" t="s">
        <v>638</v>
      </c>
      <c r="AF33" s="923" t="s">
        <v>640</v>
      </c>
      <c r="AG33" s="922" t="s">
        <v>642</v>
      </c>
      <c r="AH33" s="838" t="s">
        <v>644</v>
      </c>
      <c r="AI33" s="924" t="s">
        <v>646</v>
      </c>
      <c r="AJ33" s="923" t="s">
        <v>648</v>
      </c>
      <c r="AK33" s="925" t="s">
        <v>650</v>
      </c>
      <c r="AL33" s="926" t="s">
        <v>652</v>
      </c>
      <c r="AM33" s="824" t="s">
        <v>653</v>
      </c>
      <c r="AN33" s="824" t="s">
        <v>654</v>
      </c>
      <c r="AO33" s="836" t="s">
        <v>655</v>
      </c>
      <c r="AP33" s="927" t="s">
        <v>656</v>
      </c>
      <c r="AQ33" s="837" t="s">
        <v>657</v>
      </c>
      <c r="AR33" s="823" t="s">
        <v>658</v>
      </c>
      <c r="AS33" s="928" t="s">
        <v>659</v>
      </c>
      <c r="AT33" s="823" t="s">
        <v>660</v>
      </c>
      <c r="AU33" s="928" t="s">
        <v>661</v>
      </c>
      <c r="AV33" s="926" t="s">
        <v>662</v>
      </c>
      <c r="AW33" s="824" t="s">
        <v>663</v>
      </c>
      <c r="AX33" s="927" t="s">
        <v>664</v>
      </c>
      <c r="AY33" s="837" t="s">
        <v>665</v>
      </c>
      <c r="AZ33" s="823" t="s">
        <v>666</v>
      </c>
      <c r="BA33" s="928" t="s">
        <v>667</v>
      </c>
      <c r="BB33" s="823" t="s">
        <v>668</v>
      </c>
      <c r="BC33" s="928" t="s">
        <v>669</v>
      </c>
      <c r="BD33" s="933"/>
      <c r="BE33" s="935" t="e">
        <f>1-BF33-BG33</f>
        <v>#VALUE!</v>
      </c>
      <c r="BF33" s="935" t="e">
        <f>$CW$58</f>
        <v>#VALUE!</v>
      </c>
      <c r="BG33" s="936" t="e">
        <f>$CX$58</f>
        <v>#N/A</v>
      </c>
      <c r="BH33" s="934"/>
      <c r="BI33" s="935" t="e">
        <f>1-BJ33-BK33</f>
        <v>#VALUE!</v>
      </c>
      <c r="BJ33" s="935" t="e">
        <f>$CW$58</f>
        <v>#VALUE!</v>
      </c>
      <c r="BK33" s="942" t="e">
        <f>$CX$58</f>
        <v>#N/A</v>
      </c>
      <c r="BL33" s="940"/>
      <c r="BM33" s="941" t="e">
        <f>$CV$58</f>
        <v>#VALUE!</v>
      </c>
      <c r="BN33" s="941" t="e">
        <f>$CW$58</f>
        <v>#VALUE!</v>
      </c>
      <c r="BO33" s="943" t="e">
        <f>$CX$58</f>
        <v>#N/A</v>
      </c>
      <c r="BP33" s="701"/>
      <c r="BQ33" s="701"/>
      <c r="BR33" s="701"/>
      <c r="BS33" s="701"/>
      <c r="BU33" s="1675"/>
      <c r="BV33" s="1677"/>
      <c r="BW33" s="1679"/>
      <c r="BX33" s="1679"/>
      <c r="BY33" s="1660"/>
      <c r="CB33" s="1626"/>
      <c r="CC33" s="1598"/>
      <c r="CD33" s="1418"/>
      <c r="CE33" s="734" t="s">
        <v>167</v>
      </c>
      <c r="CF33" s="672">
        <f>'4月'!AQ33</f>
        <v>0</v>
      </c>
      <c r="CG33" s="672">
        <f>'5月'!AQ33</f>
        <v>0</v>
      </c>
      <c r="CH33" s="672">
        <f>'6月'!AQ33</f>
        <v>0</v>
      </c>
      <c r="CI33" s="672">
        <f>'7月'!AQ33</f>
        <v>0</v>
      </c>
      <c r="CJ33" s="672">
        <f>'8月'!AQ33</f>
        <v>0</v>
      </c>
      <c r="CK33" s="672">
        <f>'9月'!AQ33</f>
        <v>0</v>
      </c>
      <c r="CL33" s="672">
        <f>'10月'!AQ33</f>
        <v>0</v>
      </c>
      <c r="CM33" s="672">
        <f>'11月'!AQ33</f>
        <v>0</v>
      </c>
      <c r="CN33" s="672">
        <f>'12月'!AQ33</f>
        <v>0</v>
      </c>
      <c r="CO33" s="672">
        <f>'1月'!AQ33</f>
        <v>0</v>
      </c>
      <c r="CP33" s="672">
        <f>'2月'!AQ33</f>
        <v>0</v>
      </c>
      <c r="CQ33" s="756">
        <f>'3月'!AQ39</f>
        <v>0</v>
      </c>
      <c r="CR33" s="759">
        <f t="shared" si="22"/>
        <v>0</v>
      </c>
      <c r="CS33" s="1598"/>
      <c r="CT33" s="1418"/>
      <c r="CU33" s="957" t="s">
        <v>167</v>
      </c>
      <c r="CV33" s="954"/>
      <c r="CW33" s="776"/>
      <c r="CX33" s="954"/>
      <c r="CY33" s="1055" t="e">
        <f>CR33-CZ33</f>
        <v>#DIV/0!</v>
      </c>
      <c r="CZ33" s="1055" t="e">
        <f>ROUNDDOWN(CR33*$CW$3/$CU$1,-1)</f>
        <v>#DIV/0!</v>
      </c>
      <c r="DA33" s="721"/>
      <c r="DB33" s="721"/>
    </row>
    <row r="34" spans="1:106" ht="17.25" thickTop="1">
      <c r="A34" s="1653"/>
      <c r="B34" s="1655"/>
      <c r="C34" s="1542"/>
      <c r="D34" s="667" t="s">
        <v>8</v>
      </c>
      <c r="E34" s="668">
        <f>SUM(児童数!T8:T17)</f>
        <v>0</v>
      </c>
      <c r="F34" s="668">
        <f>'4月'!H32</f>
        <v>0</v>
      </c>
      <c r="G34" s="669">
        <f>G6</f>
        <v>10478</v>
      </c>
      <c r="H34" s="668">
        <f>IFERROR(INDEX(事業費・管理費!C6:$T$10,MATCH(D34,事業費・管理費!$C$6:$C$10,0),MATCH(基本情報!$AB$4,事業費・管理費!$C$6:$T$6,0)),0)</f>
        <v>0</v>
      </c>
      <c r="I34" s="668">
        <f>F34-G34-H34</f>
        <v>-10478</v>
      </c>
      <c r="J34" s="668">
        <f t="shared" si="67"/>
        <v>0</v>
      </c>
      <c r="K34" s="668">
        <f t="shared" si="68"/>
        <v>0</v>
      </c>
      <c r="L34" s="706">
        <f t="shared" si="69"/>
        <v>0</v>
      </c>
      <c r="N34" s="701"/>
      <c r="O34" s="700"/>
      <c r="P34" s="700"/>
      <c r="Q34" s="707"/>
      <c r="R34" s="721"/>
      <c r="T34" s="685">
        <v>1</v>
      </c>
      <c r="U34" s="904">
        <f>月途中入退所情報!N8</f>
        <v>0</v>
      </c>
      <c r="V34" s="904">
        <f>月途中入退所情報!R8</f>
        <v>0</v>
      </c>
      <c r="W34" s="904">
        <f>月途中入退所情報!Q8</f>
        <v>0</v>
      </c>
      <c r="X34" s="948">
        <f>月途中入退所情報!S8</f>
        <v>0</v>
      </c>
      <c r="Y34" s="904">
        <f>月途中入退所情報!T8</f>
        <v>0</v>
      </c>
      <c r="Z34" s="975">
        <f>-ROUNDUP((AA34+AE34+AH34+AL34+AR34+AT34+AV34+AZ34+BB34+BD34+BH34+BL34)*Y34/25,-1)</f>
        <v>0</v>
      </c>
      <c r="AA34" s="976" cm="1">
        <f t="array" ref="AA34">IFERROR(IF(OR($U34=2,$U34=3),
INDEX(単価表!$AY$64:$CC$71,MATCH($V34&amp;$W34,INDEX(単価表!$AY$64:$AY$71&amp;単価表!$AZ$64:$AZ$71,),),MATCH(内訳計算!AA$6,単価表!$AY$63:$CC$63,0)),
INDEX(単価表!$AY$64:$CC$71,MATCH($V34&amp;$W34,INDEX(単価表!$AY$64:$AY$71&amp;単価表!$AZ$64:$AZ$71,),),MATCH(内訳計算!AA$6,単価表!$AY$63:$CC$63,0))),0)</f>
        <v>0</v>
      </c>
      <c r="AB34" s="977" t="e">
        <f>-Z34-SUM(AC34:AD34,AF34:AG34,AI34:AK34,AM34:AQ34,AS34,AU34,AW34:AY34,BA34,BC34,BE34:BG34,BI34:BK34,BM34:BO34)</f>
        <v>#VALUE!</v>
      </c>
      <c r="AC34" s="977" cm="1">
        <f t="array" ref="AC34">IFERROR(ROUNDUP(IF(OR($U34=2,$U34=3),
INDEX(単価表!$AY$64:$CC$71,MATCH($V34&amp;$W34,INDEX(単価表!$AY$64:$AY$71&amp;単価表!$AZ$64:$AZ$71,),),MATCH(内訳計算!AC$6,単価表!$AY$63:$CC$63,0)),
INDEX(単価表!$AY$64:$CC$71,MATCH($V34&amp;$W34,INDEX(単価表!$AY$64:$AY$71&amp;単価表!$AZ$64:$AZ$71,),),MATCH(内訳計算!AC$6,単価表!$AY$63:$CC$63,0)))*$Y34/25,0),0)</f>
        <v>0</v>
      </c>
      <c r="AD34" s="975" cm="1">
        <f t="array" ref="AD34">IFERROR(ROUNDUP(IF(OR($U34=2,$U34=3),
INDEX(単価表!$AY$64:$CC$71,MATCH($V34&amp;$W34,INDEX(単価表!$AY$64:$AY$71&amp;単価表!$AZ$64:$AZ$71,),),MATCH(内訳計算!AD$6,単価表!$AY$63:$CC$63,0)),
INDEX(単価表!$AY$64:$CC$71,MATCH($V34&amp;$W34,INDEX(単価表!$AY$64:$AY$71&amp;単価表!$AZ$64:$AZ$71,),),MATCH(内訳計算!AD$6,単価表!$AY$63:$CC$63,0)))*$Y34/25,0),0)</f>
        <v>0</v>
      </c>
      <c r="AE34" s="976" cm="1">
        <f t="array" ref="AE34">IFERROR(IF(OR($U34=2,$U34=3),
INDEX(単価表!$AY$64:$CC$71,MATCH($V34&amp;$W34,INDEX(単価表!$AY$64:$AY$71&amp;単価表!$AZ$64:$AZ$71,),),MATCH(内訳計算!AE$6,単価表!$AY$63:$CC$63,0)),
INDEX(単価表!$AY$64:$CC$71,MATCH($V34&amp;$W34,INDEX(単価表!$AY$64:$AY$71&amp;単価表!$AZ$64:$AZ$71,),),MATCH(内訳計算!AE$6,単価表!$AY$63:$CC$63,0))),0)</f>
        <v>0</v>
      </c>
      <c r="AF34" s="977" cm="1">
        <f t="array" ref="AF34">IFERROR(ROUNDUP(IF(OR($U34=2,$U34=3),
INDEX(単価表!$AY$64:$CC$71,MATCH($V34&amp;$W34,INDEX(単価表!$AY$64:$AY$71&amp;単価表!$AZ$64:$AZ$71,),),MATCH(内訳計算!AF$6,単価表!$AY$63:$CC$63,0)),
INDEX(単価表!$AY$64:$CC$71,MATCH($V34&amp;$W34,INDEX(単価表!$AY$64:$AY$71&amp;単価表!$AZ$64:$AZ$71,),),MATCH(内訳計算!AF$6,単価表!$AY$63:$CC$63,0)))*$Y34/25,0),0)</f>
        <v>0</v>
      </c>
      <c r="AG34" s="975" cm="1">
        <f t="array" ref="AG34">IFERROR(ROUNDUP(IF(OR($U34=2,$U34=3),
INDEX(単価表!$AY$64:$CC$71,MATCH($V34&amp;$W34,INDEX(単価表!$AY$64:$AY$71&amp;単価表!$AZ$64:$AZ$71,),),MATCH(内訳計算!AG$6,単価表!$AY$63:$CC$63,0)),
INDEX(単価表!$AY$64:$CC$71,MATCH($V34&amp;$W34,INDEX(単価表!$AY$64:$AY$71&amp;単価表!$AZ$64:$AZ$71,),),MATCH(内訳計算!AG$6,単価表!$AY$63:$CC$63,0)))*$Y34/25,0),0)</f>
        <v>0</v>
      </c>
      <c r="AH34" s="976" cm="1">
        <f t="array" ref="AH34">IFERROR(IF(HLOOKUP($U34,加算と減算!$E$4:$P$10,2,FALSE)="○",IF(OR($U34=2,$U34=3),
INDEX(単価表!$AY$64:$CC$71,MATCH($V34&amp;$W34,INDEX(単価表!$AY$64:$AY$71&amp;単価表!$AZ$64:$AZ$71,),),MATCH(内訳計算!AH$6,単価表!$AY$63:$CC$63,0)),
INDEX(単価表!$AY$64:$CC$71,MATCH($V34&amp;$W34,INDEX(単価表!$AY$64:$AY$71&amp;単価表!$AZ$64:$AZ$71,),),MATCH(内訳計算!AH$6,単価表!$AY$63:$CC$63,0))),0),0)</f>
        <v>0</v>
      </c>
      <c r="AI34" s="978" cm="1">
        <f t="array" ref="AI34">IFERROR(ROUNDUP(IF(HLOOKUP($U34,加算と減算!$E$4:$P$10,2,FALSE)="○",IF(OR($U34=2,$U34=3),
INDEX(単価表!$AY$64:$CC$71,MATCH($V34&amp;$W34,INDEX(単価表!$AY$64:$AY$71&amp;単価表!$AZ$64:$AZ$71,),),MATCH(内訳計算!AI$6,単価表!$AY$63:$CC$63,0)),
INDEX(単価表!$AY$64:$CC$71,MATCH($V34&amp;$W34,INDEX(単価表!$AY$64:$AY$71&amp;単価表!$AZ$64:$AZ$71,),),MATCH(内訳計算!AI$6,単価表!$AY$63:$CC$63,0))),0)*$Y34/25,0),0)</f>
        <v>0</v>
      </c>
      <c r="AJ34" s="977" cm="1">
        <f t="array" ref="AJ34">IFERROR(ROUNDUP(IF(HLOOKUP($U34,加算と減算!$E$4:$P$10,2,FALSE)="○",IF(OR($U34=2,$U34=3),
INDEX(単価表!$AY$64:$CC$71,MATCH($V34&amp;$W34,INDEX(単価表!$AY$64:$AY$71&amp;単価表!$AZ$64:$AZ$71,),),MATCH(内訳計算!AJ$6,単価表!$AY$63:$CC$63,0)),
INDEX(単価表!$AY$64:$CC$71,MATCH($V34&amp;$W34,INDEX(単価表!$AY$64:$AY$71&amp;単価表!$AZ$64:$AZ$71,),),MATCH(内訳計算!AJ$6,単価表!$AY$63:$CC$63,0))),0)*$Y34/25,0),0)</f>
        <v>0</v>
      </c>
      <c r="AK34" s="975" cm="1">
        <f t="array" ref="AK34">IFERROR(ROUNDUP(IF(HLOOKUP($U34,加算と減算!$E$4:$P$10,2,FALSE)="○",IF(OR($U34=2,$U34=3),
INDEX(単価表!$AY$64:$CC$71,MATCH($V34&amp;$W34,INDEX(単価表!$AY$64:$AY$71&amp;単価表!$AZ$64:$AZ$71,),),MATCH(内訳計算!AK$6,単価表!$AY$63:$CC$63,0)),
INDEX(単価表!$AY$64:$CC$71,MATCH($V34&amp;$W34,INDEX(単価表!$AY$64:$AY$71&amp;単価表!$AZ$64:$AZ$71,),),MATCH(内訳計算!AK$6,単価表!$AY$63:$CC$63,0))),0)*$Y34/25,0),0)</f>
        <v>0</v>
      </c>
      <c r="AL34" s="976" cm="1">
        <f t="array" ref="AL34">IFERROR(IF(HLOOKUP($U34,加算と減算!$E$4:$P$10,4,FALSE)="○",IF(OR($U34=2,$U34=3),
INDEX(単価表!$AY$64:$CC$71,MATCH($V34&amp;$W34,INDEX(単価表!$AY$64:$AY$71&amp;単価表!$AZ$64:$AZ$71,),),MATCH(内訳計算!AL$6,単価表!$AY$63:$CC$63,0)),
INDEX(単価表!$AY$64:$CC$71,MATCH($V34&amp;$W34,INDEX(単価表!$AY$64:$AY$71&amp;単価表!$AZ$64:$AZ$71,),),MATCH(内訳計算!AL$6,単価表!$AY$63:$CC$63,0))),0),0)</f>
        <v>0</v>
      </c>
      <c r="AM34" s="977" cm="1">
        <f t="array" ref="AM34">IFERROR(ROUNDUP(IF(HLOOKUP($U34,加算と減算!$E$4:$P$10,4,FALSE)="○",IF(OR($U34=2,$U34=3),
INDEX(単価表!$AY$64:$CC$71,MATCH($V34&amp;$W34,INDEX(単価表!$AY$64:$AY$71&amp;単価表!$AZ$64:$AZ$71,),),MATCH(内訳計算!AM$6,単価表!$AY$63:$CC$63,0)),
INDEX(単価表!$AY$64:$CC$71,MATCH($V34&amp;$W34,INDEX(単価表!$AY$64:$AY$71&amp;単価表!$AZ$64:$AZ$71,),),MATCH(内訳計算!AM$6,単価表!$AY$63:$CC$63,0))),0)*$Y34/25,0),0)</f>
        <v>0</v>
      </c>
      <c r="AN34" s="977" cm="1">
        <f t="array" ref="AN34">IFERROR(ROUNDUP(IF(HLOOKUP($U34,加算と減算!$E$4:$P$10,4,FALSE)="○",IF(OR($U34=2,$U34=3),
INDEX(単価表!$AY$64:$CC$71,MATCH($V34&amp;$W34,INDEX(単価表!$AY$64:$AY$71&amp;単価表!$AZ$64:$AZ$71,),),MATCH(内訳計算!AN$6,単価表!$AY$63:$CC$63,0)),
INDEX(単価表!$AY$64:$CC$71,MATCH($V34&amp;$W34,INDEX(単価表!$AY$64:$AY$71&amp;単価表!$AZ$64:$AZ$71,),),MATCH(内訳計算!AN$6,単価表!$AY$63:$CC$63,0))),0)*$Y34/25,0),0)</f>
        <v>0</v>
      </c>
      <c r="AO34" s="977" cm="1">
        <f t="array" ref="AO34">IFERROR(ROUNDUP(IF(HLOOKUP($U34,加算と減算!$E$4:$P$10,4,FALSE)="○",IF(OR($U34=2,$U34=3),
INDEX(単価表!$AY$64:$CC$71,MATCH($V34&amp;$W34,INDEX(単価表!$AY$64:$AY$71&amp;単価表!$AZ$64:$AZ$71,),),MATCH(内訳計算!AO$6,単価表!$AY$63:$CC$63,0)),
INDEX(単価表!$AY$64:$CC$71,MATCH($V34&amp;$W34,INDEX(単価表!$AY$64:$AY$71&amp;単価表!$AZ$64:$AZ$71,),),MATCH(内訳計算!AO$6,単価表!$AY$63:$CC$63,0))),0)*$Y34/25,0),0)</f>
        <v>0</v>
      </c>
      <c r="AP34" s="977" cm="1">
        <f t="array" ref="AP34">IFERROR(ROUNDUP(IF(HLOOKUP($U34,加算と減算!$E$4:$P$10,4,FALSE)="○",IF(OR($U34=2,$U34=3),
INDEX(単価表!$AY$64:$CC$71,MATCH($V34&amp;$W34,INDEX(単価表!$AY$64:$AY$71&amp;単価表!$AZ$64:$AZ$71,),),MATCH(内訳計算!AP$6,単価表!$AY$63:$CC$63,0)),
INDEX(単価表!$AY$64:$CC$71,MATCH($V34&amp;$W34,INDEX(単価表!$AY$64:$AY$71&amp;単価表!$AZ$64:$AZ$71,),),MATCH(内訳計算!AP$6,単価表!$AY$63:$CC$63,0))),0)*$Y34/25,0),0)</f>
        <v>0</v>
      </c>
      <c r="AQ34" s="975" cm="1">
        <f t="array" ref="AQ34">IFERROR(ROUNDUP(IF(HLOOKUP($U34,加算と減算!$E$4:$P$10,4,FALSE)="○",IF(OR($U34=2,$U34=3),
INDEX(単価表!$AY$64:$CC$71,MATCH($V34&amp;$W34,INDEX(単価表!$AY$64:$AY$71&amp;単価表!$AZ$64:$AZ$71,),),MATCH(内訳計算!AQ$6,単価表!$AY$63:$CC$63,0)),
INDEX(単価表!$AY$64:$CC$71,MATCH($V34&amp;$W34,INDEX(単価表!$AY$64:$AY$71&amp;単価表!$AZ$64:$AZ$71,),),MATCH(内訳計算!AQ$6,単価表!$AY$63:$CC$63,0))),0)*$Y34/25,0),0)</f>
        <v>0</v>
      </c>
      <c r="AR34" s="976" cm="1">
        <f t="array" ref="AR34">IFERROR(IF(HLOOKUP($U34,加算と減算!$E$4:$P$10,5,FALSE)="○",IF(OR($U34=2,$U34=3),
INDEX(単価表!$AY$64:$CC$71,MATCH($V34&amp;$W34,INDEX(単価表!$AY$64:$AY$71&amp;単価表!$AZ$64:$AZ$71,),),MATCH(内訳計算!AR$6,単価表!$AY$63:$CC$63,0)),
INDEX(単価表!$AY$64:$CC$71,MATCH($V34&amp;$W34,INDEX(単価表!$AY$64:$AY$71&amp;単価表!$AZ$64:$AZ$71,),),MATCH(内訳計算!AR$6,単価表!$AY$63:$CC$63,0))),0),0)</f>
        <v>0</v>
      </c>
      <c r="AS34" s="975" cm="1">
        <f t="array" ref="AS34">IFERROR(ROUNDUP(IF(HLOOKUP($U34,加算と減算!$E$4:$P$10,5,FALSE)="○",IF(OR($U34=2,$U34=3),
INDEX(単価表!$AY$64:$CC$71,MATCH($V34&amp;$W34,INDEX(単価表!$AY$64:$AY$71&amp;単価表!$AZ$64:$AZ$71,),),MATCH(内訳計算!AS$6,単価表!$AY$63:$CC$63,0)),
INDEX(単価表!$AY$64:$CC$71,MATCH($V34&amp;$W34,INDEX(単価表!$AY$64:$AY$71&amp;単価表!$AZ$64:$AZ$71,),),MATCH(内訳計算!AS$6,単価表!$AY$63:$CC$63,0))),0)*$Y34/25,0),0)</f>
        <v>0</v>
      </c>
      <c r="AT34" s="976" cm="1">
        <f t="array" ref="AT34">IFERROR(IF(HLOOKUP($U34,加算と減算!$E$4:$P$10,6,FALSE)="○",IF(OR($U34=2,$U34=3),
INDEX(単価表!$AY$64:$CC$71,MATCH($V34&amp;$W34,INDEX(単価表!$AY$64:$AY$71&amp;単価表!$AZ$64:$AZ$71,),),MATCH(内訳計算!AT$6,単価表!$AY$63:$CC$63,0)),
INDEX(単価表!$AY$64:$CC$71,MATCH($V34&amp;$W34,INDEX(単価表!$AY$64:$AY$71&amp;単価表!$AZ$64:$AZ$71,),),MATCH(内訳計算!AT$6,単価表!$AY$63:$CC$63,0))),0),0)</f>
        <v>0</v>
      </c>
      <c r="AU34" s="975" cm="1">
        <f t="array" ref="AU34">IFERROR(ROUNDUP(IF(HLOOKUP($U34,加算と減算!$E$4:$P$10,6,FALSE)="○",IF(OR($U34=2,$U34=3),
INDEX(単価表!$AY$64:$CC$71,MATCH($V34&amp;$W34,INDEX(単価表!$AY$64:$AY$71&amp;単価表!$AZ$64:$AZ$71,),),MATCH(内訳計算!AU$6,単価表!$AY$63:$CC$63,0)),
INDEX(単価表!$AY$64:$CC$71,MATCH($V34&amp;$W34,INDEX(単価表!$AY$64:$AY$71&amp;単価表!$AZ$64:$AZ$71,),),MATCH(内訳計算!AU$6,単価表!$AY$63:$CC$63,0))),0)*$Y34/25,0),0)</f>
        <v>0</v>
      </c>
      <c r="AV34" s="976" cm="1">
        <f t="array" ref="AV34">IFERROR(IF(HLOOKUP($U34,加算と減算!$E$4:$P$10,7,FALSE)="○",IF(OR($U34=2,$U34=3),
INDEX(単価表!$AY$64:$CC$71,MATCH($V34&amp;$W34,INDEX(単価表!$AY$64:$AY$71&amp;単価表!$AZ$64:$AZ$71,),),MATCH(内訳計算!AV$6,単価表!$AY$63:$CC$63,0)),
INDEX(単価表!$AY$64:$CC$71,MATCH($V34&amp;$W34,INDEX(単価表!$AY$64:$AY$71&amp;単価表!$AZ$64:$AZ$71,),),MATCH(内訳計算!AV$6,単価表!$AY$63:$CC$63,0))),0),0)</f>
        <v>0</v>
      </c>
      <c r="AW34" s="977" cm="1">
        <f t="array" ref="AW34">IFERROR(ROUNDUP(IF(HLOOKUP($U34,加算と減算!$E$4:$P$10,7,FALSE)="○",IF(OR($U34=2,$U34=3),
INDEX(単価表!$AY$64:$CC$71,MATCH($V34&amp;$W34,INDEX(単価表!$AY$64:$AY$71&amp;単価表!$AZ$64:$AZ$71,),),MATCH(内訳計算!AW$6,単価表!$AY$63:$CC$63,0)),
INDEX(単価表!$AY$64:$CC$71,MATCH($V34&amp;$W34,INDEX(単価表!$AY$64:$AY$71&amp;単価表!$AZ$64:$AZ$71,),),MATCH(内訳計算!AW$6,単価表!$AY$63:$CC$63,0))),0)*$Y34/25,0),0)</f>
        <v>0</v>
      </c>
      <c r="AX34" s="977" cm="1">
        <f t="array" ref="AX34">IFERROR(ROUNDUP(IF(HLOOKUP($U34,加算と減算!$E$4:$P$10,7,FALSE)="○",IF(OR($U34=2,$U34=3),
INDEX(単価表!$AY$64:$CC$71,MATCH($V34&amp;$W34,INDEX(単価表!$AY$64:$AY$71&amp;単価表!$AZ$64:$AZ$71,),),MATCH(内訳計算!AX$6,単価表!$AY$63:$CC$63,0)),
INDEX(単価表!$AY$64:$CC$71,MATCH($V34&amp;$W34,INDEX(単価表!$AY$64:$AY$71&amp;単価表!$AZ$64:$AZ$71,),),MATCH(内訳計算!AX$6,単価表!$AY$63:$CC$63,0))),0)*$Y34/25,0),0)</f>
        <v>0</v>
      </c>
      <c r="AY34" s="975" cm="1">
        <f t="array" ref="AY34">IFERROR(ROUNDUP(IF(HLOOKUP($U34,加算と減算!$E$4:$P$10,7,FALSE)="○",IF(OR($U34=2,$U34=3),
INDEX(単価表!$AY$64:$CC$71,MATCH($V34&amp;$W34,INDEX(単価表!$AY$64:$AY$71&amp;単価表!$AZ$64:$AZ$71,),),MATCH(内訳計算!AY$6,単価表!$AY$63:$CC$63,0)),
INDEX(単価表!$AY$64:$CC$71,MATCH($V34&amp;$W34,INDEX(単価表!$AY$64:$AY$71&amp;単価表!$AZ$64:$AZ$71,),),MATCH(内訳計算!AY$6,単価表!$AY$63:$CC$63,0))),0)*$Y34/25,0),0)</f>
        <v>0</v>
      </c>
      <c r="AZ34" s="976" cm="1">
        <f t="array" ref="AZ34">IFERROR(IF(X34="○",INDEX(単価表!$AY$64:$CC$71,MATCH($V34&amp;$W34,INDEX(単価表!$AY$64:$AY$71&amp;単価表!$AZ$64:$AZ$71,),),MATCH(内訳計算!AZ$6,単価表!$AY$63:$CC$63,0)),0),0)</f>
        <v>0</v>
      </c>
      <c r="BA34" s="975" cm="1">
        <f t="array" ref="BA34">IFERROR(ROUNDUP(INDEX(単価表!$AY$64:$CC$71,MATCH($V34&amp;$W34,INDEX(単価表!$AY$64:$AY$71&amp;単価表!$AZ$64:$AZ$71,),),MATCH(内訳計算!BA$6,単価表!$AY$63:$CC$63,0))*$Y34/25,0),0)</f>
        <v>0</v>
      </c>
      <c r="BB34" s="976" cm="1">
        <f t="array" ref="BB34">IFERROR(INDEX(単価表!$AY$64:$CC$71,MATCH($V34&amp;$W34,INDEX(単価表!$AY$64:$AY$71&amp;単価表!$AZ$64:$AZ$71,),),MATCH(内訳計算!BB$6,単価表!$AY$63:$CC$63,0)),0)</f>
        <v>0</v>
      </c>
      <c r="BC34" s="975" cm="1">
        <f t="array" ref="BC34">IFERROR(ROUNDUP(INDEX(単価表!$AY$64:$CC$71,MATCH($V34&amp;$W34,INDEX(単価表!$AY$64:$AY$71&amp;単価表!$AZ$64:$AZ$71,),),MATCH(内訳計算!BC$6,単価表!$AY$63:$CC$63,0))*$Y34/25,0),0)</f>
        <v>0</v>
      </c>
      <c r="BD34" s="979">
        <f>IFERROR(IF(HLOOKUP($U34,加算と減算!$E$31:$P$32,2,FALSE)="○",IF(OR($U34=2,$U34=3),-(単価表!$AZ$7+単価表!$BA$7*基本情報!$G$7),-(単価表!$AZ$7+単価表!$BA$7*基本情報!$G$7)),0),0)</f>
        <v>0</v>
      </c>
      <c r="BE34" s="980" t="e">
        <f t="shared" ref="BE34:BE53" si="70">ROUNDUP($BD34*$Y34/25,0)-BF34-BG34</f>
        <v>#VALUE!</v>
      </c>
      <c r="BF34" s="980" t="e">
        <f t="shared" ref="BF34:BF53" si="71">ROUNDUP($BD34*$Y34/25*$BF$33,0)</f>
        <v>#VALUE!</v>
      </c>
      <c r="BG34" s="981" t="e">
        <f t="shared" ref="BG34:BG53" si="72">ROUNDUP($BD34*$Y34/25*$BG$33,0)</f>
        <v>#N/A</v>
      </c>
      <c r="BH34" s="982">
        <f>IFERROR(IF(基本情報!$E$12&lt;&gt;"",-ROUNDDOWN((AA34+AE34+AH34+AL34)*基本情報!$H$12/100,-1),0),0)</f>
        <v>0</v>
      </c>
      <c r="BI34" s="980" t="e">
        <f t="shared" ref="BI34:BI53" si="73">ROUNDUP($BH34*$Y34/25,0)-BJ34-BK34</f>
        <v>#VALUE!</v>
      </c>
      <c r="BJ34" s="980" t="e">
        <f t="shared" ref="BJ34:BJ53" si="74">ROUNDUP($BH34*$Y34/25*$BJ$33,0)</f>
        <v>#VALUE!</v>
      </c>
      <c r="BK34" s="983" t="e">
        <f t="shared" ref="BK34:BK53" si="75">ROUNDUP($BH34*$Y34/25*$BK$33,0)</f>
        <v>#N/A</v>
      </c>
      <c r="BL34" s="1003">
        <f>IFERROR(-ROUNDUP(SUM(AA34,AE34,AH34,AL34,AR34,AT34,AV34,BD34,BH34)*基本情報!$H$14/100,-1),0)</f>
        <v>0</v>
      </c>
      <c r="BM34" s="1004" t="e">
        <f>ROUNDUP($BL34*$Y34/25,0)-BN34-BO34</f>
        <v>#VALUE!</v>
      </c>
      <c r="BN34" s="1004" t="e">
        <f t="shared" ref="BN34:BN53" si="76">ROUNDUP($BL34*$Y34/25*$BN$33,0)</f>
        <v>#VALUE!</v>
      </c>
      <c r="BO34" s="1005" t="e">
        <f t="shared" ref="BO34:BO53" si="77">ROUNDUP($BL34*$Y34/25*$BO$33,0)</f>
        <v>#N/A</v>
      </c>
      <c r="BP34" s="701"/>
      <c r="BQ34" s="701"/>
      <c r="BR34" s="701"/>
      <c r="BS34" s="701"/>
      <c r="BT34" s="721"/>
      <c r="BU34" s="1040" t="e">
        <f>-(AB34+AI34+AM34+AW34+BE34+BI34+BM34)</f>
        <v>#VALUE!</v>
      </c>
      <c r="BV34" s="1041" t="e">
        <f>-(AC34+AN34+BA34+BF34+BJ34+BN34)</f>
        <v>#VALUE!</v>
      </c>
      <c r="BW34" s="1041" t="e">
        <f>-(AD34+AO34+AS34+AU34+BC34+BG34+BK34+BO34)</f>
        <v>#N/A</v>
      </c>
      <c r="BX34" s="1050">
        <f>-(AF34+AJ34+AP34+AX34)</f>
        <v>0</v>
      </c>
      <c r="BY34" s="1042">
        <f>-(AG34+AK34+AQ34+AY34)</f>
        <v>0</v>
      </c>
      <c r="CB34" s="1626"/>
      <c r="CC34" s="1599" t="s">
        <v>203</v>
      </c>
      <c r="CD34" s="1422" t="s">
        <v>37</v>
      </c>
      <c r="CE34" s="740" t="s">
        <v>559</v>
      </c>
      <c r="CF34" s="672">
        <f>'4月'!AQ34</f>
        <v>0</v>
      </c>
      <c r="CG34" s="672">
        <f>'5月'!AQ34</f>
        <v>0</v>
      </c>
      <c r="CH34" s="672">
        <f>'6月'!AQ34</f>
        <v>0</v>
      </c>
      <c r="CI34" s="672">
        <f>'7月'!AQ34</f>
        <v>0</v>
      </c>
      <c r="CJ34" s="672">
        <f>'8月'!AQ34</f>
        <v>0</v>
      </c>
      <c r="CK34" s="672">
        <f>'9月'!AQ34</f>
        <v>0</v>
      </c>
      <c r="CL34" s="672">
        <f>'10月'!AQ34</f>
        <v>0</v>
      </c>
      <c r="CM34" s="672">
        <f>'11月'!AQ34</f>
        <v>0</v>
      </c>
      <c r="CN34" s="672">
        <f>'12月'!AQ34</f>
        <v>0</v>
      </c>
      <c r="CO34" s="672">
        <f>'1月'!AQ34</f>
        <v>0</v>
      </c>
      <c r="CP34" s="672">
        <f>'2月'!AQ34</f>
        <v>0</v>
      </c>
      <c r="CQ34" s="756">
        <f>'3月'!AQ40</f>
        <v>0</v>
      </c>
      <c r="CR34" s="759">
        <f t="shared" si="22"/>
        <v>0</v>
      </c>
      <c r="CS34" s="1599" t="s">
        <v>203</v>
      </c>
      <c r="CT34" s="1422" t="s">
        <v>37</v>
      </c>
      <c r="CU34" s="959" t="s">
        <v>559</v>
      </c>
      <c r="CV34" s="771">
        <f>CR34</f>
        <v>0</v>
      </c>
      <c r="CW34" s="776"/>
      <c r="CX34" s="776"/>
      <c r="CY34" s="954"/>
      <c r="CZ34" s="954"/>
      <c r="DA34" s="721"/>
      <c r="DB34" s="721"/>
    </row>
    <row r="35" spans="1:106" ht="17.25" thickBot="1">
      <c r="A35" s="1653"/>
      <c r="B35" s="1655"/>
      <c r="C35" s="1542"/>
      <c r="D35" s="708" t="s">
        <v>9</v>
      </c>
      <c r="E35" s="709">
        <f>SUM(児童数!U8:U17)</f>
        <v>0</v>
      </c>
      <c r="F35" s="709">
        <f>'4月'!I32</f>
        <v>0</v>
      </c>
      <c r="G35" s="709">
        <f>G34</f>
        <v>10478</v>
      </c>
      <c r="H35" s="709">
        <f>IFERROR(INDEX(事業費・管理費!C6:$T$10,MATCH(D35,事業費・管理費!$C$6:$C$10,0),MATCH(基本情報!$AB$4,事業費・管理費!$C$6:$T$6,0)),0)</f>
        <v>0</v>
      </c>
      <c r="I35" s="709">
        <f>F35-G35-H35</f>
        <v>-10478</v>
      </c>
      <c r="J35" s="709">
        <f t="shared" si="67"/>
        <v>0</v>
      </c>
      <c r="K35" s="709">
        <f t="shared" si="68"/>
        <v>0</v>
      </c>
      <c r="L35" s="710">
        <f t="shared" si="69"/>
        <v>0</v>
      </c>
      <c r="N35" s="701"/>
      <c r="O35" s="700"/>
      <c r="P35" s="700"/>
      <c r="Q35" s="707"/>
      <c r="R35" s="721"/>
      <c r="T35" s="682">
        <v>2</v>
      </c>
      <c r="U35" s="918">
        <f>月途中入退所情報!N9</f>
        <v>0</v>
      </c>
      <c r="V35" s="918">
        <f>月途中入退所情報!R9</f>
        <v>0</v>
      </c>
      <c r="W35" s="918">
        <f>月途中入退所情報!Q9</f>
        <v>0</v>
      </c>
      <c r="X35" s="945">
        <f>月途中入退所情報!S9</f>
        <v>0</v>
      </c>
      <c r="Y35" s="918">
        <f>月途中入退所情報!T9</f>
        <v>0</v>
      </c>
      <c r="Z35" s="840">
        <f>-ROUNDUP((AA35+AE35+AH35+AL35+AR35+AT35+AV35+AZ35+BB35+BD35+BH35+BL35)*Y35/25,-1)</f>
        <v>0</v>
      </c>
      <c r="AA35" s="976" cm="1">
        <f t="array" ref="AA35">IFERROR(IF(OR($U35=2,$U35=3),
INDEX(単価表!$AY$64:$CC$71,MATCH($V35&amp;$W35,INDEX(単価表!$AY$64:$AY$71&amp;単価表!$AZ$64:$AZ$71,),),MATCH(内訳計算!AA$6,単価表!$AY$63:$CC$63,0)),
INDEX(単価表!$AY$64:$CC$71,MATCH($V35&amp;$W35,INDEX(単価表!$AY$64:$AY$71&amp;単価表!$AZ$64:$AZ$71,),),MATCH(内訳計算!AA$6,単価表!$AY$63:$CC$63,0))),0)</f>
        <v>0</v>
      </c>
      <c r="AB35" s="977" t="e">
        <f t="shared" ref="AB35:AB53" si="78">-Z35-SUM(AC35:AD35,AF35:AG35,AI35:AK35,AM35:AQ35,AS35,AU35,AW35:AY35,BA35,BC35,BE35:BG35,BI35:BK35,BM35:BO35)</f>
        <v>#VALUE!</v>
      </c>
      <c r="AC35" s="977" cm="1">
        <f t="array" ref="AC35">IFERROR(ROUNDUP(IF(OR($U35=2,$U35=3),
INDEX(単価表!$AY$64:$CC$71,MATCH($V35&amp;$W35,INDEX(単価表!$AY$64:$AY$71&amp;単価表!$AZ$64:$AZ$71,),),MATCH(内訳計算!AC$6,単価表!$AY$63:$CC$63,0)),
INDEX(単価表!$AY$64:$CC$71,MATCH($V35&amp;$W35,INDEX(単価表!$AY$64:$AY$71&amp;単価表!$AZ$64:$AZ$71,),),MATCH(内訳計算!AC$6,単価表!$AY$63:$CC$63,0)))*$Y35/25,0),0)</f>
        <v>0</v>
      </c>
      <c r="AD35" s="975" cm="1">
        <f t="array" ref="AD35">IFERROR(ROUNDUP(IF(OR($U35=2,$U35=3),
INDEX(単価表!$AY$64:$CC$71,MATCH($V35&amp;$W35,INDEX(単価表!$AY$64:$AY$71&amp;単価表!$AZ$64:$AZ$71,),),MATCH(内訳計算!AD$6,単価表!$AY$63:$CC$63,0)),
INDEX(単価表!$AY$64:$CC$71,MATCH($V35&amp;$W35,INDEX(単価表!$AY$64:$AY$71&amp;単価表!$AZ$64:$AZ$71,),),MATCH(内訳計算!AD$6,単価表!$AY$63:$CC$63,0)))*$Y35/25,0),0)</f>
        <v>0</v>
      </c>
      <c r="AE35" s="976" cm="1">
        <f t="array" ref="AE35">IFERROR(IF(OR($U35=2,$U35=3),
INDEX(単価表!$AY$64:$CC$71,MATCH($V35&amp;$W35,INDEX(単価表!$AY$64:$AY$71&amp;単価表!$AZ$64:$AZ$71,),),MATCH(内訳計算!AE$6,単価表!$AY$63:$CC$63,0)),
INDEX(単価表!$AY$64:$CC$71,MATCH($V35&amp;$W35,INDEX(単価表!$AY$64:$AY$71&amp;単価表!$AZ$64:$AZ$71,),),MATCH(内訳計算!AE$6,単価表!$AY$63:$CC$63,0))),0)</f>
        <v>0</v>
      </c>
      <c r="AF35" s="977" cm="1">
        <f t="array" ref="AF35">IFERROR(ROUNDUP(IF(OR($U35=2,$U35=3),
INDEX(単価表!$AY$64:$CC$71,MATCH($V35&amp;$W35,INDEX(単価表!$AY$64:$AY$71&amp;単価表!$AZ$64:$AZ$71,),),MATCH(内訳計算!AF$6,単価表!$AY$63:$CC$63,0)),
INDEX(単価表!$AY$64:$CC$71,MATCH($V35&amp;$W35,INDEX(単価表!$AY$64:$AY$71&amp;単価表!$AZ$64:$AZ$71,),),MATCH(内訳計算!AF$6,単価表!$AY$63:$CC$63,0)))*$Y35/25,0),0)</f>
        <v>0</v>
      </c>
      <c r="AG35" s="975" cm="1">
        <f t="array" ref="AG35">IFERROR(ROUNDUP(IF(OR($U35=2,$U35=3),
INDEX(単価表!$AY$64:$CC$71,MATCH($V35&amp;$W35,INDEX(単価表!$AY$64:$AY$71&amp;単価表!$AZ$64:$AZ$71,),),MATCH(内訳計算!AG$6,単価表!$AY$63:$CC$63,0)),
INDEX(単価表!$AY$64:$CC$71,MATCH($V35&amp;$W35,INDEX(単価表!$AY$64:$AY$71&amp;単価表!$AZ$64:$AZ$71,),),MATCH(内訳計算!AG$6,単価表!$AY$63:$CC$63,0)))*$Y35/25,0),0)</f>
        <v>0</v>
      </c>
      <c r="AH35" s="976" cm="1">
        <f t="array" ref="AH35">IFERROR(IF(HLOOKUP($U35,加算と減算!$E$4:$P$10,2,FALSE)="○",IF(OR($U35=2,$U35=3),
INDEX(単価表!$AY$64:$CC$71,MATCH($V35&amp;$W35,INDEX(単価表!$AY$64:$AY$71&amp;単価表!$AZ$64:$AZ$71,),),MATCH(内訳計算!AH$6,単価表!$AY$63:$CC$63,0)),
INDEX(単価表!$AY$64:$CC$71,MATCH($V35&amp;$W35,INDEX(単価表!$AY$64:$AY$71&amp;単価表!$AZ$64:$AZ$71,),),MATCH(内訳計算!AH$6,単価表!$AY$63:$CC$63,0))),0),0)</f>
        <v>0</v>
      </c>
      <c r="AI35" s="978" cm="1">
        <f t="array" ref="AI35">IFERROR(ROUNDUP(IF(HLOOKUP($U35,加算と減算!$E$4:$P$10,2,FALSE)="○",IF(OR($U35=2,$U35=3),
INDEX(単価表!$AY$64:$CC$71,MATCH($V35&amp;$W35,INDEX(単価表!$AY$64:$AY$71&amp;単価表!$AZ$64:$AZ$71,),),MATCH(内訳計算!AI$6,単価表!$AY$63:$CC$63,0)),
INDEX(単価表!$AY$64:$CC$71,MATCH($V35&amp;$W35,INDEX(単価表!$AY$64:$AY$71&amp;単価表!$AZ$64:$AZ$71,),),MATCH(内訳計算!AI$6,単価表!$AY$63:$CC$63,0))),0)*$Y35/25,0),0)</f>
        <v>0</v>
      </c>
      <c r="AJ35" s="977" cm="1">
        <f t="array" ref="AJ35">IFERROR(ROUNDUP(IF(HLOOKUP($U35,加算と減算!$E$4:$P$10,2,FALSE)="○",IF(OR($U35=2,$U35=3),
INDEX(単価表!$AY$64:$CC$71,MATCH($V35&amp;$W35,INDEX(単価表!$AY$64:$AY$71&amp;単価表!$AZ$64:$AZ$71,),),MATCH(内訳計算!AJ$6,単価表!$AY$63:$CC$63,0)),
INDEX(単価表!$AY$64:$CC$71,MATCH($V35&amp;$W35,INDEX(単価表!$AY$64:$AY$71&amp;単価表!$AZ$64:$AZ$71,),),MATCH(内訳計算!AJ$6,単価表!$AY$63:$CC$63,0))),0)*$Y35/25,0),0)</f>
        <v>0</v>
      </c>
      <c r="AK35" s="975" cm="1">
        <f t="array" ref="AK35">IFERROR(ROUNDUP(IF(HLOOKUP($U35,加算と減算!$E$4:$P$10,2,FALSE)="○",IF(OR($U35=2,$U35=3),
INDEX(単価表!$AY$64:$CC$71,MATCH($V35&amp;$W35,INDEX(単価表!$AY$64:$AY$71&amp;単価表!$AZ$64:$AZ$71,),),MATCH(内訳計算!AK$6,単価表!$AY$63:$CC$63,0)),
INDEX(単価表!$AY$64:$CC$71,MATCH($V35&amp;$W35,INDEX(単価表!$AY$64:$AY$71&amp;単価表!$AZ$64:$AZ$71,),),MATCH(内訳計算!AK$6,単価表!$AY$63:$CC$63,0))),0)*$Y35/25,0),0)</f>
        <v>0</v>
      </c>
      <c r="AL35" s="976" cm="1">
        <f t="array" ref="AL35">IFERROR(IF(HLOOKUP($U35,加算と減算!$E$4:$P$10,4,FALSE)="○",IF(OR($U35=2,$U35=3),
INDEX(単価表!$AY$64:$CC$71,MATCH($V35&amp;$W35,INDEX(単価表!$AY$64:$AY$71&amp;単価表!$AZ$64:$AZ$71,),),MATCH(内訳計算!AL$6,単価表!$AY$63:$CC$63,0)),
INDEX(単価表!$AY$64:$CC$71,MATCH($V35&amp;$W35,INDEX(単価表!$AY$64:$AY$71&amp;単価表!$AZ$64:$AZ$71,),),MATCH(内訳計算!AL$6,単価表!$AY$63:$CC$63,0))),0),0)</f>
        <v>0</v>
      </c>
      <c r="AM35" s="977" cm="1">
        <f t="array" ref="AM35">IFERROR(ROUNDUP(IF(HLOOKUP($U35,加算と減算!$E$4:$P$10,4,FALSE)="○",IF(OR($U35=2,$U35=3),
INDEX(単価表!$AY$64:$CC$71,MATCH($V35&amp;$W35,INDEX(単価表!$AY$64:$AY$71&amp;単価表!$AZ$64:$AZ$71,),),MATCH(内訳計算!AM$6,単価表!$AY$63:$CC$63,0)),
INDEX(単価表!$AY$64:$CC$71,MATCH($V35&amp;$W35,INDEX(単価表!$AY$64:$AY$71&amp;単価表!$AZ$64:$AZ$71,),),MATCH(内訳計算!AM$6,単価表!$AY$63:$CC$63,0))),0)*$Y35/25,0),0)</f>
        <v>0</v>
      </c>
      <c r="AN35" s="977" cm="1">
        <f t="array" ref="AN35">IFERROR(ROUNDUP(IF(HLOOKUP($U35,加算と減算!$E$4:$P$10,4,FALSE)="○",IF(OR($U35=2,$U35=3),
INDEX(単価表!$AY$64:$CC$71,MATCH($V35&amp;$W35,INDEX(単価表!$AY$64:$AY$71&amp;単価表!$AZ$64:$AZ$71,),),MATCH(内訳計算!AN$6,単価表!$AY$63:$CC$63,0)),
INDEX(単価表!$AY$64:$CC$71,MATCH($V35&amp;$W35,INDEX(単価表!$AY$64:$AY$71&amp;単価表!$AZ$64:$AZ$71,),),MATCH(内訳計算!AN$6,単価表!$AY$63:$CC$63,0))),0)*$Y35/25,0),0)</f>
        <v>0</v>
      </c>
      <c r="AO35" s="977" cm="1">
        <f t="array" ref="AO35">IFERROR(ROUNDUP(IF(HLOOKUP($U35,加算と減算!$E$4:$P$10,4,FALSE)="○",IF(OR($U35=2,$U35=3),
INDEX(単価表!$AY$64:$CC$71,MATCH($V35&amp;$W35,INDEX(単価表!$AY$64:$AY$71&amp;単価表!$AZ$64:$AZ$71,),),MATCH(内訳計算!AO$6,単価表!$AY$63:$CC$63,0)),
INDEX(単価表!$AY$64:$CC$71,MATCH($V35&amp;$W35,INDEX(単価表!$AY$64:$AY$71&amp;単価表!$AZ$64:$AZ$71,),),MATCH(内訳計算!AO$6,単価表!$AY$63:$CC$63,0))),0)*$Y35/25,0),0)</f>
        <v>0</v>
      </c>
      <c r="AP35" s="977" cm="1">
        <f t="array" ref="AP35">IFERROR(ROUNDUP(IF(HLOOKUP($U35,加算と減算!$E$4:$P$10,4,FALSE)="○",IF(OR($U35=2,$U35=3),
INDEX(単価表!$AY$64:$CC$71,MATCH($V35&amp;$W35,INDEX(単価表!$AY$64:$AY$71&amp;単価表!$AZ$64:$AZ$71,),),MATCH(内訳計算!AP$6,単価表!$AY$63:$CC$63,0)),
INDEX(単価表!$AY$64:$CC$71,MATCH($V35&amp;$W35,INDEX(単価表!$AY$64:$AY$71&amp;単価表!$AZ$64:$AZ$71,),),MATCH(内訳計算!AP$6,単価表!$AY$63:$CC$63,0))),0)*$Y35/25,0),0)</f>
        <v>0</v>
      </c>
      <c r="AQ35" s="975" cm="1">
        <f t="array" ref="AQ35">IFERROR(ROUNDUP(IF(HLOOKUP($U35,加算と減算!$E$4:$P$10,4,FALSE)="○",IF(OR($U35=2,$U35=3),
INDEX(単価表!$AY$64:$CC$71,MATCH($V35&amp;$W35,INDEX(単価表!$AY$64:$AY$71&amp;単価表!$AZ$64:$AZ$71,),),MATCH(内訳計算!AQ$6,単価表!$AY$63:$CC$63,0)),
INDEX(単価表!$AY$64:$CC$71,MATCH($V35&amp;$W35,INDEX(単価表!$AY$64:$AY$71&amp;単価表!$AZ$64:$AZ$71,),),MATCH(内訳計算!AQ$6,単価表!$AY$63:$CC$63,0))),0)*$Y35/25,0),0)</f>
        <v>0</v>
      </c>
      <c r="AR35" s="976" cm="1">
        <f t="array" ref="AR35">IFERROR(IF(HLOOKUP($U35,加算と減算!$E$4:$P$10,5,FALSE)="○",IF(OR($U35=2,$U35=3),
INDEX(単価表!$AY$64:$CC$71,MATCH($V35&amp;$W35,INDEX(単価表!$AY$64:$AY$71&amp;単価表!$AZ$64:$AZ$71,),),MATCH(内訳計算!AR$6,単価表!$AY$63:$CC$63,0)),
INDEX(単価表!$AY$64:$CC$71,MATCH($V35&amp;$W35,INDEX(単価表!$AY$64:$AY$71&amp;単価表!$AZ$64:$AZ$71,),),MATCH(内訳計算!AR$6,単価表!$AY$63:$CC$63,0))),0),0)</f>
        <v>0</v>
      </c>
      <c r="AS35" s="975" cm="1">
        <f t="array" ref="AS35">IFERROR(ROUNDUP(IF(HLOOKUP($U35,加算と減算!$E$4:$P$10,5,FALSE)="○",IF(OR($U35=2,$U35=3),
INDEX(単価表!$AY$64:$CC$71,MATCH($V35&amp;$W35,INDEX(単価表!$AY$64:$AY$71&amp;単価表!$AZ$64:$AZ$71,),),MATCH(内訳計算!AS$6,単価表!$AY$63:$CC$63,0)),
INDEX(単価表!$AY$64:$CC$71,MATCH($V35&amp;$W35,INDEX(単価表!$AY$64:$AY$71&amp;単価表!$AZ$64:$AZ$71,),),MATCH(内訳計算!AS$6,単価表!$AY$63:$CC$63,0))),0)*$Y35/25,0),0)</f>
        <v>0</v>
      </c>
      <c r="AT35" s="976" cm="1">
        <f t="array" ref="AT35">IFERROR(IF(HLOOKUP($U35,加算と減算!$E$4:$P$10,6,FALSE)="○",IF(OR($U35=2,$U35=3),
INDEX(単価表!$AY$64:$CC$71,MATCH($V35&amp;$W35,INDEX(単価表!$AY$64:$AY$71&amp;単価表!$AZ$64:$AZ$71,),),MATCH(内訳計算!AT$6,単価表!$AY$63:$CC$63,0)),
INDEX(単価表!$AY$64:$CC$71,MATCH($V35&amp;$W35,INDEX(単価表!$AY$64:$AY$71&amp;単価表!$AZ$64:$AZ$71,),),MATCH(内訳計算!AT$6,単価表!$AY$63:$CC$63,0))),0),0)</f>
        <v>0</v>
      </c>
      <c r="AU35" s="975" cm="1">
        <f t="array" ref="AU35">IFERROR(ROUNDUP(IF(HLOOKUP($U35,加算と減算!$E$4:$P$10,6,FALSE)="○",IF(OR($U35=2,$U35=3),
INDEX(単価表!$AY$64:$CC$71,MATCH($V35&amp;$W35,INDEX(単価表!$AY$64:$AY$71&amp;単価表!$AZ$64:$AZ$71,),),MATCH(内訳計算!AU$6,単価表!$AY$63:$CC$63,0)),
INDEX(単価表!$AY$64:$CC$71,MATCH($V35&amp;$W35,INDEX(単価表!$AY$64:$AY$71&amp;単価表!$AZ$64:$AZ$71,),),MATCH(内訳計算!AU$6,単価表!$AY$63:$CC$63,0))),0)*$Y35/25,0),0)</f>
        <v>0</v>
      </c>
      <c r="AV35" s="976" cm="1">
        <f t="array" ref="AV35">IFERROR(IF(HLOOKUP($U35,加算と減算!$E$4:$P$10,7,FALSE)="○",IF(OR($U35=2,$U35=3),
INDEX(単価表!$AY$64:$CC$71,MATCH($V35&amp;$W35,INDEX(単価表!$AY$64:$AY$71&amp;単価表!$AZ$64:$AZ$71,),),MATCH(内訳計算!AV$6,単価表!$AY$63:$CC$63,0)),
INDEX(単価表!$AY$64:$CC$71,MATCH($V35&amp;$W35,INDEX(単価表!$AY$64:$AY$71&amp;単価表!$AZ$64:$AZ$71,),),MATCH(内訳計算!AV$6,単価表!$AY$63:$CC$63,0))),0),0)</f>
        <v>0</v>
      </c>
      <c r="AW35" s="977" cm="1">
        <f t="array" ref="AW35">IFERROR(ROUNDUP(IF(HLOOKUP($U35,加算と減算!$E$4:$P$10,7,FALSE)="○",IF(OR($U35=2,$U35=3),
INDEX(単価表!$AY$64:$CC$71,MATCH($V35&amp;$W35,INDEX(単価表!$AY$64:$AY$71&amp;単価表!$AZ$64:$AZ$71,),),MATCH(内訳計算!AW$6,単価表!$AY$63:$CC$63,0)),
INDEX(単価表!$AY$64:$CC$71,MATCH($V35&amp;$W35,INDEX(単価表!$AY$64:$AY$71&amp;単価表!$AZ$64:$AZ$71,),),MATCH(内訳計算!AW$6,単価表!$AY$63:$CC$63,0))),0)*$Y35/25,0),0)</f>
        <v>0</v>
      </c>
      <c r="AX35" s="977" cm="1">
        <f t="array" ref="AX35">IFERROR(ROUNDUP(IF(HLOOKUP($U35,加算と減算!$E$4:$P$10,7,FALSE)="○",IF(OR($U35=2,$U35=3),
INDEX(単価表!$AY$64:$CC$71,MATCH($V35&amp;$W35,INDEX(単価表!$AY$64:$AY$71&amp;単価表!$AZ$64:$AZ$71,),),MATCH(内訳計算!AX$6,単価表!$AY$63:$CC$63,0)),
INDEX(単価表!$AY$64:$CC$71,MATCH($V35&amp;$W35,INDEX(単価表!$AY$64:$AY$71&amp;単価表!$AZ$64:$AZ$71,),),MATCH(内訳計算!AX$6,単価表!$AY$63:$CC$63,0))),0)*$Y35/25,0),0)</f>
        <v>0</v>
      </c>
      <c r="AY35" s="975" cm="1">
        <f t="array" ref="AY35">IFERROR(ROUNDUP(IF(HLOOKUP($U35,加算と減算!$E$4:$P$10,7,FALSE)="○",IF(OR($U35=2,$U35=3),
INDEX(単価表!$AY$64:$CC$71,MATCH($V35&amp;$W35,INDEX(単価表!$AY$64:$AY$71&amp;単価表!$AZ$64:$AZ$71,),),MATCH(内訳計算!AY$6,単価表!$AY$63:$CC$63,0)),
INDEX(単価表!$AY$64:$CC$71,MATCH($V35&amp;$W35,INDEX(単価表!$AY$64:$AY$71&amp;単価表!$AZ$64:$AZ$71,),),MATCH(内訳計算!AY$6,単価表!$AY$63:$CC$63,0))),0)*$Y35/25,0),0)</f>
        <v>0</v>
      </c>
      <c r="AZ35" s="976" cm="1">
        <f t="array" ref="AZ35">IFERROR(IF(X35="○",INDEX(単価表!$AY$64:$CC$71,MATCH($V35&amp;$W35,INDEX(単価表!$AY$64:$AY$71&amp;単価表!$AZ$64:$AZ$71,),),MATCH(内訳計算!AZ$6,単価表!$AY$63:$CC$63,0)),0),0)</f>
        <v>0</v>
      </c>
      <c r="BA35" s="975" cm="1">
        <f t="array" ref="BA35">IFERROR(ROUNDUP(INDEX(単価表!$AY$64:$CC$71,MATCH($V35&amp;$W35,INDEX(単価表!$AY$64:$AY$71&amp;単価表!$AZ$64:$AZ$71,),),MATCH(内訳計算!BA$6,単価表!$AY$63:$CC$63,0))*$Y35/25,0),0)</f>
        <v>0</v>
      </c>
      <c r="BB35" s="976" cm="1">
        <f t="array" ref="BB35">IFERROR(INDEX(単価表!$AY$64:$CC$71,MATCH($V35&amp;$W35,INDEX(単価表!$AY$64:$AY$71&amp;単価表!$AZ$64:$AZ$71,),),MATCH(内訳計算!BB$6,単価表!$AY$63:$CC$63,0)),0)</f>
        <v>0</v>
      </c>
      <c r="BC35" s="975" cm="1">
        <f t="array" ref="BC35">IFERROR(ROUNDUP(INDEX(単価表!$AY$64:$CC$71,MATCH($V35&amp;$W35,INDEX(単価表!$AY$64:$AY$71&amp;単価表!$AZ$64:$AZ$71,),),MATCH(内訳計算!BC$6,単価表!$AY$63:$CC$63,0))*$Y35/25,0),0)</f>
        <v>0</v>
      </c>
      <c r="BD35" s="985">
        <f>IFERROR(IF(HLOOKUP($U35,加算と減算!$E$31:$P$32,2,FALSE)="○",IF(OR($U35=2,$U35=3),-(単価表!$AZ$7+単価表!$BA$7*基本情報!$G$7),-(単価表!$AZ$7+単価表!$BA$7*基本情報!$G$7)),0),0)</f>
        <v>0</v>
      </c>
      <c r="BE35" s="986" t="e">
        <f t="shared" si="70"/>
        <v>#VALUE!</v>
      </c>
      <c r="BF35" s="986" t="e">
        <f t="shared" si="71"/>
        <v>#VALUE!</v>
      </c>
      <c r="BG35" s="987" t="e">
        <f t="shared" si="72"/>
        <v>#N/A</v>
      </c>
      <c r="BH35" s="988">
        <f>IFERROR(IF(基本情報!$E$12&lt;&gt;"",-ROUNDDOWN((AA35+AE35+AH35+AL35)*基本情報!$H$12/100,-1),0),0)</f>
        <v>0</v>
      </c>
      <c r="BI35" s="986" t="e">
        <f t="shared" si="73"/>
        <v>#VALUE!</v>
      </c>
      <c r="BJ35" s="986" t="e">
        <f t="shared" si="74"/>
        <v>#VALUE!</v>
      </c>
      <c r="BK35" s="989" t="e">
        <f t="shared" si="75"/>
        <v>#N/A</v>
      </c>
      <c r="BL35" s="1006">
        <f>IFERROR(-ROUNDUP(SUM(AA35,AE35,AH35,AL35,AR35,AT35,AV35,BD35,BH35)*基本情報!$H$14/100,-1),0)</f>
        <v>0</v>
      </c>
      <c r="BM35" s="1007" t="e">
        <f t="shared" ref="BM35:BM53" si="79">ROUNDUP($BL35*$Y35/25,0)-BN35-BO35</f>
        <v>#VALUE!</v>
      </c>
      <c r="BN35" s="1007" t="e">
        <f t="shared" si="76"/>
        <v>#VALUE!</v>
      </c>
      <c r="BO35" s="1008" t="e">
        <f t="shared" si="77"/>
        <v>#N/A</v>
      </c>
      <c r="BP35" s="701"/>
      <c r="BQ35" s="701"/>
      <c r="BR35" s="701"/>
      <c r="BS35" s="701"/>
      <c r="BT35" s="721"/>
      <c r="BU35" s="1043" t="e">
        <f t="shared" ref="BU35:BU53" si="80">-(AB35+AI35+AM35+AW35+BE35+BI35+BM35)</f>
        <v>#VALUE!</v>
      </c>
      <c r="BV35" s="1044" t="e">
        <f t="shared" ref="BV35:BV53" si="81">-(AC35+AN35+BA35+BF35+BJ35+BN35)</f>
        <v>#VALUE!</v>
      </c>
      <c r="BW35" s="1044" t="e">
        <f t="shared" ref="BW35:BW53" si="82">-(AD35+AO35+AS35+AU35+BC35+BG35+BK35+BO35)</f>
        <v>#N/A</v>
      </c>
      <c r="BX35" s="1051">
        <f t="shared" ref="BX35:BX53" si="83">-(AF35+AJ35+AP35+AX35)</f>
        <v>0</v>
      </c>
      <c r="BY35" s="1045">
        <f t="shared" ref="BY35:BY53" si="84">-(AG35+AK35+AQ35+AY35)</f>
        <v>0</v>
      </c>
      <c r="CB35" s="1626"/>
      <c r="CC35" s="1600"/>
      <c r="CD35" s="1422"/>
      <c r="CE35" s="734" t="s">
        <v>167</v>
      </c>
      <c r="CF35" s="672">
        <f>'4月'!AQ35</f>
        <v>0</v>
      </c>
      <c r="CG35" s="672">
        <f>'5月'!AQ35</f>
        <v>0</v>
      </c>
      <c r="CH35" s="672">
        <f>'6月'!AQ35</f>
        <v>0</v>
      </c>
      <c r="CI35" s="672">
        <f>'7月'!AQ35</f>
        <v>0</v>
      </c>
      <c r="CJ35" s="672">
        <f>'8月'!AQ35</f>
        <v>0</v>
      </c>
      <c r="CK35" s="672">
        <f>'9月'!AQ35</f>
        <v>0</v>
      </c>
      <c r="CL35" s="672">
        <f>'10月'!AQ35</f>
        <v>0</v>
      </c>
      <c r="CM35" s="672">
        <f>'11月'!AQ35</f>
        <v>0</v>
      </c>
      <c r="CN35" s="672">
        <f>'12月'!AQ35</f>
        <v>0</v>
      </c>
      <c r="CO35" s="672">
        <f>'1月'!AQ35</f>
        <v>0</v>
      </c>
      <c r="CP35" s="672">
        <f>'2月'!AQ35</f>
        <v>0</v>
      </c>
      <c r="CQ35" s="756">
        <f>'3月'!AQ41</f>
        <v>0</v>
      </c>
      <c r="CR35" s="759">
        <f t="shared" si="22"/>
        <v>0</v>
      </c>
      <c r="CS35" s="1600"/>
      <c r="CT35" s="1422"/>
      <c r="CU35" s="957" t="s">
        <v>167</v>
      </c>
      <c r="CV35" s="954"/>
      <c r="CW35" s="776"/>
      <c r="CX35" s="954"/>
      <c r="CY35" s="1055" t="e">
        <f>CR35-CZ35</f>
        <v>#DIV/0!</v>
      </c>
      <c r="CZ35" s="1055" t="e">
        <f>ROUNDDOWN(CR35*$CW$3/$CU$1,-1)</f>
        <v>#DIV/0!</v>
      </c>
      <c r="DA35" s="721"/>
      <c r="DB35" s="721"/>
    </row>
    <row r="36" spans="1:106" ht="18" thickTop="1" thickBot="1">
      <c r="A36" s="1653"/>
      <c r="B36" s="1655"/>
      <c r="C36" s="1543"/>
      <c r="D36" s="711" t="s">
        <v>36</v>
      </c>
      <c r="E36" s="712">
        <f>SUM(E32:E35)</f>
        <v>0</v>
      </c>
      <c r="F36" s="714"/>
      <c r="G36" s="714"/>
      <c r="H36" s="714"/>
      <c r="I36" s="714"/>
      <c r="J36" s="712">
        <f>SUM(J32:J35)</f>
        <v>0</v>
      </c>
      <c r="K36" s="712">
        <f t="shared" ref="K36:L36" si="85">SUM(K32:K35)</f>
        <v>0</v>
      </c>
      <c r="L36" s="713">
        <f t="shared" si="85"/>
        <v>0</v>
      </c>
      <c r="N36" s="701"/>
      <c r="O36" s="700"/>
      <c r="P36" s="700"/>
      <c r="Q36" s="707"/>
      <c r="R36" s="721"/>
      <c r="T36" s="682">
        <v>3</v>
      </c>
      <c r="U36" s="918">
        <f>月途中入退所情報!N10</f>
        <v>0</v>
      </c>
      <c r="V36" s="918">
        <f>月途中入退所情報!R10</f>
        <v>0</v>
      </c>
      <c r="W36" s="918">
        <f>月途中入退所情報!Q10</f>
        <v>0</v>
      </c>
      <c r="X36" s="945">
        <f>月途中入退所情報!S10</f>
        <v>0</v>
      </c>
      <c r="Y36" s="918">
        <f>月途中入退所情報!T10</f>
        <v>0</v>
      </c>
      <c r="Z36" s="840">
        <f t="shared" ref="Z36:Z53" si="86">-ROUNDUP((AA36+AE36+AH36+AL36+AR36+AT36+AV36+AZ36+BB36+BD36+BH36+BL36)*Y36/25,-1)</f>
        <v>0</v>
      </c>
      <c r="AA36" s="976" cm="1">
        <f t="array" ref="AA36">IFERROR(IF(OR($U36=2,$U36=3),
INDEX(単価表!$AY$64:$CC$71,MATCH($V36&amp;$W36,INDEX(単価表!$AY$64:$AY$71&amp;単価表!$AZ$64:$AZ$71,),),MATCH(内訳計算!AA$6,単価表!$AY$63:$CC$63,0)),
INDEX(単価表!$AY$64:$CC$71,MATCH($V36&amp;$W36,INDEX(単価表!$AY$64:$AY$71&amp;単価表!$AZ$64:$AZ$71,),),MATCH(内訳計算!AA$6,単価表!$AY$63:$CC$63,0))),0)</f>
        <v>0</v>
      </c>
      <c r="AB36" s="977" t="e">
        <f t="shared" si="78"/>
        <v>#VALUE!</v>
      </c>
      <c r="AC36" s="977" cm="1">
        <f t="array" ref="AC36">IFERROR(ROUNDUP(IF(OR($U36=2,$U36=3),
INDEX(単価表!$AY$64:$CC$71,MATCH($V36&amp;$W36,INDEX(単価表!$AY$64:$AY$71&amp;単価表!$AZ$64:$AZ$71,),),MATCH(内訳計算!AC$6,単価表!$AY$63:$CC$63,0)),
INDEX(単価表!$AY$64:$CC$71,MATCH($V36&amp;$W36,INDEX(単価表!$AY$64:$AY$71&amp;単価表!$AZ$64:$AZ$71,),),MATCH(内訳計算!AC$6,単価表!$AY$63:$CC$63,0)))*$Y36/25,0),0)</f>
        <v>0</v>
      </c>
      <c r="AD36" s="975" cm="1">
        <f t="array" ref="AD36">IFERROR(ROUNDUP(IF(OR($U36=2,$U36=3),
INDEX(単価表!$AY$64:$CC$71,MATCH($V36&amp;$W36,INDEX(単価表!$AY$64:$AY$71&amp;単価表!$AZ$64:$AZ$71,),),MATCH(内訳計算!AD$6,単価表!$AY$63:$CC$63,0)),
INDEX(単価表!$AY$64:$CC$71,MATCH($V36&amp;$W36,INDEX(単価表!$AY$64:$AY$71&amp;単価表!$AZ$64:$AZ$71,),),MATCH(内訳計算!AD$6,単価表!$AY$63:$CC$63,0)))*$Y36/25,0),0)</f>
        <v>0</v>
      </c>
      <c r="AE36" s="976" cm="1">
        <f t="array" ref="AE36">IFERROR(IF(OR($U36=2,$U36=3),
INDEX(単価表!$AY$64:$CC$71,MATCH($V36&amp;$W36,INDEX(単価表!$AY$64:$AY$71&amp;単価表!$AZ$64:$AZ$71,),),MATCH(内訳計算!AE$6,単価表!$AY$63:$CC$63,0)),
INDEX(単価表!$AY$64:$CC$71,MATCH($V36&amp;$W36,INDEX(単価表!$AY$64:$AY$71&amp;単価表!$AZ$64:$AZ$71,),),MATCH(内訳計算!AE$6,単価表!$AY$63:$CC$63,0))),0)</f>
        <v>0</v>
      </c>
      <c r="AF36" s="977" cm="1">
        <f t="array" ref="AF36">IFERROR(ROUNDUP(IF(OR($U36=2,$U36=3),
INDEX(単価表!$AY$64:$CC$71,MATCH($V36&amp;$W36,INDEX(単価表!$AY$64:$AY$71&amp;単価表!$AZ$64:$AZ$71,),),MATCH(内訳計算!AF$6,単価表!$AY$63:$CC$63,0)),
INDEX(単価表!$AY$64:$CC$71,MATCH($V36&amp;$W36,INDEX(単価表!$AY$64:$AY$71&amp;単価表!$AZ$64:$AZ$71,),),MATCH(内訳計算!AF$6,単価表!$AY$63:$CC$63,0)))*$Y36/25,0),0)</f>
        <v>0</v>
      </c>
      <c r="AG36" s="975" cm="1">
        <f t="array" ref="AG36">IFERROR(ROUNDUP(IF(OR($U36=2,$U36=3),
INDEX(単価表!$AY$64:$CC$71,MATCH($V36&amp;$W36,INDEX(単価表!$AY$64:$AY$71&amp;単価表!$AZ$64:$AZ$71,),),MATCH(内訳計算!AG$6,単価表!$AY$63:$CC$63,0)),
INDEX(単価表!$AY$64:$CC$71,MATCH($V36&amp;$W36,INDEX(単価表!$AY$64:$AY$71&amp;単価表!$AZ$64:$AZ$71,),),MATCH(内訳計算!AG$6,単価表!$AY$63:$CC$63,0)))*$Y36/25,0),0)</f>
        <v>0</v>
      </c>
      <c r="AH36" s="976" cm="1">
        <f t="array" ref="AH36">IFERROR(IF(HLOOKUP($U36,加算と減算!$E$4:$P$10,2,FALSE)="○",IF(OR($U36=2,$U36=3),
INDEX(単価表!$AY$64:$CC$71,MATCH($V36&amp;$W36,INDEX(単価表!$AY$64:$AY$71&amp;単価表!$AZ$64:$AZ$71,),),MATCH(内訳計算!AH$6,単価表!$AY$63:$CC$63,0)),
INDEX(単価表!$AY$64:$CC$71,MATCH($V36&amp;$W36,INDEX(単価表!$AY$64:$AY$71&amp;単価表!$AZ$64:$AZ$71,),),MATCH(内訳計算!AH$6,単価表!$AY$63:$CC$63,0))),0),0)</f>
        <v>0</v>
      </c>
      <c r="AI36" s="978" cm="1">
        <f t="array" ref="AI36">IFERROR(ROUNDUP(IF(HLOOKUP($U36,加算と減算!$E$4:$P$10,2,FALSE)="○",IF(OR($U36=2,$U36=3),
INDEX(単価表!$AY$64:$CC$71,MATCH($V36&amp;$W36,INDEX(単価表!$AY$64:$AY$71&amp;単価表!$AZ$64:$AZ$71,),),MATCH(内訳計算!AI$6,単価表!$AY$63:$CC$63,0)),
INDEX(単価表!$AY$64:$CC$71,MATCH($V36&amp;$W36,INDEX(単価表!$AY$64:$AY$71&amp;単価表!$AZ$64:$AZ$71,),),MATCH(内訳計算!AI$6,単価表!$AY$63:$CC$63,0))),0)*$Y36/25,0),0)</f>
        <v>0</v>
      </c>
      <c r="AJ36" s="977" cm="1">
        <f t="array" ref="AJ36">IFERROR(ROUNDUP(IF(HLOOKUP($U36,加算と減算!$E$4:$P$10,2,FALSE)="○",IF(OR($U36=2,$U36=3),
INDEX(単価表!$AY$64:$CC$71,MATCH($V36&amp;$W36,INDEX(単価表!$AY$64:$AY$71&amp;単価表!$AZ$64:$AZ$71,),),MATCH(内訳計算!AJ$6,単価表!$AY$63:$CC$63,0)),
INDEX(単価表!$AY$64:$CC$71,MATCH($V36&amp;$W36,INDEX(単価表!$AY$64:$AY$71&amp;単価表!$AZ$64:$AZ$71,),),MATCH(内訳計算!AJ$6,単価表!$AY$63:$CC$63,0))),0)*$Y36/25,0),0)</f>
        <v>0</v>
      </c>
      <c r="AK36" s="975" cm="1">
        <f t="array" ref="AK36">IFERROR(ROUNDUP(IF(HLOOKUP($U36,加算と減算!$E$4:$P$10,2,FALSE)="○",IF(OR($U36=2,$U36=3),
INDEX(単価表!$AY$64:$CC$71,MATCH($V36&amp;$W36,INDEX(単価表!$AY$64:$AY$71&amp;単価表!$AZ$64:$AZ$71,),),MATCH(内訳計算!AK$6,単価表!$AY$63:$CC$63,0)),
INDEX(単価表!$AY$64:$CC$71,MATCH($V36&amp;$W36,INDEX(単価表!$AY$64:$AY$71&amp;単価表!$AZ$64:$AZ$71,),),MATCH(内訳計算!AK$6,単価表!$AY$63:$CC$63,0))),0)*$Y36/25,0),0)</f>
        <v>0</v>
      </c>
      <c r="AL36" s="976" cm="1">
        <f t="array" ref="AL36">IFERROR(IF(HLOOKUP($U36,加算と減算!$E$4:$P$10,4,FALSE)="○",IF(OR($U36=2,$U36=3),
INDEX(単価表!$AY$64:$CC$71,MATCH($V36&amp;$W36,INDEX(単価表!$AY$64:$AY$71&amp;単価表!$AZ$64:$AZ$71,),),MATCH(内訳計算!AL$6,単価表!$AY$63:$CC$63,0)),
INDEX(単価表!$AY$64:$CC$71,MATCH($V36&amp;$W36,INDEX(単価表!$AY$64:$AY$71&amp;単価表!$AZ$64:$AZ$71,),),MATCH(内訳計算!AL$6,単価表!$AY$63:$CC$63,0))),0),0)</f>
        <v>0</v>
      </c>
      <c r="AM36" s="977" cm="1">
        <f t="array" ref="AM36">IFERROR(ROUNDUP(IF(HLOOKUP($U36,加算と減算!$E$4:$P$10,4,FALSE)="○",IF(OR($U36=2,$U36=3),
INDEX(単価表!$AY$64:$CC$71,MATCH($V36&amp;$W36,INDEX(単価表!$AY$64:$AY$71&amp;単価表!$AZ$64:$AZ$71,),),MATCH(内訳計算!AM$6,単価表!$AY$63:$CC$63,0)),
INDEX(単価表!$AY$64:$CC$71,MATCH($V36&amp;$W36,INDEX(単価表!$AY$64:$AY$71&amp;単価表!$AZ$64:$AZ$71,),),MATCH(内訳計算!AM$6,単価表!$AY$63:$CC$63,0))),0)*$Y36/25,0),0)</f>
        <v>0</v>
      </c>
      <c r="AN36" s="977" cm="1">
        <f t="array" ref="AN36">IFERROR(ROUNDUP(IF(HLOOKUP($U36,加算と減算!$E$4:$P$10,4,FALSE)="○",IF(OR($U36=2,$U36=3),
INDEX(単価表!$AY$64:$CC$71,MATCH($V36&amp;$W36,INDEX(単価表!$AY$64:$AY$71&amp;単価表!$AZ$64:$AZ$71,),),MATCH(内訳計算!AN$6,単価表!$AY$63:$CC$63,0)),
INDEX(単価表!$AY$64:$CC$71,MATCH($V36&amp;$W36,INDEX(単価表!$AY$64:$AY$71&amp;単価表!$AZ$64:$AZ$71,),),MATCH(内訳計算!AN$6,単価表!$AY$63:$CC$63,0))),0)*$Y36/25,0),0)</f>
        <v>0</v>
      </c>
      <c r="AO36" s="977" cm="1">
        <f t="array" ref="AO36">IFERROR(ROUNDUP(IF(HLOOKUP($U36,加算と減算!$E$4:$P$10,4,FALSE)="○",IF(OR($U36=2,$U36=3),
INDEX(単価表!$AY$64:$CC$71,MATCH($V36&amp;$W36,INDEX(単価表!$AY$64:$AY$71&amp;単価表!$AZ$64:$AZ$71,),),MATCH(内訳計算!AO$6,単価表!$AY$63:$CC$63,0)),
INDEX(単価表!$AY$64:$CC$71,MATCH($V36&amp;$W36,INDEX(単価表!$AY$64:$AY$71&amp;単価表!$AZ$64:$AZ$71,),),MATCH(内訳計算!AO$6,単価表!$AY$63:$CC$63,0))),0)*$Y36/25,0),0)</f>
        <v>0</v>
      </c>
      <c r="AP36" s="977" cm="1">
        <f t="array" ref="AP36">IFERROR(ROUNDUP(IF(HLOOKUP($U36,加算と減算!$E$4:$P$10,4,FALSE)="○",IF(OR($U36=2,$U36=3),
INDEX(単価表!$AY$64:$CC$71,MATCH($V36&amp;$W36,INDEX(単価表!$AY$64:$AY$71&amp;単価表!$AZ$64:$AZ$71,),),MATCH(内訳計算!AP$6,単価表!$AY$63:$CC$63,0)),
INDEX(単価表!$AY$64:$CC$71,MATCH($V36&amp;$W36,INDEX(単価表!$AY$64:$AY$71&amp;単価表!$AZ$64:$AZ$71,),),MATCH(内訳計算!AP$6,単価表!$AY$63:$CC$63,0))),0)*$Y36/25,0),0)</f>
        <v>0</v>
      </c>
      <c r="AQ36" s="975" cm="1">
        <f t="array" ref="AQ36">IFERROR(ROUNDUP(IF(HLOOKUP($U36,加算と減算!$E$4:$P$10,4,FALSE)="○",IF(OR($U36=2,$U36=3),
INDEX(単価表!$AY$64:$CC$71,MATCH($V36&amp;$W36,INDEX(単価表!$AY$64:$AY$71&amp;単価表!$AZ$64:$AZ$71,),),MATCH(内訳計算!AQ$6,単価表!$AY$63:$CC$63,0)),
INDEX(単価表!$AY$64:$CC$71,MATCH($V36&amp;$W36,INDEX(単価表!$AY$64:$AY$71&amp;単価表!$AZ$64:$AZ$71,),),MATCH(内訳計算!AQ$6,単価表!$AY$63:$CC$63,0))),0)*$Y36/25,0),0)</f>
        <v>0</v>
      </c>
      <c r="AR36" s="976" cm="1">
        <f t="array" ref="AR36">IFERROR(IF(HLOOKUP($U36,加算と減算!$E$4:$P$10,5,FALSE)="○",IF(OR($U36=2,$U36=3),
INDEX(単価表!$AY$64:$CC$71,MATCH($V36&amp;$W36,INDEX(単価表!$AY$64:$AY$71&amp;単価表!$AZ$64:$AZ$71,),),MATCH(内訳計算!AR$6,単価表!$AY$63:$CC$63,0)),
INDEX(単価表!$AY$64:$CC$71,MATCH($V36&amp;$W36,INDEX(単価表!$AY$64:$AY$71&amp;単価表!$AZ$64:$AZ$71,),),MATCH(内訳計算!AR$6,単価表!$AY$63:$CC$63,0))),0),0)</f>
        <v>0</v>
      </c>
      <c r="AS36" s="975" cm="1">
        <f t="array" ref="AS36">IFERROR(ROUNDUP(IF(HLOOKUP($U36,加算と減算!$E$4:$P$10,5,FALSE)="○",IF(OR($U36=2,$U36=3),
INDEX(単価表!$AY$64:$CC$71,MATCH($V36&amp;$W36,INDEX(単価表!$AY$64:$AY$71&amp;単価表!$AZ$64:$AZ$71,),),MATCH(内訳計算!AS$6,単価表!$AY$63:$CC$63,0)),
INDEX(単価表!$AY$64:$CC$71,MATCH($V36&amp;$W36,INDEX(単価表!$AY$64:$AY$71&amp;単価表!$AZ$64:$AZ$71,),),MATCH(内訳計算!AS$6,単価表!$AY$63:$CC$63,0))),0)*$Y36/25,0),0)</f>
        <v>0</v>
      </c>
      <c r="AT36" s="976" cm="1">
        <f t="array" ref="AT36">IFERROR(IF(HLOOKUP($U36,加算と減算!$E$4:$P$10,6,FALSE)="○",IF(OR($U36=2,$U36=3),
INDEX(単価表!$AY$64:$CC$71,MATCH($V36&amp;$W36,INDEX(単価表!$AY$64:$AY$71&amp;単価表!$AZ$64:$AZ$71,),),MATCH(内訳計算!AT$6,単価表!$AY$63:$CC$63,0)),
INDEX(単価表!$AY$64:$CC$71,MATCH($V36&amp;$W36,INDEX(単価表!$AY$64:$AY$71&amp;単価表!$AZ$64:$AZ$71,),),MATCH(内訳計算!AT$6,単価表!$AY$63:$CC$63,0))),0),0)</f>
        <v>0</v>
      </c>
      <c r="AU36" s="975" cm="1">
        <f t="array" ref="AU36">IFERROR(ROUNDUP(IF(HLOOKUP($U36,加算と減算!$E$4:$P$10,6,FALSE)="○",IF(OR($U36=2,$U36=3),
INDEX(単価表!$AY$64:$CC$71,MATCH($V36&amp;$W36,INDEX(単価表!$AY$64:$AY$71&amp;単価表!$AZ$64:$AZ$71,),),MATCH(内訳計算!AU$6,単価表!$AY$63:$CC$63,0)),
INDEX(単価表!$AY$64:$CC$71,MATCH($V36&amp;$W36,INDEX(単価表!$AY$64:$AY$71&amp;単価表!$AZ$64:$AZ$71,),),MATCH(内訳計算!AU$6,単価表!$AY$63:$CC$63,0))),0)*$Y36/25,0),0)</f>
        <v>0</v>
      </c>
      <c r="AV36" s="976" cm="1">
        <f t="array" ref="AV36">IFERROR(IF(HLOOKUP($U36,加算と減算!$E$4:$P$10,7,FALSE)="○",IF(OR($U36=2,$U36=3),
INDEX(単価表!$AY$64:$CC$71,MATCH($V36&amp;$W36,INDEX(単価表!$AY$64:$AY$71&amp;単価表!$AZ$64:$AZ$71,),),MATCH(内訳計算!AV$6,単価表!$AY$63:$CC$63,0)),
INDEX(単価表!$AY$64:$CC$71,MATCH($V36&amp;$W36,INDEX(単価表!$AY$64:$AY$71&amp;単価表!$AZ$64:$AZ$71,),),MATCH(内訳計算!AV$6,単価表!$AY$63:$CC$63,0))),0),0)</f>
        <v>0</v>
      </c>
      <c r="AW36" s="977" cm="1">
        <f t="array" ref="AW36">IFERROR(ROUNDUP(IF(HLOOKUP($U36,加算と減算!$E$4:$P$10,7,FALSE)="○",IF(OR($U36=2,$U36=3),
INDEX(単価表!$AY$64:$CC$71,MATCH($V36&amp;$W36,INDEX(単価表!$AY$64:$AY$71&amp;単価表!$AZ$64:$AZ$71,),),MATCH(内訳計算!AW$6,単価表!$AY$63:$CC$63,0)),
INDEX(単価表!$AY$64:$CC$71,MATCH($V36&amp;$W36,INDEX(単価表!$AY$64:$AY$71&amp;単価表!$AZ$64:$AZ$71,),),MATCH(内訳計算!AW$6,単価表!$AY$63:$CC$63,0))),0)*$Y36/25,0),0)</f>
        <v>0</v>
      </c>
      <c r="AX36" s="977" cm="1">
        <f t="array" ref="AX36">IFERROR(ROUNDUP(IF(HLOOKUP($U36,加算と減算!$E$4:$P$10,7,FALSE)="○",IF(OR($U36=2,$U36=3),
INDEX(単価表!$AY$64:$CC$71,MATCH($V36&amp;$W36,INDEX(単価表!$AY$64:$AY$71&amp;単価表!$AZ$64:$AZ$71,),),MATCH(内訳計算!AX$6,単価表!$AY$63:$CC$63,0)),
INDEX(単価表!$AY$64:$CC$71,MATCH($V36&amp;$W36,INDEX(単価表!$AY$64:$AY$71&amp;単価表!$AZ$64:$AZ$71,),),MATCH(内訳計算!AX$6,単価表!$AY$63:$CC$63,0))),0)*$Y36/25,0),0)</f>
        <v>0</v>
      </c>
      <c r="AY36" s="975" cm="1">
        <f t="array" ref="AY36">IFERROR(ROUNDUP(IF(HLOOKUP($U36,加算と減算!$E$4:$P$10,7,FALSE)="○",IF(OR($U36=2,$U36=3),
INDEX(単価表!$AY$64:$CC$71,MATCH($V36&amp;$W36,INDEX(単価表!$AY$64:$AY$71&amp;単価表!$AZ$64:$AZ$71,),),MATCH(内訳計算!AY$6,単価表!$AY$63:$CC$63,0)),
INDEX(単価表!$AY$64:$CC$71,MATCH($V36&amp;$W36,INDEX(単価表!$AY$64:$AY$71&amp;単価表!$AZ$64:$AZ$71,),),MATCH(内訳計算!AY$6,単価表!$AY$63:$CC$63,0))),0)*$Y36/25,0),0)</f>
        <v>0</v>
      </c>
      <c r="AZ36" s="976" cm="1">
        <f t="array" ref="AZ36">IFERROR(IF(X36="○",INDEX(単価表!$AY$64:$CC$71,MATCH($V36&amp;$W36,INDEX(単価表!$AY$64:$AY$71&amp;単価表!$AZ$64:$AZ$71,),),MATCH(内訳計算!AZ$6,単価表!$AY$63:$CC$63,0)),0),0)</f>
        <v>0</v>
      </c>
      <c r="BA36" s="975" cm="1">
        <f t="array" ref="BA36">IFERROR(ROUNDUP(INDEX(単価表!$AY$64:$CC$71,MATCH($V36&amp;$W36,INDEX(単価表!$AY$64:$AY$71&amp;単価表!$AZ$64:$AZ$71,),),MATCH(内訳計算!BA$6,単価表!$AY$63:$CC$63,0))*$Y36/25,0),0)</f>
        <v>0</v>
      </c>
      <c r="BB36" s="976" cm="1">
        <f t="array" ref="BB36">IFERROR(INDEX(単価表!$AY$64:$CC$71,MATCH($V36&amp;$W36,INDEX(単価表!$AY$64:$AY$71&amp;単価表!$AZ$64:$AZ$71,),),MATCH(内訳計算!BB$6,単価表!$AY$63:$CC$63,0)),0)</f>
        <v>0</v>
      </c>
      <c r="BC36" s="975" cm="1">
        <f t="array" ref="BC36">IFERROR(ROUNDUP(INDEX(単価表!$AY$64:$CC$71,MATCH($V36&amp;$W36,INDEX(単価表!$AY$64:$AY$71&amp;単価表!$AZ$64:$AZ$71,),),MATCH(内訳計算!BC$6,単価表!$AY$63:$CC$63,0))*$Y36/25,0),0)</f>
        <v>0</v>
      </c>
      <c r="BD36" s="985">
        <f>IFERROR(IF(HLOOKUP($U36,加算と減算!$E$31:$P$32,2,FALSE)="○",IF(OR($U36=2,$U36=3),-(単価表!$AZ$7+単価表!$BA$7*基本情報!$G$7),-(単価表!$AZ$7+単価表!$BA$7*基本情報!$G$7)),0),0)</f>
        <v>0</v>
      </c>
      <c r="BE36" s="986" t="e">
        <f t="shared" si="70"/>
        <v>#VALUE!</v>
      </c>
      <c r="BF36" s="986" t="e">
        <f t="shared" si="71"/>
        <v>#VALUE!</v>
      </c>
      <c r="BG36" s="987" t="e">
        <f t="shared" si="72"/>
        <v>#N/A</v>
      </c>
      <c r="BH36" s="988">
        <f>IFERROR(IF(基本情報!$E$12&lt;&gt;"",-ROUNDDOWN((AA36+AE36+AH36+AL36)*基本情報!$H$12/100,-1),0),0)</f>
        <v>0</v>
      </c>
      <c r="BI36" s="986" t="e">
        <f t="shared" si="73"/>
        <v>#VALUE!</v>
      </c>
      <c r="BJ36" s="986" t="e">
        <f t="shared" si="74"/>
        <v>#VALUE!</v>
      </c>
      <c r="BK36" s="989" t="e">
        <f t="shared" si="75"/>
        <v>#N/A</v>
      </c>
      <c r="BL36" s="1006">
        <f>IFERROR(-ROUNDUP(SUM(AA36,AE36,AH36,AL36,AR36,AT36,AV36,BD36,BH36)*基本情報!$H$14/100,-1),0)</f>
        <v>0</v>
      </c>
      <c r="BM36" s="1007" t="e">
        <f t="shared" si="79"/>
        <v>#VALUE!</v>
      </c>
      <c r="BN36" s="1007" t="e">
        <f t="shared" si="76"/>
        <v>#VALUE!</v>
      </c>
      <c r="BO36" s="1008" t="e">
        <f t="shared" si="77"/>
        <v>#N/A</v>
      </c>
      <c r="BP36" s="701"/>
      <c r="BQ36" s="701"/>
      <c r="BR36" s="701"/>
      <c r="BS36" s="701"/>
      <c r="BT36" s="721"/>
      <c r="BU36" s="1043" t="e">
        <f t="shared" si="80"/>
        <v>#VALUE!</v>
      </c>
      <c r="BV36" s="1044" t="e">
        <f t="shared" si="81"/>
        <v>#VALUE!</v>
      </c>
      <c r="BW36" s="1044" t="e">
        <f t="shared" si="82"/>
        <v>#N/A</v>
      </c>
      <c r="BX36" s="1051">
        <f t="shared" si="83"/>
        <v>0</v>
      </c>
      <c r="BY36" s="1046">
        <f t="shared" si="84"/>
        <v>0</v>
      </c>
      <c r="CB36" s="1626"/>
      <c r="CC36" s="1600"/>
      <c r="CD36" s="383" t="s">
        <v>69</v>
      </c>
      <c r="CE36" s="736"/>
      <c r="CF36" s="672">
        <f>'4月'!AQ36</f>
        <v>0</v>
      </c>
      <c r="CG36" s="672">
        <f>'5月'!AQ36</f>
        <v>0</v>
      </c>
      <c r="CH36" s="672">
        <f>'6月'!AQ36</f>
        <v>0</v>
      </c>
      <c r="CI36" s="672">
        <f>'7月'!AQ36</f>
        <v>0</v>
      </c>
      <c r="CJ36" s="672">
        <f>'8月'!AQ36</f>
        <v>0</v>
      </c>
      <c r="CK36" s="672">
        <f>'9月'!AQ36</f>
        <v>0</v>
      </c>
      <c r="CL36" s="672">
        <f>'10月'!AQ36</f>
        <v>0</v>
      </c>
      <c r="CM36" s="672">
        <f>'11月'!AQ36</f>
        <v>0</v>
      </c>
      <c r="CN36" s="672">
        <f>'12月'!AQ36</f>
        <v>0</v>
      </c>
      <c r="CO36" s="672">
        <f>'1月'!AQ36</f>
        <v>0</v>
      </c>
      <c r="CP36" s="672">
        <f>'2月'!AQ36</f>
        <v>0</v>
      </c>
      <c r="CQ36" s="756">
        <f>'3月'!AQ42</f>
        <v>0</v>
      </c>
      <c r="CR36" s="759">
        <f t="shared" si="22"/>
        <v>0</v>
      </c>
      <c r="CS36" s="1600"/>
      <c r="CT36" s="383" t="s">
        <v>69</v>
      </c>
      <c r="CU36" s="736"/>
      <c r="CV36" s="771" t="e">
        <f>Q108</f>
        <v>#DIV/0!</v>
      </c>
      <c r="CW36" s="771">
        <f>Q106</f>
        <v>0</v>
      </c>
      <c r="CX36" s="771">
        <f>Q107</f>
        <v>0</v>
      </c>
      <c r="CY36" s="1055">
        <f>IFERROR(Q104,0)</f>
        <v>0</v>
      </c>
      <c r="CZ36" s="1055">
        <f>IFERROR(Q105,0)</f>
        <v>0</v>
      </c>
      <c r="DA36" s="721"/>
      <c r="DB36" s="721"/>
    </row>
    <row r="37" spans="1:106">
      <c r="A37" s="1653"/>
      <c r="B37" s="1655"/>
      <c r="C37" s="1527"/>
      <c r="D37" s="1528"/>
      <c r="E37" s="697" t="s">
        <v>535</v>
      </c>
      <c r="F37" s="697" t="s">
        <v>71</v>
      </c>
      <c r="G37" s="697" t="s">
        <v>536</v>
      </c>
      <c r="H37" s="697" t="s">
        <v>537</v>
      </c>
      <c r="I37" s="697" t="s">
        <v>538</v>
      </c>
      <c r="J37" s="703" t="s">
        <v>539</v>
      </c>
      <c r="K37" s="704" t="s">
        <v>540</v>
      </c>
      <c r="L37" s="705" t="s">
        <v>541</v>
      </c>
      <c r="N37" s="1077"/>
      <c r="O37" s="1078"/>
      <c r="P37" s="1078"/>
      <c r="Q37" s="1079"/>
      <c r="R37" s="1079"/>
      <c r="T37" s="682">
        <v>4</v>
      </c>
      <c r="U37" s="918">
        <f>月途中入退所情報!N11</f>
        <v>0</v>
      </c>
      <c r="V37" s="918">
        <f>月途中入退所情報!R11</f>
        <v>0</v>
      </c>
      <c r="W37" s="918">
        <f>月途中入退所情報!Q11</f>
        <v>0</v>
      </c>
      <c r="X37" s="945">
        <f>月途中入退所情報!S11</f>
        <v>0</v>
      </c>
      <c r="Y37" s="918">
        <f>月途中入退所情報!T11</f>
        <v>0</v>
      </c>
      <c r="Z37" s="840">
        <f>-ROUNDUP((AA37+AE37+AH37+AL37+AR37+AT37+AV37+AZ37+BB37+BD37+BH37+BL37)*Y37/25,-1)</f>
        <v>0</v>
      </c>
      <c r="AA37" s="976" cm="1">
        <f t="array" ref="AA37">IFERROR(IF(OR($U37=2,$U37=3),
INDEX(単価表!$AY$64:$CC$71,MATCH($V37&amp;$W37,INDEX(単価表!$AY$64:$AY$71&amp;単価表!$AZ$64:$AZ$71,),),MATCH(内訳計算!AA$6,単価表!$AY$63:$CC$63,0)),
INDEX(単価表!$AY$64:$CC$71,MATCH($V37&amp;$W37,INDEX(単価表!$AY$64:$AY$71&amp;単価表!$AZ$64:$AZ$71,),),MATCH(内訳計算!AA$6,単価表!$AY$63:$CC$63,0))),0)</f>
        <v>0</v>
      </c>
      <c r="AB37" s="977" t="e">
        <f t="shared" si="78"/>
        <v>#VALUE!</v>
      </c>
      <c r="AC37" s="977" cm="1">
        <f t="array" ref="AC37">IFERROR(ROUNDUP(IF(OR($U37=2,$U37=3),
INDEX(単価表!$AY$64:$CC$71,MATCH($V37&amp;$W37,INDEX(単価表!$AY$64:$AY$71&amp;単価表!$AZ$64:$AZ$71,),),MATCH(内訳計算!AC$6,単価表!$AY$63:$CC$63,0)),
INDEX(単価表!$AY$64:$CC$71,MATCH($V37&amp;$W37,INDEX(単価表!$AY$64:$AY$71&amp;単価表!$AZ$64:$AZ$71,),),MATCH(内訳計算!AC$6,単価表!$AY$63:$CC$63,0)))*$Y37/25,0),0)</f>
        <v>0</v>
      </c>
      <c r="AD37" s="975" cm="1">
        <f t="array" ref="AD37">IFERROR(ROUNDUP(IF(OR($U37=2,$U37=3),
INDEX(単価表!$AY$64:$CC$71,MATCH($V37&amp;$W37,INDEX(単価表!$AY$64:$AY$71&amp;単価表!$AZ$64:$AZ$71,),),MATCH(内訳計算!AD$6,単価表!$AY$63:$CC$63,0)),
INDEX(単価表!$AY$64:$CC$71,MATCH($V37&amp;$W37,INDEX(単価表!$AY$64:$AY$71&amp;単価表!$AZ$64:$AZ$71,),),MATCH(内訳計算!AD$6,単価表!$AY$63:$CC$63,0)))*$Y37/25,0),0)</f>
        <v>0</v>
      </c>
      <c r="AE37" s="976" cm="1">
        <f t="array" ref="AE37">IFERROR(IF(OR($U37=2,$U37=3),
INDEX(単価表!$AY$64:$CC$71,MATCH($V37&amp;$W37,INDEX(単価表!$AY$64:$AY$71&amp;単価表!$AZ$64:$AZ$71,),),MATCH(内訳計算!AE$6,単価表!$AY$63:$CC$63,0)),
INDEX(単価表!$AY$64:$CC$71,MATCH($V37&amp;$W37,INDEX(単価表!$AY$64:$AY$71&amp;単価表!$AZ$64:$AZ$71,),),MATCH(内訳計算!AE$6,単価表!$AY$63:$CC$63,0))),0)</f>
        <v>0</v>
      </c>
      <c r="AF37" s="977" cm="1">
        <f t="array" ref="AF37">IFERROR(ROUNDUP(IF(OR($U37=2,$U37=3),
INDEX(単価表!$AY$64:$CC$71,MATCH($V37&amp;$W37,INDEX(単価表!$AY$64:$AY$71&amp;単価表!$AZ$64:$AZ$71,),),MATCH(内訳計算!AF$6,単価表!$AY$63:$CC$63,0)),
INDEX(単価表!$AY$64:$CC$71,MATCH($V37&amp;$W37,INDEX(単価表!$AY$64:$AY$71&amp;単価表!$AZ$64:$AZ$71,),),MATCH(内訳計算!AF$6,単価表!$AY$63:$CC$63,0)))*$Y37/25,0),0)</f>
        <v>0</v>
      </c>
      <c r="AG37" s="975" cm="1">
        <f t="array" ref="AG37">IFERROR(ROUNDUP(IF(OR($U37=2,$U37=3),
INDEX(単価表!$AY$64:$CC$71,MATCH($V37&amp;$W37,INDEX(単価表!$AY$64:$AY$71&amp;単価表!$AZ$64:$AZ$71,),),MATCH(内訳計算!AG$6,単価表!$AY$63:$CC$63,0)),
INDEX(単価表!$AY$64:$CC$71,MATCH($V37&amp;$W37,INDEX(単価表!$AY$64:$AY$71&amp;単価表!$AZ$64:$AZ$71,),),MATCH(内訳計算!AG$6,単価表!$AY$63:$CC$63,0)))*$Y37/25,0),0)</f>
        <v>0</v>
      </c>
      <c r="AH37" s="976" cm="1">
        <f t="array" ref="AH37">IFERROR(IF(HLOOKUP($U37,加算と減算!$E$4:$P$10,2,FALSE)="○",IF(OR($U37=2,$U37=3),
INDEX(単価表!$AY$64:$CC$71,MATCH($V37&amp;$W37,INDEX(単価表!$AY$64:$AY$71&amp;単価表!$AZ$64:$AZ$71,),),MATCH(内訳計算!AH$6,単価表!$AY$63:$CC$63,0)),
INDEX(単価表!$AY$64:$CC$71,MATCH($V37&amp;$W37,INDEX(単価表!$AY$64:$AY$71&amp;単価表!$AZ$64:$AZ$71,),),MATCH(内訳計算!AH$6,単価表!$AY$63:$CC$63,0))),0),0)</f>
        <v>0</v>
      </c>
      <c r="AI37" s="978" cm="1">
        <f t="array" ref="AI37">IFERROR(ROUNDUP(IF(HLOOKUP($U37,加算と減算!$E$4:$P$10,2,FALSE)="○",IF(OR($U37=2,$U37=3),
INDEX(単価表!$AY$64:$CC$71,MATCH($V37&amp;$W37,INDEX(単価表!$AY$64:$AY$71&amp;単価表!$AZ$64:$AZ$71,),),MATCH(内訳計算!AI$6,単価表!$AY$63:$CC$63,0)),
INDEX(単価表!$AY$64:$CC$71,MATCH($V37&amp;$W37,INDEX(単価表!$AY$64:$AY$71&amp;単価表!$AZ$64:$AZ$71,),),MATCH(内訳計算!AI$6,単価表!$AY$63:$CC$63,0))),0)*$Y37/25,0),0)</f>
        <v>0</v>
      </c>
      <c r="AJ37" s="977" cm="1">
        <f t="array" ref="AJ37">IFERROR(ROUNDUP(IF(HLOOKUP($U37,加算と減算!$E$4:$P$10,2,FALSE)="○",IF(OR($U37=2,$U37=3),
INDEX(単価表!$AY$64:$CC$71,MATCH($V37&amp;$W37,INDEX(単価表!$AY$64:$AY$71&amp;単価表!$AZ$64:$AZ$71,),),MATCH(内訳計算!AJ$6,単価表!$AY$63:$CC$63,0)),
INDEX(単価表!$AY$64:$CC$71,MATCH($V37&amp;$W37,INDEX(単価表!$AY$64:$AY$71&amp;単価表!$AZ$64:$AZ$71,),),MATCH(内訳計算!AJ$6,単価表!$AY$63:$CC$63,0))),0)*$Y37/25,0),0)</f>
        <v>0</v>
      </c>
      <c r="AK37" s="975" cm="1">
        <f t="array" ref="AK37">IFERROR(ROUNDUP(IF(HLOOKUP($U37,加算と減算!$E$4:$P$10,2,FALSE)="○",IF(OR($U37=2,$U37=3),
INDEX(単価表!$AY$64:$CC$71,MATCH($V37&amp;$W37,INDEX(単価表!$AY$64:$AY$71&amp;単価表!$AZ$64:$AZ$71,),),MATCH(内訳計算!AK$6,単価表!$AY$63:$CC$63,0)),
INDEX(単価表!$AY$64:$CC$71,MATCH($V37&amp;$W37,INDEX(単価表!$AY$64:$AY$71&amp;単価表!$AZ$64:$AZ$71,),),MATCH(内訳計算!AK$6,単価表!$AY$63:$CC$63,0))),0)*$Y37/25,0),0)</f>
        <v>0</v>
      </c>
      <c r="AL37" s="976" cm="1">
        <f t="array" ref="AL37">IFERROR(IF(HLOOKUP($U37,加算と減算!$E$4:$P$10,4,FALSE)="○",IF(OR($U37=2,$U37=3),
INDEX(単価表!$AY$64:$CC$71,MATCH($V37&amp;$W37,INDEX(単価表!$AY$64:$AY$71&amp;単価表!$AZ$64:$AZ$71,),),MATCH(内訳計算!AL$6,単価表!$AY$63:$CC$63,0)),
INDEX(単価表!$AY$64:$CC$71,MATCH($V37&amp;$W37,INDEX(単価表!$AY$64:$AY$71&amp;単価表!$AZ$64:$AZ$71,),),MATCH(内訳計算!AL$6,単価表!$AY$63:$CC$63,0))),0),0)</f>
        <v>0</v>
      </c>
      <c r="AM37" s="977" cm="1">
        <f t="array" ref="AM37">IFERROR(ROUNDUP(IF(HLOOKUP($U37,加算と減算!$E$4:$P$10,4,FALSE)="○",IF(OR($U37=2,$U37=3),
INDEX(単価表!$AY$64:$CC$71,MATCH($V37&amp;$W37,INDEX(単価表!$AY$64:$AY$71&amp;単価表!$AZ$64:$AZ$71,),),MATCH(内訳計算!AM$6,単価表!$AY$63:$CC$63,0)),
INDEX(単価表!$AY$64:$CC$71,MATCH($V37&amp;$W37,INDEX(単価表!$AY$64:$AY$71&amp;単価表!$AZ$64:$AZ$71,),),MATCH(内訳計算!AM$6,単価表!$AY$63:$CC$63,0))),0)*$Y37/25,0),0)</f>
        <v>0</v>
      </c>
      <c r="AN37" s="977" cm="1">
        <f t="array" ref="AN37">IFERROR(ROUNDUP(IF(HLOOKUP($U37,加算と減算!$E$4:$P$10,4,FALSE)="○",IF(OR($U37=2,$U37=3),
INDEX(単価表!$AY$64:$CC$71,MATCH($V37&amp;$W37,INDEX(単価表!$AY$64:$AY$71&amp;単価表!$AZ$64:$AZ$71,),),MATCH(内訳計算!AN$6,単価表!$AY$63:$CC$63,0)),
INDEX(単価表!$AY$64:$CC$71,MATCH($V37&amp;$W37,INDEX(単価表!$AY$64:$AY$71&amp;単価表!$AZ$64:$AZ$71,),),MATCH(内訳計算!AN$6,単価表!$AY$63:$CC$63,0))),0)*$Y37/25,0),0)</f>
        <v>0</v>
      </c>
      <c r="AO37" s="977" cm="1">
        <f t="array" ref="AO37">IFERROR(ROUNDUP(IF(HLOOKUP($U37,加算と減算!$E$4:$P$10,4,FALSE)="○",IF(OR($U37=2,$U37=3),
INDEX(単価表!$AY$64:$CC$71,MATCH($V37&amp;$W37,INDEX(単価表!$AY$64:$AY$71&amp;単価表!$AZ$64:$AZ$71,),),MATCH(内訳計算!AO$6,単価表!$AY$63:$CC$63,0)),
INDEX(単価表!$AY$64:$CC$71,MATCH($V37&amp;$W37,INDEX(単価表!$AY$64:$AY$71&amp;単価表!$AZ$64:$AZ$71,),),MATCH(内訳計算!AO$6,単価表!$AY$63:$CC$63,0))),0)*$Y37/25,0),0)</f>
        <v>0</v>
      </c>
      <c r="AP37" s="977" cm="1">
        <f t="array" ref="AP37">IFERROR(ROUNDUP(IF(HLOOKUP($U37,加算と減算!$E$4:$P$10,4,FALSE)="○",IF(OR($U37=2,$U37=3),
INDEX(単価表!$AY$64:$CC$71,MATCH($V37&amp;$W37,INDEX(単価表!$AY$64:$AY$71&amp;単価表!$AZ$64:$AZ$71,),),MATCH(内訳計算!AP$6,単価表!$AY$63:$CC$63,0)),
INDEX(単価表!$AY$64:$CC$71,MATCH($V37&amp;$W37,INDEX(単価表!$AY$64:$AY$71&amp;単価表!$AZ$64:$AZ$71,),),MATCH(内訳計算!AP$6,単価表!$AY$63:$CC$63,0))),0)*$Y37/25,0),0)</f>
        <v>0</v>
      </c>
      <c r="AQ37" s="975" cm="1">
        <f t="array" ref="AQ37">IFERROR(ROUNDUP(IF(HLOOKUP($U37,加算と減算!$E$4:$P$10,4,FALSE)="○",IF(OR($U37=2,$U37=3),
INDEX(単価表!$AY$64:$CC$71,MATCH($V37&amp;$W37,INDEX(単価表!$AY$64:$AY$71&amp;単価表!$AZ$64:$AZ$71,),),MATCH(内訳計算!AQ$6,単価表!$AY$63:$CC$63,0)),
INDEX(単価表!$AY$64:$CC$71,MATCH($V37&amp;$W37,INDEX(単価表!$AY$64:$AY$71&amp;単価表!$AZ$64:$AZ$71,),),MATCH(内訳計算!AQ$6,単価表!$AY$63:$CC$63,0))),0)*$Y37/25,0),0)</f>
        <v>0</v>
      </c>
      <c r="AR37" s="976" cm="1">
        <f t="array" ref="AR37">IFERROR(IF(HLOOKUP($U37,加算と減算!$E$4:$P$10,5,FALSE)="○",IF(OR($U37=2,$U37=3),
INDEX(単価表!$AY$64:$CC$71,MATCH($V37&amp;$W37,INDEX(単価表!$AY$64:$AY$71&amp;単価表!$AZ$64:$AZ$71,),),MATCH(内訳計算!AR$6,単価表!$AY$63:$CC$63,0)),
INDEX(単価表!$AY$64:$CC$71,MATCH($V37&amp;$W37,INDEX(単価表!$AY$64:$AY$71&amp;単価表!$AZ$64:$AZ$71,),),MATCH(内訳計算!AR$6,単価表!$AY$63:$CC$63,0))),0),0)</f>
        <v>0</v>
      </c>
      <c r="AS37" s="975" cm="1">
        <f t="array" ref="AS37">IFERROR(ROUNDUP(IF(HLOOKUP($U37,加算と減算!$E$4:$P$10,5,FALSE)="○",IF(OR($U37=2,$U37=3),
INDEX(単価表!$AY$64:$CC$71,MATCH($V37&amp;$W37,INDEX(単価表!$AY$64:$AY$71&amp;単価表!$AZ$64:$AZ$71,),),MATCH(内訳計算!AS$6,単価表!$AY$63:$CC$63,0)),
INDEX(単価表!$AY$64:$CC$71,MATCH($V37&amp;$W37,INDEX(単価表!$AY$64:$AY$71&amp;単価表!$AZ$64:$AZ$71,),),MATCH(内訳計算!AS$6,単価表!$AY$63:$CC$63,0))),0)*$Y37/25,0),0)</f>
        <v>0</v>
      </c>
      <c r="AT37" s="976" cm="1">
        <f t="array" ref="AT37">IFERROR(IF(HLOOKUP($U37,加算と減算!$E$4:$P$10,6,FALSE)="○",IF(OR($U37=2,$U37=3),
INDEX(単価表!$AY$64:$CC$71,MATCH($V37&amp;$W37,INDEX(単価表!$AY$64:$AY$71&amp;単価表!$AZ$64:$AZ$71,),),MATCH(内訳計算!AT$6,単価表!$AY$63:$CC$63,0)),
INDEX(単価表!$AY$64:$CC$71,MATCH($V37&amp;$W37,INDEX(単価表!$AY$64:$AY$71&amp;単価表!$AZ$64:$AZ$71,),),MATCH(内訳計算!AT$6,単価表!$AY$63:$CC$63,0))),0),0)</f>
        <v>0</v>
      </c>
      <c r="AU37" s="975" cm="1">
        <f t="array" ref="AU37">IFERROR(ROUNDUP(IF(HLOOKUP($U37,加算と減算!$E$4:$P$10,6,FALSE)="○",IF(OR($U37=2,$U37=3),
INDEX(単価表!$AY$64:$CC$71,MATCH($V37&amp;$W37,INDEX(単価表!$AY$64:$AY$71&amp;単価表!$AZ$64:$AZ$71,),),MATCH(内訳計算!AU$6,単価表!$AY$63:$CC$63,0)),
INDEX(単価表!$AY$64:$CC$71,MATCH($V37&amp;$W37,INDEX(単価表!$AY$64:$AY$71&amp;単価表!$AZ$64:$AZ$71,),),MATCH(内訳計算!AU$6,単価表!$AY$63:$CC$63,0))),0)*$Y37/25,0),0)</f>
        <v>0</v>
      </c>
      <c r="AV37" s="976" cm="1">
        <f t="array" ref="AV37">IFERROR(IF(HLOOKUP($U37,加算と減算!$E$4:$P$10,7,FALSE)="○",IF(OR($U37=2,$U37=3),
INDEX(単価表!$AY$64:$CC$71,MATCH($V37&amp;$W37,INDEX(単価表!$AY$64:$AY$71&amp;単価表!$AZ$64:$AZ$71,),),MATCH(内訳計算!AV$6,単価表!$AY$63:$CC$63,0)),
INDEX(単価表!$AY$64:$CC$71,MATCH($V37&amp;$W37,INDEX(単価表!$AY$64:$AY$71&amp;単価表!$AZ$64:$AZ$71,),),MATCH(内訳計算!AV$6,単価表!$AY$63:$CC$63,0))),0),0)</f>
        <v>0</v>
      </c>
      <c r="AW37" s="977" cm="1">
        <f t="array" ref="AW37">IFERROR(ROUNDUP(IF(HLOOKUP($U37,加算と減算!$E$4:$P$10,7,FALSE)="○",IF(OR($U37=2,$U37=3),
INDEX(単価表!$AY$64:$CC$71,MATCH($V37&amp;$W37,INDEX(単価表!$AY$64:$AY$71&amp;単価表!$AZ$64:$AZ$71,),),MATCH(内訳計算!AW$6,単価表!$AY$63:$CC$63,0)),
INDEX(単価表!$AY$64:$CC$71,MATCH($V37&amp;$W37,INDEX(単価表!$AY$64:$AY$71&amp;単価表!$AZ$64:$AZ$71,),),MATCH(内訳計算!AW$6,単価表!$AY$63:$CC$63,0))),0)*$Y37/25,0),0)</f>
        <v>0</v>
      </c>
      <c r="AX37" s="977" cm="1">
        <f t="array" ref="AX37">IFERROR(ROUNDUP(IF(HLOOKUP($U37,加算と減算!$E$4:$P$10,7,FALSE)="○",IF(OR($U37=2,$U37=3),
INDEX(単価表!$AY$64:$CC$71,MATCH($V37&amp;$W37,INDEX(単価表!$AY$64:$AY$71&amp;単価表!$AZ$64:$AZ$71,),),MATCH(内訳計算!AX$6,単価表!$AY$63:$CC$63,0)),
INDEX(単価表!$AY$64:$CC$71,MATCH($V37&amp;$W37,INDEX(単価表!$AY$64:$AY$71&amp;単価表!$AZ$64:$AZ$71,),),MATCH(内訳計算!AX$6,単価表!$AY$63:$CC$63,0))),0)*$Y37/25,0),0)</f>
        <v>0</v>
      </c>
      <c r="AY37" s="975" cm="1">
        <f t="array" ref="AY37">IFERROR(ROUNDUP(IF(HLOOKUP($U37,加算と減算!$E$4:$P$10,7,FALSE)="○",IF(OR($U37=2,$U37=3),
INDEX(単価表!$AY$64:$CC$71,MATCH($V37&amp;$W37,INDEX(単価表!$AY$64:$AY$71&amp;単価表!$AZ$64:$AZ$71,),),MATCH(内訳計算!AY$6,単価表!$AY$63:$CC$63,0)),
INDEX(単価表!$AY$64:$CC$71,MATCH($V37&amp;$W37,INDEX(単価表!$AY$64:$AY$71&amp;単価表!$AZ$64:$AZ$71,),),MATCH(内訳計算!AY$6,単価表!$AY$63:$CC$63,0))),0)*$Y37/25,0),0)</f>
        <v>0</v>
      </c>
      <c r="AZ37" s="976" cm="1">
        <f t="array" ref="AZ37">IFERROR(IF(X37="○",INDEX(単価表!$AY$64:$CC$71,MATCH($V37&amp;$W37,INDEX(単価表!$AY$64:$AY$71&amp;単価表!$AZ$64:$AZ$71,),),MATCH(内訳計算!AZ$6,単価表!$AY$63:$CC$63,0)),0),0)</f>
        <v>0</v>
      </c>
      <c r="BA37" s="975" cm="1">
        <f t="array" ref="BA37">IFERROR(ROUNDUP(INDEX(単価表!$AY$64:$CC$71,MATCH($V37&amp;$W37,INDEX(単価表!$AY$64:$AY$71&amp;単価表!$AZ$64:$AZ$71,),),MATCH(内訳計算!BA$6,単価表!$AY$63:$CC$63,0))*$Y37/25,0),0)</f>
        <v>0</v>
      </c>
      <c r="BB37" s="976" cm="1">
        <f t="array" ref="BB37">IFERROR(INDEX(単価表!$AY$64:$CC$71,MATCH($V37&amp;$W37,INDEX(単価表!$AY$64:$AY$71&amp;単価表!$AZ$64:$AZ$71,),),MATCH(内訳計算!BB$6,単価表!$AY$63:$CC$63,0)),0)</f>
        <v>0</v>
      </c>
      <c r="BC37" s="975" cm="1">
        <f t="array" ref="BC37">IFERROR(ROUNDUP(INDEX(単価表!$AY$64:$CC$71,MATCH($V37&amp;$W37,INDEX(単価表!$AY$64:$AY$71&amp;単価表!$AZ$64:$AZ$71,),),MATCH(内訳計算!BC$6,単価表!$AY$63:$CC$63,0))*$Y37/25,0),0)</f>
        <v>0</v>
      </c>
      <c r="BD37" s="985">
        <f>IFERROR(IF(HLOOKUP($U37,加算と減算!$E$31:$P$32,2,FALSE)="○",IF(OR($U37=2,$U37=3),-(単価表!$AZ$7+単価表!$BA$7*基本情報!$G$7),-(単価表!$AZ$7+単価表!$BA$7*基本情報!$G$7)),0),0)</f>
        <v>0</v>
      </c>
      <c r="BE37" s="986" t="e">
        <f t="shared" si="70"/>
        <v>#VALUE!</v>
      </c>
      <c r="BF37" s="986" t="e">
        <f t="shared" si="71"/>
        <v>#VALUE!</v>
      </c>
      <c r="BG37" s="987" t="e">
        <f t="shared" si="72"/>
        <v>#N/A</v>
      </c>
      <c r="BH37" s="988">
        <f>IFERROR(IF(基本情報!$E$12&lt;&gt;"",-ROUNDDOWN((AA37+AE37+AH37+AL37)*基本情報!$H$12/100,-1),0),0)</f>
        <v>0</v>
      </c>
      <c r="BI37" s="986" t="e">
        <f t="shared" si="73"/>
        <v>#VALUE!</v>
      </c>
      <c r="BJ37" s="986" t="e">
        <f t="shared" si="74"/>
        <v>#VALUE!</v>
      </c>
      <c r="BK37" s="989" t="e">
        <f t="shared" si="75"/>
        <v>#N/A</v>
      </c>
      <c r="BL37" s="1009">
        <f>IFERROR(-ROUNDUP(SUM(AA37,AE37,AH37,AL37,AR37,AT37,AV37,BD37,BH37)*基本情報!$H$14/100,-1),0)</f>
        <v>0</v>
      </c>
      <c r="BM37" s="1010" t="e">
        <f t="shared" si="79"/>
        <v>#VALUE!</v>
      </c>
      <c r="BN37" s="1010" t="e">
        <f t="shared" si="76"/>
        <v>#VALUE!</v>
      </c>
      <c r="BO37" s="1011" t="e">
        <f t="shared" si="77"/>
        <v>#N/A</v>
      </c>
      <c r="BP37" s="784"/>
      <c r="BQ37" s="784"/>
      <c r="BR37" s="784"/>
      <c r="BS37" s="784"/>
      <c r="BT37" s="721"/>
      <c r="BU37" s="1043" t="e">
        <f t="shared" si="80"/>
        <v>#VALUE!</v>
      </c>
      <c r="BV37" s="1044" t="e">
        <f t="shared" si="81"/>
        <v>#VALUE!</v>
      </c>
      <c r="BW37" s="1044" t="e">
        <f t="shared" si="82"/>
        <v>#N/A</v>
      </c>
      <c r="BX37" s="1051">
        <f t="shared" si="83"/>
        <v>0</v>
      </c>
      <c r="BY37" s="1045">
        <f t="shared" si="84"/>
        <v>0</v>
      </c>
      <c r="CB37" s="1626"/>
      <c r="CC37" s="1600"/>
      <c r="CD37" s="1422" t="s">
        <v>161</v>
      </c>
      <c r="CE37" s="734" t="s">
        <v>169</v>
      </c>
      <c r="CF37" s="672">
        <f>'4月'!AQ37</f>
        <v>0</v>
      </c>
      <c r="CG37" s="672">
        <f>'5月'!AQ37</f>
        <v>0</v>
      </c>
      <c r="CH37" s="672">
        <f>'6月'!AQ37</f>
        <v>0</v>
      </c>
      <c r="CI37" s="672">
        <f>'7月'!AQ37</f>
        <v>0</v>
      </c>
      <c r="CJ37" s="672">
        <f>'8月'!AQ37</f>
        <v>0</v>
      </c>
      <c r="CK37" s="672">
        <f>'9月'!AQ37</f>
        <v>0</v>
      </c>
      <c r="CL37" s="672">
        <f>'10月'!AQ37</f>
        <v>0</v>
      </c>
      <c r="CM37" s="672">
        <f>'11月'!AQ37</f>
        <v>0</v>
      </c>
      <c r="CN37" s="672">
        <f>'12月'!AQ37</f>
        <v>0</v>
      </c>
      <c r="CO37" s="672">
        <f>'1月'!AQ37</f>
        <v>0</v>
      </c>
      <c r="CP37" s="672">
        <f>'2月'!AQ37</f>
        <v>0</v>
      </c>
      <c r="CQ37" s="756">
        <f>'3月'!AQ43</f>
        <v>0</v>
      </c>
      <c r="CR37" s="759">
        <f t="shared" si="22"/>
        <v>0</v>
      </c>
      <c r="CS37" s="1600"/>
      <c r="CT37" s="1422" t="s">
        <v>161</v>
      </c>
      <c r="CU37" s="734" t="s">
        <v>169</v>
      </c>
      <c r="CV37" s="771">
        <f>M63+M64</f>
        <v>0</v>
      </c>
      <c r="CW37" s="771">
        <f>N63+N64</f>
        <v>0</v>
      </c>
      <c r="CX37" s="771">
        <f>O63+O64</f>
        <v>0</v>
      </c>
      <c r="CY37" s="954"/>
      <c r="CZ37" s="954"/>
      <c r="DA37" s="721"/>
      <c r="DB37" s="721"/>
    </row>
    <row r="38" spans="1:106" ht="16.5" customHeight="1">
      <c r="A38" s="1653"/>
      <c r="B38" s="1655"/>
      <c r="C38" s="1542" t="s">
        <v>16</v>
      </c>
      <c r="D38" s="667" t="s">
        <v>6</v>
      </c>
      <c r="E38" s="668">
        <f>SUM(児童数!W8:W17)</f>
        <v>0</v>
      </c>
      <c r="F38" s="668">
        <f>'4月'!J32</f>
        <v>0</v>
      </c>
      <c r="G38" s="668">
        <f>G32</f>
        <v>1809</v>
      </c>
      <c r="H38" s="668">
        <f>IFERROR(INDEX(事業費・管理費!$C$11:$T$15,MATCH(D38,事業費・管理費!$C$11:$C$15,0),MATCH(基本情報!$AB$4,事業費・管理費!$C$11:$T$11,0)),0)</f>
        <v>0</v>
      </c>
      <c r="I38" s="668">
        <f>F38-G38-H38</f>
        <v>-1809</v>
      </c>
      <c r="J38" s="668">
        <f>E38*I38</f>
        <v>0</v>
      </c>
      <c r="K38" s="668">
        <f>E38*G38</f>
        <v>0</v>
      </c>
      <c r="L38" s="706">
        <f>E38*H38</f>
        <v>0</v>
      </c>
      <c r="N38" s="1080"/>
      <c r="O38" s="1078"/>
      <c r="P38" s="1078"/>
      <c r="Q38" s="1079"/>
      <c r="R38" s="1079"/>
      <c r="T38" s="682">
        <v>5</v>
      </c>
      <c r="U38" s="918">
        <f>月途中入退所情報!N12</f>
        <v>0</v>
      </c>
      <c r="V38" s="918">
        <f>月途中入退所情報!R12</f>
        <v>0</v>
      </c>
      <c r="W38" s="918">
        <f>月途中入退所情報!Q12</f>
        <v>0</v>
      </c>
      <c r="X38" s="945">
        <f>月途中入退所情報!S12</f>
        <v>0</v>
      </c>
      <c r="Y38" s="918">
        <f>月途中入退所情報!T12</f>
        <v>0</v>
      </c>
      <c r="Z38" s="840">
        <f t="shared" si="86"/>
        <v>0</v>
      </c>
      <c r="AA38" s="976" cm="1">
        <f t="array" ref="AA38">IFERROR(IF(OR($U38=2,$U38=3),
INDEX(単価表!$AY$64:$CC$71,MATCH($V38&amp;$W38,INDEX(単価表!$AY$64:$AY$71&amp;単価表!$AZ$64:$AZ$71,),),MATCH(内訳計算!AA$6,単価表!$AY$63:$CC$63,0)),
INDEX(単価表!$AY$64:$CC$71,MATCH($V38&amp;$W38,INDEX(単価表!$AY$64:$AY$71&amp;単価表!$AZ$64:$AZ$71,),),MATCH(内訳計算!AA$6,単価表!$AY$63:$CC$63,0))),0)</f>
        <v>0</v>
      </c>
      <c r="AB38" s="977" t="e">
        <f t="shared" si="78"/>
        <v>#VALUE!</v>
      </c>
      <c r="AC38" s="977" cm="1">
        <f t="array" ref="AC38">IFERROR(ROUNDUP(IF(OR($U38=2,$U38=3),
INDEX(単価表!$AY$64:$CC$71,MATCH($V38&amp;$W38,INDEX(単価表!$AY$64:$AY$71&amp;単価表!$AZ$64:$AZ$71,),),MATCH(内訳計算!AC$6,単価表!$AY$63:$CC$63,0)),
INDEX(単価表!$AY$64:$CC$71,MATCH($V38&amp;$W38,INDEX(単価表!$AY$64:$AY$71&amp;単価表!$AZ$64:$AZ$71,),),MATCH(内訳計算!AC$6,単価表!$AY$63:$CC$63,0)))*$Y38/25,0),0)</f>
        <v>0</v>
      </c>
      <c r="AD38" s="975" cm="1">
        <f t="array" ref="AD38">IFERROR(ROUNDUP(IF(OR($U38=2,$U38=3),
INDEX(単価表!$AY$64:$CC$71,MATCH($V38&amp;$W38,INDEX(単価表!$AY$64:$AY$71&amp;単価表!$AZ$64:$AZ$71,),),MATCH(内訳計算!AD$6,単価表!$AY$63:$CC$63,0)),
INDEX(単価表!$AY$64:$CC$71,MATCH($V38&amp;$W38,INDEX(単価表!$AY$64:$AY$71&amp;単価表!$AZ$64:$AZ$71,),),MATCH(内訳計算!AD$6,単価表!$AY$63:$CC$63,0)))*$Y38/25,0),0)</f>
        <v>0</v>
      </c>
      <c r="AE38" s="976" cm="1">
        <f t="array" ref="AE38">IFERROR(IF(OR($U38=2,$U38=3),
INDEX(単価表!$AY$64:$CC$71,MATCH($V38&amp;$W38,INDEX(単価表!$AY$64:$AY$71&amp;単価表!$AZ$64:$AZ$71,),),MATCH(内訳計算!AE$6,単価表!$AY$63:$CC$63,0)),
INDEX(単価表!$AY$64:$CC$71,MATCH($V38&amp;$W38,INDEX(単価表!$AY$64:$AY$71&amp;単価表!$AZ$64:$AZ$71,),),MATCH(内訳計算!AE$6,単価表!$AY$63:$CC$63,0))),0)</f>
        <v>0</v>
      </c>
      <c r="AF38" s="977" cm="1">
        <f t="array" ref="AF38">IFERROR(ROUNDUP(IF(OR($U38=2,$U38=3),
INDEX(単価表!$AY$64:$CC$71,MATCH($V38&amp;$W38,INDEX(単価表!$AY$64:$AY$71&amp;単価表!$AZ$64:$AZ$71,),),MATCH(内訳計算!AF$6,単価表!$AY$63:$CC$63,0)),
INDEX(単価表!$AY$64:$CC$71,MATCH($V38&amp;$W38,INDEX(単価表!$AY$64:$AY$71&amp;単価表!$AZ$64:$AZ$71,),),MATCH(内訳計算!AF$6,単価表!$AY$63:$CC$63,0)))*$Y38/25,0),0)</f>
        <v>0</v>
      </c>
      <c r="AG38" s="975" cm="1">
        <f t="array" ref="AG38">IFERROR(ROUNDUP(IF(OR($U38=2,$U38=3),
INDEX(単価表!$AY$64:$CC$71,MATCH($V38&amp;$W38,INDEX(単価表!$AY$64:$AY$71&amp;単価表!$AZ$64:$AZ$71,),),MATCH(内訳計算!AG$6,単価表!$AY$63:$CC$63,0)),
INDEX(単価表!$AY$64:$CC$71,MATCH($V38&amp;$W38,INDEX(単価表!$AY$64:$AY$71&amp;単価表!$AZ$64:$AZ$71,),),MATCH(内訳計算!AG$6,単価表!$AY$63:$CC$63,0)))*$Y38/25,0),0)</f>
        <v>0</v>
      </c>
      <c r="AH38" s="976" cm="1">
        <f t="array" ref="AH38">IFERROR(IF(HLOOKUP($U38,加算と減算!$E$4:$P$10,2,FALSE)="○",IF(OR($U38=2,$U38=3),
INDEX(単価表!$AY$64:$CC$71,MATCH($V38&amp;$W38,INDEX(単価表!$AY$64:$AY$71&amp;単価表!$AZ$64:$AZ$71,),),MATCH(内訳計算!AH$6,単価表!$AY$63:$CC$63,0)),
INDEX(単価表!$AY$64:$CC$71,MATCH($V38&amp;$W38,INDEX(単価表!$AY$64:$AY$71&amp;単価表!$AZ$64:$AZ$71,),),MATCH(内訳計算!AH$6,単価表!$AY$63:$CC$63,0))),0),0)</f>
        <v>0</v>
      </c>
      <c r="AI38" s="978" cm="1">
        <f t="array" ref="AI38">IFERROR(ROUNDUP(IF(HLOOKUP($U38,加算と減算!$E$4:$P$10,2,FALSE)="○",IF(OR($U38=2,$U38=3),
INDEX(単価表!$AY$64:$CC$71,MATCH($V38&amp;$W38,INDEX(単価表!$AY$64:$AY$71&amp;単価表!$AZ$64:$AZ$71,),),MATCH(内訳計算!AI$6,単価表!$AY$63:$CC$63,0)),
INDEX(単価表!$AY$64:$CC$71,MATCH($V38&amp;$W38,INDEX(単価表!$AY$64:$AY$71&amp;単価表!$AZ$64:$AZ$71,),),MATCH(内訳計算!AI$6,単価表!$AY$63:$CC$63,0))),0)*$Y38/25,0),0)</f>
        <v>0</v>
      </c>
      <c r="AJ38" s="977" cm="1">
        <f t="array" ref="AJ38">IFERROR(ROUNDUP(IF(HLOOKUP($U38,加算と減算!$E$4:$P$10,2,FALSE)="○",IF(OR($U38=2,$U38=3),
INDEX(単価表!$AY$64:$CC$71,MATCH($V38&amp;$W38,INDEX(単価表!$AY$64:$AY$71&amp;単価表!$AZ$64:$AZ$71,),),MATCH(内訳計算!AJ$6,単価表!$AY$63:$CC$63,0)),
INDEX(単価表!$AY$64:$CC$71,MATCH($V38&amp;$W38,INDEX(単価表!$AY$64:$AY$71&amp;単価表!$AZ$64:$AZ$71,),),MATCH(内訳計算!AJ$6,単価表!$AY$63:$CC$63,0))),0)*$Y38/25,0),0)</f>
        <v>0</v>
      </c>
      <c r="AK38" s="975" cm="1">
        <f t="array" ref="AK38">IFERROR(ROUNDUP(IF(HLOOKUP($U38,加算と減算!$E$4:$P$10,2,FALSE)="○",IF(OR($U38=2,$U38=3),
INDEX(単価表!$AY$64:$CC$71,MATCH($V38&amp;$W38,INDEX(単価表!$AY$64:$AY$71&amp;単価表!$AZ$64:$AZ$71,),),MATCH(内訳計算!AK$6,単価表!$AY$63:$CC$63,0)),
INDEX(単価表!$AY$64:$CC$71,MATCH($V38&amp;$W38,INDEX(単価表!$AY$64:$AY$71&amp;単価表!$AZ$64:$AZ$71,),),MATCH(内訳計算!AK$6,単価表!$AY$63:$CC$63,0))),0)*$Y38/25,0),0)</f>
        <v>0</v>
      </c>
      <c r="AL38" s="976" cm="1">
        <f t="array" ref="AL38">IFERROR(IF(HLOOKUP($U38,加算と減算!$E$4:$P$10,4,FALSE)="○",IF(OR($U38=2,$U38=3),
INDEX(単価表!$AY$64:$CC$71,MATCH($V38&amp;$W38,INDEX(単価表!$AY$64:$AY$71&amp;単価表!$AZ$64:$AZ$71,),),MATCH(内訳計算!AL$6,単価表!$AY$63:$CC$63,0)),
INDEX(単価表!$AY$64:$CC$71,MATCH($V38&amp;$W38,INDEX(単価表!$AY$64:$AY$71&amp;単価表!$AZ$64:$AZ$71,),),MATCH(内訳計算!AL$6,単価表!$AY$63:$CC$63,0))),0),0)</f>
        <v>0</v>
      </c>
      <c r="AM38" s="977" cm="1">
        <f t="array" ref="AM38">IFERROR(ROUNDUP(IF(HLOOKUP($U38,加算と減算!$E$4:$P$10,4,FALSE)="○",IF(OR($U38=2,$U38=3),
INDEX(単価表!$AY$64:$CC$71,MATCH($V38&amp;$W38,INDEX(単価表!$AY$64:$AY$71&amp;単価表!$AZ$64:$AZ$71,),),MATCH(内訳計算!AM$6,単価表!$AY$63:$CC$63,0)),
INDEX(単価表!$AY$64:$CC$71,MATCH($V38&amp;$W38,INDEX(単価表!$AY$64:$AY$71&amp;単価表!$AZ$64:$AZ$71,),),MATCH(内訳計算!AM$6,単価表!$AY$63:$CC$63,0))),0)*$Y38/25,0),0)</f>
        <v>0</v>
      </c>
      <c r="AN38" s="977" cm="1">
        <f t="array" ref="AN38">IFERROR(ROUNDUP(IF(HLOOKUP($U38,加算と減算!$E$4:$P$10,4,FALSE)="○",IF(OR($U38=2,$U38=3),
INDEX(単価表!$AY$64:$CC$71,MATCH($V38&amp;$W38,INDEX(単価表!$AY$64:$AY$71&amp;単価表!$AZ$64:$AZ$71,),),MATCH(内訳計算!AN$6,単価表!$AY$63:$CC$63,0)),
INDEX(単価表!$AY$64:$CC$71,MATCH($V38&amp;$W38,INDEX(単価表!$AY$64:$AY$71&amp;単価表!$AZ$64:$AZ$71,),),MATCH(内訳計算!AN$6,単価表!$AY$63:$CC$63,0))),0)*$Y38/25,0),0)</f>
        <v>0</v>
      </c>
      <c r="AO38" s="977" cm="1">
        <f t="array" ref="AO38">IFERROR(ROUNDUP(IF(HLOOKUP($U38,加算と減算!$E$4:$P$10,4,FALSE)="○",IF(OR($U38=2,$U38=3),
INDEX(単価表!$AY$64:$CC$71,MATCH($V38&amp;$W38,INDEX(単価表!$AY$64:$AY$71&amp;単価表!$AZ$64:$AZ$71,),),MATCH(内訳計算!AO$6,単価表!$AY$63:$CC$63,0)),
INDEX(単価表!$AY$64:$CC$71,MATCH($V38&amp;$W38,INDEX(単価表!$AY$64:$AY$71&amp;単価表!$AZ$64:$AZ$71,),),MATCH(内訳計算!AO$6,単価表!$AY$63:$CC$63,0))),0)*$Y38/25,0),0)</f>
        <v>0</v>
      </c>
      <c r="AP38" s="977" cm="1">
        <f t="array" ref="AP38">IFERROR(ROUNDUP(IF(HLOOKUP($U38,加算と減算!$E$4:$P$10,4,FALSE)="○",IF(OR($U38=2,$U38=3),
INDEX(単価表!$AY$64:$CC$71,MATCH($V38&amp;$W38,INDEX(単価表!$AY$64:$AY$71&amp;単価表!$AZ$64:$AZ$71,),),MATCH(内訳計算!AP$6,単価表!$AY$63:$CC$63,0)),
INDEX(単価表!$AY$64:$CC$71,MATCH($V38&amp;$W38,INDEX(単価表!$AY$64:$AY$71&amp;単価表!$AZ$64:$AZ$71,),),MATCH(内訳計算!AP$6,単価表!$AY$63:$CC$63,0))),0)*$Y38/25,0),0)</f>
        <v>0</v>
      </c>
      <c r="AQ38" s="975" cm="1">
        <f t="array" ref="AQ38">IFERROR(ROUNDUP(IF(HLOOKUP($U38,加算と減算!$E$4:$P$10,4,FALSE)="○",IF(OR($U38=2,$U38=3),
INDEX(単価表!$AY$64:$CC$71,MATCH($V38&amp;$W38,INDEX(単価表!$AY$64:$AY$71&amp;単価表!$AZ$64:$AZ$71,),),MATCH(内訳計算!AQ$6,単価表!$AY$63:$CC$63,0)),
INDEX(単価表!$AY$64:$CC$71,MATCH($V38&amp;$W38,INDEX(単価表!$AY$64:$AY$71&amp;単価表!$AZ$64:$AZ$71,),),MATCH(内訳計算!AQ$6,単価表!$AY$63:$CC$63,0))),0)*$Y38/25,0),0)</f>
        <v>0</v>
      </c>
      <c r="AR38" s="976" cm="1">
        <f t="array" ref="AR38">IFERROR(IF(HLOOKUP($U38,加算と減算!$E$4:$P$10,5,FALSE)="○",IF(OR($U38=2,$U38=3),
INDEX(単価表!$AY$64:$CC$71,MATCH($V38&amp;$W38,INDEX(単価表!$AY$64:$AY$71&amp;単価表!$AZ$64:$AZ$71,),),MATCH(内訳計算!AR$6,単価表!$AY$63:$CC$63,0)),
INDEX(単価表!$AY$64:$CC$71,MATCH($V38&amp;$W38,INDEX(単価表!$AY$64:$AY$71&amp;単価表!$AZ$64:$AZ$71,),),MATCH(内訳計算!AR$6,単価表!$AY$63:$CC$63,0))),0),0)</f>
        <v>0</v>
      </c>
      <c r="AS38" s="975" cm="1">
        <f t="array" ref="AS38">IFERROR(ROUNDUP(IF(HLOOKUP($U38,加算と減算!$E$4:$P$10,5,FALSE)="○",IF(OR($U38=2,$U38=3),
INDEX(単価表!$AY$64:$CC$71,MATCH($V38&amp;$W38,INDEX(単価表!$AY$64:$AY$71&amp;単価表!$AZ$64:$AZ$71,),),MATCH(内訳計算!AS$6,単価表!$AY$63:$CC$63,0)),
INDEX(単価表!$AY$64:$CC$71,MATCH($V38&amp;$W38,INDEX(単価表!$AY$64:$AY$71&amp;単価表!$AZ$64:$AZ$71,),),MATCH(内訳計算!AS$6,単価表!$AY$63:$CC$63,0))),0)*$Y38/25,0),0)</f>
        <v>0</v>
      </c>
      <c r="AT38" s="976" cm="1">
        <f t="array" ref="AT38">IFERROR(IF(HLOOKUP($U38,加算と減算!$E$4:$P$10,6,FALSE)="○",IF(OR($U38=2,$U38=3),
INDEX(単価表!$AY$64:$CC$71,MATCH($V38&amp;$W38,INDEX(単価表!$AY$64:$AY$71&amp;単価表!$AZ$64:$AZ$71,),),MATCH(内訳計算!AT$6,単価表!$AY$63:$CC$63,0)),
INDEX(単価表!$AY$64:$CC$71,MATCH($V38&amp;$W38,INDEX(単価表!$AY$64:$AY$71&amp;単価表!$AZ$64:$AZ$71,),),MATCH(内訳計算!AT$6,単価表!$AY$63:$CC$63,0))),0),0)</f>
        <v>0</v>
      </c>
      <c r="AU38" s="975" cm="1">
        <f t="array" ref="AU38">IFERROR(ROUNDUP(IF(HLOOKUP($U38,加算と減算!$E$4:$P$10,6,FALSE)="○",IF(OR($U38=2,$U38=3),
INDEX(単価表!$AY$64:$CC$71,MATCH($V38&amp;$W38,INDEX(単価表!$AY$64:$AY$71&amp;単価表!$AZ$64:$AZ$71,),),MATCH(内訳計算!AU$6,単価表!$AY$63:$CC$63,0)),
INDEX(単価表!$AY$64:$CC$71,MATCH($V38&amp;$W38,INDEX(単価表!$AY$64:$AY$71&amp;単価表!$AZ$64:$AZ$71,),),MATCH(内訳計算!AU$6,単価表!$AY$63:$CC$63,0))),0)*$Y38/25,0),0)</f>
        <v>0</v>
      </c>
      <c r="AV38" s="976" cm="1">
        <f t="array" ref="AV38">IFERROR(IF(HLOOKUP($U38,加算と減算!$E$4:$P$10,7,FALSE)="○",IF(OR($U38=2,$U38=3),
INDEX(単価表!$AY$64:$CC$71,MATCH($V38&amp;$W38,INDEX(単価表!$AY$64:$AY$71&amp;単価表!$AZ$64:$AZ$71,),),MATCH(内訳計算!AV$6,単価表!$AY$63:$CC$63,0)),
INDEX(単価表!$AY$64:$CC$71,MATCH($V38&amp;$W38,INDEX(単価表!$AY$64:$AY$71&amp;単価表!$AZ$64:$AZ$71,),),MATCH(内訳計算!AV$6,単価表!$AY$63:$CC$63,0))),0),0)</f>
        <v>0</v>
      </c>
      <c r="AW38" s="977" cm="1">
        <f t="array" ref="AW38">IFERROR(ROUNDUP(IF(HLOOKUP($U38,加算と減算!$E$4:$P$10,7,FALSE)="○",IF(OR($U38=2,$U38=3),
INDEX(単価表!$AY$64:$CC$71,MATCH($V38&amp;$W38,INDEX(単価表!$AY$64:$AY$71&amp;単価表!$AZ$64:$AZ$71,),),MATCH(内訳計算!AW$6,単価表!$AY$63:$CC$63,0)),
INDEX(単価表!$AY$64:$CC$71,MATCH($V38&amp;$W38,INDEX(単価表!$AY$64:$AY$71&amp;単価表!$AZ$64:$AZ$71,),),MATCH(内訳計算!AW$6,単価表!$AY$63:$CC$63,0))),0)*$Y38/25,0),0)</f>
        <v>0</v>
      </c>
      <c r="AX38" s="977" cm="1">
        <f t="array" ref="AX38">IFERROR(ROUNDUP(IF(HLOOKUP($U38,加算と減算!$E$4:$P$10,7,FALSE)="○",IF(OR($U38=2,$U38=3),
INDEX(単価表!$AY$64:$CC$71,MATCH($V38&amp;$W38,INDEX(単価表!$AY$64:$AY$71&amp;単価表!$AZ$64:$AZ$71,),),MATCH(内訳計算!AX$6,単価表!$AY$63:$CC$63,0)),
INDEX(単価表!$AY$64:$CC$71,MATCH($V38&amp;$W38,INDEX(単価表!$AY$64:$AY$71&amp;単価表!$AZ$64:$AZ$71,),),MATCH(内訳計算!AX$6,単価表!$AY$63:$CC$63,0))),0)*$Y38/25,0),0)</f>
        <v>0</v>
      </c>
      <c r="AY38" s="975" cm="1">
        <f t="array" ref="AY38">IFERROR(ROUNDUP(IF(HLOOKUP($U38,加算と減算!$E$4:$P$10,7,FALSE)="○",IF(OR($U38=2,$U38=3),
INDEX(単価表!$AY$64:$CC$71,MATCH($V38&amp;$W38,INDEX(単価表!$AY$64:$AY$71&amp;単価表!$AZ$64:$AZ$71,),),MATCH(内訳計算!AY$6,単価表!$AY$63:$CC$63,0)),
INDEX(単価表!$AY$64:$CC$71,MATCH($V38&amp;$W38,INDEX(単価表!$AY$64:$AY$71&amp;単価表!$AZ$64:$AZ$71,),),MATCH(内訳計算!AY$6,単価表!$AY$63:$CC$63,0))),0)*$Y38/25,0),0)</f>
        <v>0</v>
      </c>
      <c r="AZ38" s="976" cm="1">
        <f t="array" ref="AZ38">IFERROR(IF(X38="○",INDEX(単価表!$AY$64:$CC$71,MATCH($V38&amp;$W38,INDEX(単価表!$AY$64:$AY$71&amp;単価表!$AZ$64:$AZ$71,),),MATCH(内訳計算!AZ$6,単価表!$AY$63:$CC$63,0)),0),0)</f>
        <v>0</v>
      </c>
      <c r="BA38" s="975" cm="1">
        <f t="array" ref="BA38">IFERROR(ROUNDUP(INDEX(単価表!$AY$64:$CC$71,MATCH($V38&amp;$W38,INDEX(単価表!$AY$64:$AY$71&amp;単価表!$AZ$64:$AZ$71,),),MATCH(内訳計算!BA$6,単価表!$AY$63:$CC$63,0))*$Y38/25,0),0)</f>
        <v>0</v>
      </c>
      <c r="BB38" s="976" cm="1">
        <f t="array" ref="BB38">IFERROR(INDEX(単価表!$AY$64:$CC$71,MATCH($V38&amp;$W38,INDEX(単価表!$AY$64:$AY$71&amp;単価表!$AZ$64:$AZ$71,),),MATCH(内訳計算!BB$6,単価表!$AY$63:$CC$63,0)),0)</f>
        <v>0</v>
      </c>
      <c r="BC38" s="975" cm="1">
        <f t="array" ref="BC38">IFERROR(ROUNDUP(INDEX(単価表!$AY$64:$CC$71,MATCH($V38&amp;$W38,INDEX(単価表!$AY$64:$AY$71&amp;単価表!$AZ$64:$AZ$71,),),MATCH(内訳計算!BC$6,単価表!$AY$63:$CC$63,0))*$Y38/25,0),0)</f>
        <v>0</v>
      </c>
      <c r="BD38" s="985">
        <f>IFERROR(IF(HLOOKUP($U38,加算と減算!$E$31:$P$32,2,FALSE)="○",IF(OR($U38=2,$U38=3),-(単価表!$AZ$7+単価表!$BA$7*基本情報!$G$7),-(単価表!$AZ$7+単価表!$BA$7*基本情報!$G$7)),0),0)</f>
        <v>0</v>
      </c>
      <c r="BE38" s="986" t="e">
        <f t="shared" si="70"/>
        <v>#VALUE!</v>
      </c>
      <c r="BF38" s="986" t="e">
        <f t="shared" si="71"/>
        <v>#VALUE!</v>
      </c>
      <c r="BG38" s="987" t="e">
        <f t="shared" si="72"/>
        <v>#N/A</v>
      </c>
      <c r="BH38" s="988">
        <f>IFERROR(IF(基本情報!$E$12&lt;&gt;"",-ROUNDDOWN((AA38+AE38+AH38+AL38)*基本情報!$H$12/100,-1),0),0)</f>
        <v>0</v>
      </c>
      <c r="BI38" s="986" t="e">
        <f t="shared" si="73"/>
        <v>#VALUE!</v>
      </c>
      <c r="BJ38" s="986" t="e">
        <f t="shared" si="74"/>
        <v>#VALUE!</v>
      </c>
      <c r="BK38" s="989" t="e">
        <f t="shared" si="75"/>
        <v>#N/A</v>
      </c>
      <c r="BL38" s="1006">
        <f>IFERROR(-ROUNDUP(SUM(AA38,AE38,AH38,AL38,AR38,AT38,AV38,BD38,BH38)*基本情報!$H$14/100,-1),0)</f>
        <v>0</v>
      </c>
      <c r="BM38" s="1007" t="e">
        <f t="shared" si="79"/>
        <v>#VALUE!</v>
      </c>
      <c r="BN38" s="1007" t="e">
        <f t="shared" si="76"/>
        <v>#VALUE!</v>
      </c>
      <c r="BO38" s="1008" t="e">
        <f t="shared" si="77"/>
        <v>#N/A</v>
      </c>
      <c r="BP38" s="701"/>
      <c r="BQ38" s="701"/>
      <c r="BR38" s="701"/>
      <c r="BS38" s="701"/>
      <c r="BT38" s="721"/>
      <c r="BU38" s="1043" t="e">
        <f t="shared" si="80"/>
        <v>#VALUE!</v>
      </c>
      <c r="BV38" s="1044" t="e">
        <f t="shared" si="81"/>
        <v>#VALUE!</v>
      </c>
      <c r="BW38" s="1044" t="e">
        <f t="shared" si="82"/>
        <v>#N/A</v>
      </c>
      <c r="BX38" s="1051">
        <f t="shared" si="83"/>
        <v>0</v>
      </c>
      <c r="BY38" s="1045">
        <f t="shared" si="84"/>
        <v>0</v>
      </c>
      <c r="CB38" s="1626"/>
      <c r="CC38" s="1600"/>
      <c r="CD38" s="1422"/>
      <c r="CE38" s="734" t="s">
        <v>167</v>
      </c>
      <c r="CF38" s="672">
        <f>'4月'!AQ38</f>
        <v>0</v>
      </c>
      <c r="CG38" s="672">
        <f>'5月'!AQ38</f>
        <v>0</v>
      </c>
      <c r="CH38" s="672">
        <f>'6月'!AQ38</f>
        <v>0</v>
      </c>
      <c r="CI38" s="672">
        <f>'7月'!AQ38</f>
        <v>0</v>
      </c>
      <c r="CJ38" s="672">
        <f>'8月'!AQ38</f>
        <v>0</v>
      </c>
      <c r="CK38" s="672">
        <f>'9月'!AQ38</f>
        <v>0</v>
      </c>
      <c r="CL38" s="672">
        <f>'10月'!AQ38</f>
        <v>0</v>
      </c>
      <c r="CM38" s="672">
        <f>'11月'!AQ38</f>
        <v>0</v>
      </c>
      <c r="CN38" s="672">
        <f>'12月'!AQ38</f>
        <v>0</v>
      </c>
      <c r="CO38" s="672">
        <f>'1月'!AQ38</f>
        <v>0</v>
      </c>
      <c r="CP38" s="672">
        <f>'2月'!AQ38</f>
        <v>0</v>
      </c>
      <c r="CQ38" s="756">
        <f>'3月'!AQ44</f>
        <v>0</v>
      </c>
      <c r="CR38" s="759">
        <f t="shared" si="22"/>
        <v>0</v>
      </c>
      <c r="CS38" s="1600"/>
      <c r="CT38" s="1422"/>
      <c r="CU38" s="957" t="s">
        <v>167</v>
      </c>
      <c r="CV38" s="954"/>
      <c r="CW38" s="776"/>
      <c r="CX38" s="954"/>
      <c r="CY38" s="1055">
        <f>P63+P64</f>
        <v>0</v>
      </c>
      <c r="CZ38" s="1055">
        <f>Q63+Q64</f>
        <v>0</v>
      </c>
      <c r="DA38" s="721"/>
      <c r="DB38" s="721"/>
    </row>
    <row r="39" spans="1:106">
      <c r="A39" s="1653"/>
      <c r="B39" s="1655"/>
      <c r="C39" s="1542"/>
      <c r="D39" s="667" t="s">
        <v>7</v>
      </c>
      <c r="E39" s="668">
        <f>SUM(児童数!X8:X17)</f>
        <v>0</v>
      </c>
      <c r="F39" s="707">
        <f>'4月'!K32</f>
        <v>0</v>
      </c>
      <c r="G39" s="668">
        <f>G33</f>
        <v>1809</v>
      </c>
      <c r="H39" s="668">
        <f>IFERROR(INDEX(事業費・管理費!$C$11:$T$15,MATCH(D39,事業費・管理費!$C$11:$C$15,0),MATCH(基本情報!$AB$4,事業費・管理費!$C$11:$T$11,0)),0)</f>
        <v>0</v>
      </c>
      <c r="I39" s="668">
        <f>F39-G39-H39</f>
        <v>-1809</v>
      </c>
      <c r="J39" s="668">
        <f t="shared" ref="J39:J41" si="87">E39*I39</f>
        <v>0</v>
      </c>
      <c r="K39" s="668">
        <f t="shared" ref="K39:K41" si="88">E39*G39</f>
        <v>0</v>
      </c>
      <c r="L39" s="706">
        <f t="shared" ref="L39:L41" si="89">E39*H39</f>
        <v>0</v>
      </c>
      <c r="N39" s="1080"/>
      <c r="O39" s="1078"/>
      <c r="P39" s="1078"/>
      <c r="Q39" s="1079"/>
      <c r="R39" s="1079"/>
      <c r="T39" s="682">
        <v>6</v>
      </c>
      <c r="U39" s="918">
        <f>月途中入退所情報!N13</f>
        <v>0</v>
      </c>
      <c r="V39" s="918">
        <f>月途中入退所情報!R13</f>
        <v>0</v>
      </c>
      <c r="W39" s="918">
        <f>月途中入退所情報!Q13</f>
        <v>0</v>
      </c>
      <c r="X39" s="945">
        <f>月途中入退所情報!S13</f>
        <v>0</v>
      </c>
      <c r="Y39" s="918">
        <f>月途中入退所情報!T13</f>
        <v>0</v>
      </c>
      <c r="Z39" s="993">
        <f t="shared" si="86"/>
        <v>0</v>
      </c>
      <c r="AA39" s="976" cm="1">
        <f t="array" ref="AA39">IFERROR(IF(OR($U39=2,$U39=3),
INDEX(単価表!$AY$64:$CC$71,MATCH($V39&amp;$W39,INDEX(単価表!$AY$64:$AY$71&amp;単価表!$AZ$64:$AZ$71,),),MATCH(内訳計算!AA$6,単価表!$AY$63:$CC$63,0)),
INDEX(単価表!$AY$64:$CC$71,MATCH($V39&amp;$W39,INDEX(単価表!$AY$64:$AY$71&amp;単価表!$AZ$64:$AZ$71,),),MATCH(内訳計算!AA$6,単価表!$AY$63:$CC$63,0))),0)</f>
        <v>0</v>
      </c>
      <c r="AB39" s="977" t="e">
        <f t="shared" si="78"/>
        <v>#VALUE!</v>
      </c>
      <c r="AC39" s="977" cm="1">
        <f t="array" ref="AC39">IFERROR(ROUNDUP(IF(OR($U39=2,$U39=3),
INDEX(単価表!$AY$64:$CC$71,MATCH($V39&amp;$W39,INDEX(単価表!$AY$64:$AY$71&amp;単価表!$AZ$64:$AZ$71,),),MATCH(内訳計算!AC$6,単価表!$AY$63:$CC$63,0)),
INDEX(単価表!$AY$64:$CC$71,MATCH($V39&amp;$W39,INDEX(単価表!$AY$64:$AY$71&amp;単価表!$AZ$64:$AZ$71,),),MATCH(内訳計算!AC$6,単価表!$AY$63:$CC$63,0)))*$Y39/25,0),0)</f>
        <v>0</v>
      </c>
      <c r="AD39" s="975" cm="1">
        <f t="array" ref="AD39">IFERROR(ROUNDUP(IF(OR($U39=2,$U39=3),
INDEX(単価表!$AY$64:$CC$71,MATCH($V39&amp;$W39,INDEX(単価表!$AY$64:$AY$71&amp;単価表!$AZ$64:$AZ$71,),),MATCH(内訳計算!AD$6,単価表!$AY$63:$CC$63,0)),
INDEX(単価表!$AY$64:$CC$71,MATCH($V39&amp;$W39,INDEX(単価表!$AY$64:$AY$71&amp;単価表!$AZ$64:$AZ$71,),),MATCH(内訳計算!AD$6,単価表!$AY$63:$CC$63,0)))*$Y39/25,0),0)</f>
        <v>0</v>
      </c>
      <c r="AE39" s="976" cm="1">
        <f t="array" ref="AE39">IFERROR(IF(OR($U39=2,$U39=3),
INDEX(単価表!$AY$64:$CC$71,MATCH($V39&amp;$W39,INDEX(単価表!$AY$64:$AY$71&amp;単価表!$AZ$64:$AZ$71,),),MATCH(内訳計算!AE$6,単価表!$AY$63:$CC$63,0)),
INDEX(単価表!$AY$64:$CC$71,MATCH($V39&amp;$W39,INDEX(単価表!$AY$64:$AY$71&amp;単価表!$AZ$64:$AZ$71,),),MATCH(内訳計算!AE$6,単価表!$AY$63:$CC$63,0))),0)</f>
        <v>0</v>
      </c>
      <c r="AF39" s="977" cm="1">
        <f t="array" ref="AF39">IFERROR(ROUNDUP(IF(OR($U39=2,$U39=3),
INDEX(単価表!$AY$64:$CC$71,MATCH($V39&amp;$W39,INDEX(単価表!$AY$64:$AY$71&amp;単価表!$AZ$64:$AZ$71,),),MATCH(内訳計算!AF$6,単価表!$AY$63:$CC$63,0)),
INDEX(単価表!$AY$64:$CC$71,MATCH($V39&amp;$W39,INDEX(単価表!$AY$64:$AY$71&amp;単価表!$AZ$64:$AZ$71,),),MATCH(内訳計算!AF$6,単価表!$AY$63:$CC$63,0)))*$Y39/25,0),0)</f>
        <v>0</v>
      </c>
      <c r="AG39" s="975" cm="1">
        <f t="array" ref="AG39">IFERROR(ROUNDUP(IF(OR($U39=2,$U39=3),
INDEX(単価表!$AY$64:$CC$71,MATCH($V39&amp;$W39,INDEX(単価表!$AY$64:$AY$71&amp;単価表!$AZ$64:$AZ$71,),),MATCH(内訳計算!AG$6,単価表!$AY$63:$CC$63,0)),
INDEX(単価表!$AY$64:$CC$71,MATCH($V39&amp;$W39,INDEX(単価表!$AY$64:$AY$71&amp;単価表!$AZ$64:$AZ$71,),),MATCH(内訳計算!AG$6,単価表!$AY$63:$CC$63,0)))*$Y39/25,0),0)</f>
        <v>0</v>
      </c>
      <c r="AH39" s="976" cm="1">
        <f t="array" ref="AH39">IFERROR(IF(HLOOKUP($U39,加算と減算!$E$4:$P$10,2,FALSE)="○",IF(OR($U39=2,$U39=3),
INDEX(単価表!$AY$64:$CC$71,MATCH($V39&amp;$W39,INDEX(単価表!$AY$64:$AY$71&amp;単価表!$AZ$64:$AZ$71,),),MATCH(内訳計算!AH$6,単価表!$AY$63:$CC$63,0)),
INDEX(単価表!$AY$64:$CC$71,MATCH($V39&amp;$W39,INDEX(単価表!$AY$64:$AY$71&amp;単価表!$AZ$64:$AZ$71,),),MATCH(内訳計算!AH$6,単価表!$AY$63:$CC$63,0))),0),0)</f>
        <v>0</v>
      </c>
      <c r="AI39" s="978" cm="1">
        <f t="array" ref="AI39">IFERROR(ROUNDUP(IF(HLOOKUP($U39,加算と減算!$E$4:$P$10,2,FALSE)="○",IF(OR($U39=2,$U39=3),
INDEX(単価表!$AY$64:$CC$71,MATCH($V39&amp;$W39,INDEX(単価表!$AY$64:$AY$71&amp;単価表!$AZ$64:$AZ$71,),),MATCH(内訳計算!AI$6,単価表!$AY$63:$CC$63,0)),
INDEX(単価表!$AY$64:$CC$71,MATCH($V39&amp;$W39,INDEX(単価表!$AY$64:$AY$71&amp;単価表!$AZ$64:$AZ$71,),),MATCH(内訳計算!AI$6,単価表!$AY$63:$CC$63,0))),0)*$Y39/25,0),0)</f>
        <v>0</v>
      </c>
      <c r="AJ39" s="977" cm="1">
        <f t="array" ref="AJ39">IFERROR(ROUNDUP(IF(HLOOKUP($U39,加算と減算!$E$4:$P$10,2,FALSE)="○",IF(OR($U39=2,$U39=3),
INDEX(単価表!$AY$64:$CC$71,MATCH($V39&amp;$W39,INDEX(単価表!$AY$64:$AY$71&amp;単価表!$AZ$64:$AZ$71,),),MATCH(内訳計算!AJ$6,単価表!$AY$63:$CC$63,0)),
INDEX(単価表!$AY$64:$CC$71,MATCH($V39&amp;$W39,INDEX(単価表!$AY$64:$AY$71&amp;単価表!$AZ$64:$AZ$71,),),MATCH(内訳計算!AJ$6,単価表!$AY$63:$CC$63,0))),0)*$Y39/25,0),0)</f>
        <v>0</v>
      </c>
      <c r="AK39" s="975" cm="1">
        <f t="array" ref="AK39">IFERROR(ROUNDUP(IF(HLOOKUP($U39,加算と減算!$E$4:$P$10,2,FALSE)="○",IF(OR($U39=2,$U39=3),
INDEX(単価表!$AY$64:$CC$71,MATCH($V39&amp;$W39,INDEX(単価表!$AY$64:$AY$71&amp;単価表!$AZ$64:$AZ$71,),),MATCH(内訳計算!AK$6,単価表!$AY$63:$CC$63,0)),
INDEX(単価表!$AY$64:$CC$71,MATCH($V39&amp;$W39,INDEX(単価表!$AY$64:$AY$71&amp;単価表!$AZ$64:$AZ$71,),),MATCH(内訳計算!AK$6,単価表!$AY$63:$CC$63,0))),0)*$Y39/25,0),0)</f>
        <v>0</v>
      </c>
      <c r="AL39" s="976" cm="1">
        <f t="array" ref="AL39">IFERROR(IF(HLOOKUP($U39,加算と減算!$E$4:$P$10,4,FALSE)="○",IF(OR($U39=2,$U39=3),
INDEX(単価表!$AY$64:$CC$71,MATCH($V39&amp;$W39,INDEX(単価表!$AY$64:$AY$71&amp;単価表!$AZ$64:$AZ$71,),),MATCH(内訳計算!AL$6,単価表!$AY$63:$CC$63,0)),
INDEX(単価表!$AY$64:$CC$71,MATCH($V39&amp;$W39,INDEX(単価表!$AY$64:$AY$71&amp;単価表!$AZ$64:$AZ$71,),),MATCH(内訳計算!AL$6,単価表!$AY$63:$CC$63,0))),0),0)</f>
        <v>0</v>
      </c>
      <c r="AM39" s="977" cm="1">
        <f t="array" ref="AM39">IFERROR(ROUNDUP(IF(HLOOKUP($U39,加算と減算!$E$4:$P$10,4,FALSE)="○",IF(OR($U39=2,$U39=3),
INDEX(単価表!$AY$64:$CC$71,MATCH($V39&amp;$W39,INDEX(単価表!$AY$64:$AY$71&amp;単価表!$AZ$64:$AZ$71,),),MATCH(内訳計算!AM$6,単価表!$AY$63:$CC$63,0)),
INDEX(単価表!$AY$64:$CC$71,MATCH($V39&amp;$W39,INDEX(単価表!$AY$64:$AY$71&amp;単価表!$AZ$64:$AZ$71,),),MATCH(内訳計算!AM$6,単価表!$AY$63:$CC$63,0))),0)*$Y39/25,0),0)</f>
        <v>0</v>
      </c>
      <c r="AN39" s="977" cm="1">
        <f t="array" ref="AN39">IFERROR(ROUNDUP(IF(HLOOKUP($U39,加算と減算!$E$4:$P$10,4,FALSE)="○",IF(OR($U39=2,$U39=3),
INDEX(単価表!$AY$64:$CC$71,MATCH($V39&amp;$W39,INDEX(単価表!$AY$64:$AY$71&amp;単価表!$AZ$64:$AZ$71,),),MATCH(内訳計算!AN$6,単価表!$AY$63:$CC$63,0)),
INDEX(単価表!$AY$64:$CC$71,MATCH($V39&amp;$W39,INDEX(単価表!$AY$64:$AY$71&amp;単価表!$AZ$64:$AZ$71,),),MATCH(内訳計算!AN$6,単価表!$AY$63:$CC$63,0))),0)*$Y39/25,0),0)</f>
        <v>0</v>
      </c>
      <c r="AO39" s="977" cm="1">
        <f t="array" ref="AO39">IFERROR(ROUNDUP(IF(HLOOKUP($U39,加算と減算!$E$4:$P$10,4,FALSE)="○",IF(OR($U39=2,$U39=3),
INDEX(単価表!$AY$64:$CC$71,MATCH($V39&amp;$W39,INDEX(単価表!$AY$64:$AY$71&amp;単価表!$AZ$64:$AZ$71,),),MATCH(内訳計算!AO$6,単価表!$AY$63:$CC$63,0)),
INDEX(単価表!$AY$64:$CC$71,MATCH($V39&amp;$W39,INDEX(単価表!$AY$64:$AY$71&amp;単価表!$AZ$64:$AZ$71,),),MATCH(内訳計算!AO$6,単価表!$AY$63:$CC$63,0))),0)*$Y39/25,0),0)</f>
        <v>0</v>
      </c>
      <c r="AP39" s="977" cm="1">
        <f t="array" ref="AP39">IFERROR(ROUNDUP(IF(HLOOKUP($U39,加算と減算!$E$4:$P$10,4,FALSE)="○",IF(OR($U39=2,$U39=3),
INDEX(単価表!$AY$64:$CC$71,MATCH($V39&amp;$W39,INDEX(単価表!$AY$64:$AY$71&amp;単価表!$AZ$64:$AZ$71,),),MATCH(内訳計算!AP$6,単価表!$AY$63:$CC$63,0)),
INDEX(単価表!$AY$64:$CC$71,MATCH($V39&amp;$W39,INDEX(単価表!$AY$64:$AY$71&amp;単価表!$AZ$64:$AZ$71,),),MATCH(内訳計算!AP$6,単価表!$AY$63:$CC$63,0))),0)*$Y39/25,0),0)</f>
        <v>0</v>
      </c>
      <c r="AQ39" s="975" cm="1">
        <f t="array" ref="AQ39">IFERROR(ROUNDUP(IF(HLOOKUP($U39,加算と減算!$E$4:$P$10,4,FALSE)="○",IF(OR($U39=2,$U39=3),
INDEX(単価表!$AY$64:$CC$71,MATCH($V39&amp;$W39,INDEX(単価表!$AY$64:$AY$71&amp;単価表!$AZ$64:$AZ$71,),),MATCH(内訳計算!AQ$6,単価表!$AY$63:$CC$63,0)),
INDEX(単価表!$AY$64:$CC$71,MATCH($V39&amp;$W39,INDEX(単価表!$AY$64:$AY$71&amp;単価表!$AZ$64:$AZ$71,),),MATCH(内訳計算!AQ$6,単価表!$AY$63:$CC$63,0))),0)*$Y39/25,0),0)</f>
        <v>0</v>
      </c>
      <c r="AR39" s="976" cm="1">
        <f t="array" ref="AR39">IFERROR(IF(HLOOKUP($U39,加算と減算!$E$4:$P$10,5,FALSE)="○",IF(OR($U39=2,$U39=3),
INDEX(単価表!$AY$64:$CC$71,MATCH($V39&amp;$W39,INDEX(単価表!$AY$64:$AY$71&amp;単価表!$AZ$64:$AZ$71,),),MATCH(内訳計算!AR$6,単価表!$AY$63:$CC$63,0)),
INDEX(単価表!$AY$64:$CC$71,MATCH($V39&amp;$W39,INDEX(単価表!$AY$64:$AY$71&amp;単価表!$AZ$64:$AZ$71,),),MATCH(内訳計算!AR$6,単価表!$AY$63:$CC$63,0))),0),0)</f>
        <v>0</v>
      </c>
      <c r="AS39" s="975" cm="1">
        <f t="array" ref="AS39">IFERROR(ROUNDUP(IF(HLOOKUP($U39,加算と減算!$E$4:$P$10,5,FALSE)="○",IF(OR($U39=2,$U39=3),
INDEX(単価表!$AY$64:$CC$71,MATCH($V39&amp;$W39,INDEX(単価表!$AY$64:$AY$71&amp;単価表!$AZ$64:$AZ$71,),),MATCH(内訳計算!AS$6,単価表!$AY$63:$CC$63,0)),
INDEX(単価表!$AY$64:$CC$71,MATCH($V39&amp;$W39,INDEX(単価表!$AY$64:$AY$71&amp;単価表!$AZ$64:$AZ$71,),),MATCH(内訳計算!AS$6,単価表!$AY$63:$CC$63,0))),0)*$Y39/25,0),0)</f>
        <v>0</v>
      </c>
      <c r="AT39" s="976" cm="1">
        <f t="array" ref="AT39">IFERROR(IF(HLOOKUP($U39,加算と減算!$E$4:$P$10,6,FALSE)="○",IF(OR($U39=2,$U39=3),
INDEX(単価表!$AY$64:$CC$71,MATCH($V39&amp;$W39,INDEX(単価表!$AY$64:$AY$71&amp;単価表!$AZ$64:$AZ$71,),),MATCH(内訳計算!AT$6,単価表!$AY$63:$CC$63,0)),
INDEX(単価表!$AY$64:$CC$71,MATCH($V39&amp;$W39,INDEX(単価表!$AY$64:$AY$71&amp;単価表!$AZ$64:$AZ$71,),),MATCH(内訳計算!AT$6,単価表!$AY$63:$CC$63,0))),0),0)</f>
        <v>0</v>
      </c>
      <c r="AU39" s="975" cm="1">
        <f t="array" ref="AU39">IFERROR(ROUNDUP(IF(HLOOKUP($U39,加算と減算!$E$4:$P$10,6,FALSE)="○",IF(OR($U39=2,$U39=3),
INDEX(単価表!$AY$64:$CC$71,MATCH($V39&amp;$W39,INDEX(単価表!$AY$64:$AY$71&amp;単価表!$AZ$64:$AZ$71,),),MATCH(内訳計算!AU$6,単価表!$AY$63:$CC$63,0)),
INDEX(単価表!$AY$64:$CC$71,MATCH($V39&amp;$W39,INDEX(単価表!$AY$64:$AY$71&amp;単価表!$AZ$64:$AZ$71,),),MATCH(内訳計算!AU$6,単価表!$AY$63:$CC$63,0))),0)*$Y39/25,0),0)</f>
        <v>0</v>
      </c>
      <c r="AV39" s="976" cm="1">
        <f t="array" ref="AV39">IFERROR(IF(HLOOKUP($U39,加算と減算!$E$4:$P$10,7,FALSE)="○",IF(OR($U39=2,$U39=3),
INDEX(単価表!$AY$64:$CC$71,MATCH($V39&amp;$W39,INDEX(単価表!$AY$64:$AY$71&amp;単価表!$AZ$64:$AZ$71,),),MATCH(内訳計算!AV$6,単価表!$AY$63:$CC$63,0)),
INDEX(単価表!$AY$64:$CC$71,MATCH($V39&amp;$W39,INDEX(単価表!$AY$64:$AY$71&amp;単価表!$AZ$64:$AZ$71,),),MATCH(内訳計算!AV$6,単価表!$AY$63:$CC$63,0))),0),0)</f>
        <v>0</v>
      </c>
      <c r="AW39" s="977" cm="1">
        <f t="array" ref="AW39">IFERROR(ROUNDUP(IF(HLOOKUP($U39,加算と減算!$E$4:$P$10,7,FALSE)="○",IF(OR($U39=2,$U39=3),
INDEX(単価表!$AY$64:$CC$71,MATCH($V39&amp;$W39,INDEX(単価表!$AY$64:$AY$71&amp;単価表!$AZ$64:$AZ$71,),),MATCH(内訳計算!AW$6,単価表!$AY$63:$CC$63,0)),
INDEX(単価表!$AY$64:$CC$71,MATCH($V39&amp;$W39,INDEX(単価表!$AY$64:$AY$71&amp;単価表!$AZ$64:$AZ$71,),),MATCH(内訳計算!AW$6,単価表!$AY$63:$CC$63,0))),0)*$Y39/25,0),0)</f>
        <v>0</v>
      </c>
      <c r="AX39" s="977" cm="1">
        <f t="array" ref="AX39">IFERROR(ROUNDUP(IF(HLOOKUP($U39,加算と減算!$E$4:$P$10,7,FALSE)="○",IF(OR($U39=2,$U39=3),
INDEX(単価表!$AY$64:$CC$71,MATCH($V39&amp;$W39,INDEX(単価表!$AY$64:$AY$71&amp;単価表!$AZ$64:$AZ$71,),),MATCH(内訳計算!AX$6,単価表!$AY$63:$CC$63,0)),
INDEX(単価表!$AY$64:$CC$71,MATCH($V39&amp;$W39,INDEX(単価表!$AY$64:$AY$71&amp;単価表!$AZ$64:$AZ$71,),),MATCH(内訳計算!AX$6,単価表!$AY$63:$CC$63,0))),0)*$Y39/25,0),0)</f>
        <v>0</v>
      </c>
      <c r="AY39" s="975" cm="1">
        <f t="array" ref="AY39">IFERROR(ROUNDUP(IF(HLOOKUP($U39,加算と減算!$E$4:$P$10,7,FALSE)="○",IF(OR($U39=2,$U39=3),
INDEX(単価表!$AY$64:$CC$71,MATCH($V39&amp;$W39,INDEX(単価表!$AY$64:$AY$71&amp;単価表!$AZ$64:$AZ$71,),),MATCH(内訳計算!AY$6,単価表!$AY$63:$CC$63,0)),
INDEX(単価表!$AY$64:$CC$71,MATCH($V39&amp;$W39,INDEX(単価表!$AY$64:$AY$71&amp;単価表!$AZ$64:$AZ$71,),),MATCH(内訳計算!AY$6,単価表!$AY$63:$CC$63,0))),0)*$Y39/25,0),0)</f>
        <v>0</v>
      </c>
      <c r="AZ39" s="976" cm="1">
        <f t="array" ref="AZ39">IFERROR(IF(X39="○",INDEX(単価表!$AY$64:$CC$71,MATCH($V39&amp;$W39,INDEX(単価表!$AY$64:$AY$71&amp;単価表!$AZ$64:$AZ$71,),),MATCH(内訳計算!AZ$6,単価表!$AY$63:$CC$63,0)),0),0)</f>
        <v>0</v>
      </c>
      <c r="BA39" s="975" cm="1">
        <f t="array" ref="BA39">IFERROR(ROUNDUP(INDEX(単価表!$AY$64:$CC$71,MATCH($V39&amp;$W39,INDEX(単価表!$AY$64:$AY$71&amp;単価表!$AZ$64:$AZ$71,),),MATCH(内訳計算!BA$6,単価表!$AY$63:$CC$63,0))*$Y39/25,0),0)</f>
        <v>0</v>
      </c>
      <c r="BB39" s="976" cm="1">
        <f t="array" ref="BB39">IFERROR(INDEX(単価表!$AY$64:$CC$71,MATCH($V39&amp;$W39,INDEX(単価表!$AY$64:$AY$71&amp;単価表!$AZ$64:$AZ$71,),),MATCH(内訳計算!BB$6,単価表!$AY$63:$CC$63,0)),0)</f>
        <v>0</v>
      </c>
      <c r="BC39" s="975" cm="1">
        <f t="array" ref="BC39">IFERROR(ROUNDUP(INDEX(単価表!$AY$64:$CC$71,MATCH($V39&amp;$W39,INDEX(単価表!$AY$64:$AY$71&amp;単価表!$AZ$64:$AZ$71,),),MATCH(内訳計算!BC$6,単価表!$AY$63:$CC$63,0))*$Y39/25,0),0)</f>
        <v>0</v>
      </c>
      <c r="BD39" s="985">
        <f>IFERROR(IF(HLOOKUP($U39,加算と減算!$E$31:$P$32,2,FALSE)="○",IF(OR($U39=2,$U39=3),-(単価表!$AZ$7+単価表!$BA$7*基本情報!$G$7),-(単価表!$AZ$7+単価表!$BA$7*基本情報!$G$7)),0),0)</f>
        <v>0</v>
      </c>
      <c r="BE39" s="986" t="e">
        <f t="shared" si="70"/>
        <v>#VALUE!</v>
      </c>
      <c r="BF39" s="986" t="e">
        <f t="shared" si="71"/>
        <v>#VALUE!</v>
      </c>
      <c r="BG39" s="987" t="e">
        <f t="shared" si="72"/>
        <v>#N/A</v>
      </c>
      <c r="BH39" s="988">
        <f>IFERROR(IF(基本情報!$E$12&lt;&gt;"",-ROUNDDOWN((AA39+AE39+AH39+AL39)*基本情報!$H$12/100,-1),0),0)</f>
        <v>0</v>
      </c>
      <c r="BI39" s="986" t="e">
        <f t="shared" si="73"/>
        <v>#VALUE!</v>
      </c>
      <c r="BJ39" s="986" t="e">
        <f t="shared" si="74"/>
        <v>#VALUE!</v>
      </c>
      <c r="BK39" s="989" t="e">
        <f t="shared" si="75"/>
        <v>#N/A</v>
      </c>
      <c r="BL39" s="1006">
        <f>IFERROR(-ROUNDUP(SUM(AA39,AE39,AH39,AL39,AR39,AT39,AV39,BD39,BH39)*基本情報!$H$14/100,-1),0)</f>
        <v>0</v>
      </c>
      <c r="BM39" s="1007" t="e">
        <f t="shared" si="79"/>
        <v>#VALUE!</v>
      </c>
      <c r="BN39" s="1007" t="e">
        <f t="shared" si="76"/>
        <v>#VALUE!</v>
      </c>
      <c r="BO39" s="1008" t="e">
        <f t="shared" si="77"/>
        <v>#N/A</v>
      </c>
      <c r="BP39" s="701"/>
      <c r="BQ39" s="701"/>
      <c r="BR39" s="701"/>
      <c r="BS39" s="701"/>
      <c r="BT39" s="721"/>
      <c r="BU39" s="1043" t="e">
        <f t="shared" si="80"/>
        <v>#VALUE!</v>
      </c>
      <c r="BV39" s="1044" t="e">
        <f t="shared" si="81"/>
        <v>#VALUE!</v>
      </c>
      <c r="BW39" s="1044" t="e">
        <f t="shared" si="82"/>
        <v>#N/A</v>
      </c>
      <c r="BX39" s="1051">
        <f t="shared" si="83"/>
        <v>0</v>
      </c>
      <c r="BY39" s="1045">
        <f t="shared" si="84"/>
        <v>0</v>
      </c>
      <c r="CB39" s="1626"/>
      <c r="CC39" s="1600"/>
      <c r="CD39" s="720" t="s">
        <v>162</v>
      </c>
      <c r="CE39" s="741" t="s">
        <v>353</v>
      </c>
      <c r="CF39" s="672">
        <f>'4月'!AQ39</f>
        <v>0</v>
      </c>
      <c r="CG39" s="672">
        <f>'5月'!AQ39</f>
        <v>0</v>
      </c>
      <c r="CH39" s="672">
        <f>'6月'!AQ39</f>
        <v>0</v>
      </c>
      <c r="CI39" s="672">
        <f>'7月'!AQ39</f>
        <v>0</v>
      </c>
      <c r="CJ39" s="672">
        <f>'8月'!AQ39</f>
        <v>0</v>
      </c>
      <c r="CK39" s="672">
        <f>'9月'!AQ39</f>
        <v>0</v>
      </c>
      <c r="CL39" s="672">
        <f>'10月'!AQ39</f>
        <v>0</v>
      </c>
      <c r="CM39" s="672">
        <f>'11月'!AQ39</f>
        <v>0</v>
      </c>
      <c r="CN39" s="672">
        <f>'12月'!AQ39</f>
        <v>0</v>
      </c>
      <c r="CO39" s="672">
        <f>'1月'!AQ39</f>
        <v>0</v>
      </c>
      <c r="CP39" s="672">
        <f>'2月'!AQ39</f>
        <v>0</v>
      </c>
      <c r="CQ39" s="756">
        <f>'3月'!AQ45</f>
        <v>0</v>
      </c>
      <c r="CR39" s="759">
        <f t="shared" si="22"/>
        <v>0</v>
      </c>
      <c r="CS39" s="1600"/>
      <c r="CT39" s="720" t="s">
        <v>162</v>
      </c>
      <c r="CU39" s="958" t="s">
        <v>353</v>
      </c>
      <c r="CV39" s="776"/>
      <c r="CW39" s="776"/>
      <c r="CX39" s="771">
        <f>CR39</f>
        <v>0</v>
      </c>
      <c r="CY39" s="954"/>
      <c r="CZ39" s="954"/>
      <c r="DA39" s="721"/>
      <c r="DB39" s="721"/>
    </row>
    <row r="40" spans="1:106">
      <c r="A40" s="1653"/>
      <c r="B40" s="1655"/>
      <c r="C40" s="1542"/>
      <c r="D40" s="667" t="s">
        <v>8</v>
      </c>
      <c r="E40" s="668">
        <f>SUM(児童数!Y8:Y17)</f>
        <v>0</v>
      </c>
      <c r="F40" s="668">
        <f>'4月'!L32</f>
        <v>0</v>
      </c>
      <c r="G40" s="668">
        <f>G34</f>
        <v>10478</v>
      </c>
      <c r="H40" s="668">
        <f>IFERROR(INDEX(事業費・管理費!$C$11:$T$15,MATCH(D40,事業費・管理費!$C$11:$C$15,0),MATCH(基本情報!$AB$4,事業費・管理費!$C$11:$T$11,0)),0)</f>
        <v>0</v>
      </c>
      <c r="I40" s="668">
        <f>F40-G40-H40</f>
        <v>-10478</v>
      </c>
      <c r="J40" s="668">
        <f t="shared" si="87"/>
        <v>0</v>
      </c>
      <c r="K40" s="668">
        <f t="shared" si="88"/>
        <v>0</v>
      </c>
      <c r="L40" s="706">
        <f t="shared" si="89"/>
        <v>0</v>
      </c>
      <c r="N40" s="1080"/>
      <c r="O40" s="1078"/>
      <c r="P40" s="1078"/>
      <c r="Q40" s="1079"/>
      <c r="R40" s="1079"/>
      <c r="T40" s="682">
        <v>7</v>
      </c>
      <c r="U40" s="918">
        <f>月途中入退所情報!N14</f>
        <v>0</v>
      </c>
      <c r="V40" s="918">
        <f>月途中入退所情報!R14</f>
        <v>0</v>
      </c>
      <c r="W40" s="918">
        <f>月途中入退所情報!Q14</f>
        <v>0</v>
      </c>
      <c r="X40" s="945">
        <f>月途中入退所情報!S14</f>
        <v>0</v>
      </c>
      <c r="Y40" s="918">
        <f>月途中入退所情報!T14</f>
        <v>0</v>
      </c>
      <c r="Z40" s="840">
        <f t="shared" si="86"/>
        <v>0</v>
      </c>
      <c r="AA40" s="976" cm="1">
        <f t="array" ref="AA40">IFERROR(IF(OR($U40=2,$U40=3),
INDEX(単価表!$AY$64:$CC$71,MATCH($V40&amp;$W40,INDEX(単価表!$AY$64:$AY$71&amp;単価表!$AZ$64:$AZ$71,),),MATCH(内訳計算!AA$6,単価表!$AY$63:$CC$63,0)),
INDEX(単価表!$AY$64:$CC$71,MATCH($V40&amp;$W40,INDEX(単価表!$AY$64:$AY$71&amp;単価表!$AZ$64:$AZ$71,),),MATCH(内訳計算!AA$6,単価表!$AY$63:$CC$63,0))),0)</f>
        <v>0</v>
      </c>
      <c r="AB40" s="977" t="e">
        <f t="shared" si="78"/>
        <v>#VALUE!</v>
      </c>
      <c r="AC40" s="977" cm="1">
        <f t="array" ref="AC40">IFERROR(ROUNDUP(IF(OR($U40=2,$U40=3),
INDEX(単価表!$AY$64:$CC$71,MATCH($V40&amp;$W40,INDEX(単価表!$AY$64:$AY$71&amp;単価表!$AZ$64:$AZ$71,),),MATCH(内訳計算!AC$6,単価表!$AY$63:$CC$63,0)),
INDEX(単価表!$AY$64:$CC$71,MATCH($V40&amp;$W40,INDEX(単価表!$AY$64:$AY$71&amp;単価表!$AZ$64:$AZ$71,),),MATCH(内訳計算!AC$6,単価表!$AY$63:$CC$63,0)))*$Y40/25,0),0)</f>
        <v>0</v>
      </c>
      <c r="AD40" s="975" cm="1">
        <f t="array" ref="AD40">IFERROR(ROUNDUP(IF(OR($U40=2,$U40=3),
INDEX(単価表!$AY$64:$CC$71,MATCH($V40&amp;$W40,INDEX(単価表!$AY$64:$AY$71&amp;単価表!$AZ$64:$AZ$71,),),MATCH(内訳計算!AD$6,単価表!$AY$63:$CC$63,0)),
INDEX(単価表!$AY$64:$CC$71,MATCH($V40&amp;$W40,INDEX(単価表!$AY$64:$AY$71&amp;単価表!$AZ$64:$AZ$71,),),MATCH(内訳計算!AD$6,単価表!$AY$63:$CC$63,0)))*$Y40/25,0),0)</f>
        <v>0</v>
      </c>
      <c r="AE40" s="976" cm="1">
        <f t="array" ref="AE40">IFERROR(IF(OR($U40=2,$U40=3),
INDEX(単価表!$AY$64:$CC$71,MATCH($V40&amp;$W40,INDEX(単価表!$AY$64:$AY$71&amp;単価表!$AZ$64:$AZ$71,),),MATCH(内訳計算!AE$6,単価表!$AY$63:$CC$63,0)),
INDEX(単価表!$AY$64:$CC$71,MATCH($V40&amp;$W40,INDEX(単価表!$AY$64:$AY$71&amp;単価表!$AZ$64:$AZ$71,),),MATCH(内訳計算!AE$6,単価表!$AY$63:$CC$63,0))),0)</f>
        <v>0</v>
      </c>
      <c r="AF40" s="977" cm="1">
        <f t="array" ref="AF40">IFERROR(ROUNDUP(IF(OR($U40=2,$U40=3),
INDEX(単価表!$AY$64:$CC$71,MATCH($V40&amp;$W40,INDEX(単価表!$AY$64:$AY$71&amp;単価表!$AZ$64:$AZ$71,),),MATCH(内訳計算!AF$6,単価表!$AY$63:$CC$63,0)),
INDEX(単価表!$AY$64:$CC$71,MATCH($V40&amp;$W40,INDEX(単価表!$AY$64:$AY$71&amp;単価表!$AZ$64:$AZ$71,),),MATCH(内訳計算!AF$6,単価表!$AY$63:$CC$63,0)))*$Y40/25,0),0)</f>
        <v>0</v>
      </c>
      <c r="AG40" s="975" cm="1">
        <f t="array" ref="AG40">IFERROR(ROUNDUP(IF(OR($U40=2,$U40=3),
INDEX(単価表!$AY$64:$CC$71,MATCH($V40&amp;$W40,INDEX(単価表!$AY$64:$AY$71&amp;単価表!$AZ$64:$AZ$71,),),MATCH(内訳計算!AG$6,単価表!$AY$63:$CC$63,0)),
INDEX(単価表!$AY$64:$CC$71,MATCH($V40&amp;$W40,INDEX(単価表!$AY$64:$AY$71&amp;単価表!$AZ$64:$AZ$71,),),MATCH(内訳計算!AG$6,単価表!$AY$63:$CC$63,0)))*$Y40/25,0),0)</f>
        <v>0</v>
      </c>
      <c r="AH40" s="976" cm="1">
        <f t="array" ref="AH40">IFERROR(IF(HLOOKUP($U40,加算と減算!$E$4:$P$10,2,FALSE)="○",IF(OR($U40=2,$U40=3),
INDEX(単価表!$AY$64:$CC$71,MATCH($V40&amp;$W40,INDEX(単価表!$AY$64:$AY$71&amp;単価表!$AZ$64:$AZ$71,),),MATCH(内訳計算!AH$6,単価表!$AY$63:$CC$63,0)),
INDEX(単価表!$AY$64:$CC$71,MATCH($V40&amp;$W40,INDEX(単価表!$AY$64:$AY$71&amp;単価表!$AZ$64:$AZ$71,),),MATCH(内訳計算!AH$6,単価表!$AY$63:$CC$63,0))),0),0)</f>
        <v>0</v>
      </c>
      <c r="AI40" s="978" cm="1">
        <f t="array" ref="AI40">IFERROR(ROUNDUP(IF(HLOOKUP($U40,加算と減算!$E$4:$P$10,2,FALSE)="○",IF(OR($U40=2,$U40=3),
INDEX(単価表!$AY$64:$CC$71,MATCH($V40&amp;$W40,INDEX(単価表!$AY$64:$AY$71&amp;単価表!$AZ$64:$AZ$71,),),MATCH(内訳計算!AI$6,単価表!$AY$63:$CC$63,0)),
INDEX(単価表!$AY$64:$CC$71,MATCH($V40&amp;$W40,INDEX(単価表!$AY$64:$AY$71&amp;単価表!$AZ$64:$AZ$71,),),MATCH(内訳計算!AI$6,単価表!$AY$63:$CC$63,0))),0)*$Y40/25,0),0)</f>
        <v>0</v>
      </c>
      <c r="AJ40" s="977" cm="1">
        <f t="array" ref="AJ40">IFERROR(ROUNDUP(IF(HLOOKUP($U40,加算と減算!$E$4:$P$10,2,FALSE)="○",IF(OR($U40=2,$U40=3),
INDEX(単価表!$AY$64:$CC$71,MATCH($V40&amp;$W40,INDEX(単価表!$AY$64:$AY$71&amp;単価表!$AZ$64:$AZ$71,),),MATCH(内訳計算!AJ$6,単価表!$AY$63:$CC$63,0)),
INDEX(単価表!$AY$64:$CC$71,MATCH($V40&amp;$W40,INDEX(単価表!$AY$64:$AY$71&amp;単価表!$AZ$64:$AZ$71,),),MATCH(内訳計算!AJ$6,単価表!$AY$63:$CC$63,0))),0)*$Y40/25,0),0)</f>
        <v>0</v>
      </c>
      <c r="AK40" s="975" cm="1">
        <f t="array" ref="AK40">IFERROR(ROUNDUP(IF(HLOOKUP($U40,加算と減算!$E$4:$P$10,2,FALSE)="○",IF(OR($U40=2,$U40=3),
INDEX(単価表!$AY$64:$CC$71,MATCH($V40&amp;$W40,INDEX(単価表!$AY$64:$AY$71&amp;単価表!$AZ$64:$AZ$71,),),MATCH(内訳計算!AK$6,単価表!$AY$63:$CC$63,0)),
INDEX(単価表!$AY$64:$CC$71,MATCH($V40&amp;$W40,INDEX(単価表!$AY$64:$AY$71&amp;単価表!$AZ$64:$AZ$71,),),MATCH(内訳計算!AK$6,単価表!$AY$63:$CC$63,0))),0)*$Y40/25,0),0)</f>
        <v>0</v>
      </c>
      <c r="AL40" s="976" cm="1">
        <f t="array" ref="AL40">IFERROR(IF(HLOOKUP($U40,加算と減算!$E$4:$P$10,4,FALSE)="○",IF(OR($U40=2,$U40=3),
INDEX(単価表!$AY$64:$CC$71,MATCH($V40&amp;$W40,INDEX(単価表!$AY$64:$AY$71&amp;単価表!$AZ$64:$AZ$71,),),MATCH(内訳計算!AL$6,単価表!$AY$63:$CC$63,0)),
INDEX(単価表!$AY$64:$CC$71,MATCH($V40&amp;$W40,INDEX(単価表!$AY$64:$AY$71&amp;単価表!$AZ$64:$AZ$71,),),MATCH(内訳計算!AL$6,単価表!$AY$63:$CC$63,0))),0),0)</f>
        <v>0</v>
      </c>
      <c r="AM40" s="977" cm="1">
        <f t="array" ref="AM40">IFERROR(ROUNDUP(IF(HLOOKUP($U40,加算と減算!$E$4:$P$10,4,FALSE)="○",IF(OR($U40=2,$U40=3),
INDEX(単価表!$AY$64:$CC$71,MATCH($V40&amp;$W40,INDEX(単価表!$AY$64:$AY$71&amp;単価表!$AZ$64:$AZ$71,),),MATCH(内訳計算!AM$6,単価表!$AY$63:$CC$63,0)),
INDEX(単価表!$AY$64:$CC$71,MATCH($V40&amp;$W40,INDEX(単価表!$AY$64:$AY$71&amp;単価表!$AZ$64:$AZ$71,),),MATCH(内訳計算!AM$6,単価表!$AY$63:$CC$63,0))),0)*$Y40/25,0),0)</f>
        <v>0</v>
      </c>
      <c r="AN40" s="977" cm="1">
        <f t="array" ref="AN40">IFERROR(ROUNDUP(IF(HLOOKUP($U40,加算と減算!$E$4:$P$10,4,FALSE)="○",IF(OR($U40=2,$U40=3),
INDEX(単価表!$AY$64:$CC$71,MATCH($V40&amp;$W40,INDEX(単価表!$AY$64:$AY$71&amp;単価表!$AZ$64:$AZ$71,),),MATCH(内訳計算!AN$6,単価表!$AY$63:$CC$63,0)),
INDEX(単価表!$AY$64:$CC$71,MATCH($V40&amp;$W40,INDEX(単価表!$AY$64:$AY$71&amp;単価表!$AZ$64:$AZ$71,),),MATCH(内訳計算!AN$6,単価表!$AY$63:$CC$63,0))),0)*$Y40/25,0),0)</f>
        <v>0</v>
      </c>
      <c r="AO40" s="977" cm="1">
        <f t="array" ref="AO40">IFERROR(ROUNDUP(IF(HLOOKUP($U40,加算と減算!$E$4:$P$10,4,FALSE)="○",IF(OR($U40=2,$U40=3),
INDEX(単価表!$AY$64:$CC$71,MATCH($V40&amp;$W40,INDEX(単価表!$AY$64:$AY$71&amp;単価表!$AZ$64:$AZ$71,),),MATCH(内訳計算!AO$6,単価表!$AY$63:$CC$63,0)),
INDEX(単価表!$AY$64:$CC$71,MATCH($V40&amp;$W40,INDEX(単価表!$AY$64:$AY$71&amp;単価表!$AZ$64:$AZ$71,),),MATCH(内訳計算!AO$6,単価表!$AY$63:$CC$63,0))),0)*$Y40/25,0),0)</f>
        <v>0</v>
      </c>
      <c r="AP40" s="977" cm="1">
        <f t="array" ref="AP40">IFERROR(ROUNDUP(IF(HLOOKUP($U40,加算と減算!$E$4:$P$10,4,FALSE)="○",IF(OR($U40=2,$U40=3),
INDEX(単価表!$AY$64:$CC$71,MATCH($V40&amp;$W40,INDEX(単価表!$AY$64:$AY$71&amp;単価表!$AZ$64:$AZ$71,),),MATCH(内訳計算!AP$6,単価表!$AY$63:$CC$63,0)),
INDEX(単価表!$AY$64:$CC$71,MATCH($V40&amp;$W40,INDEX(単価表!$AY$64:$AY$71&amp;単価表!$AZ$64:$AZ$71,),),MATCH(内訳計算!AP$6,単価表!$AY$63:$CC$63,0))),0)*$Y40/25,0),0)</f>
        <v>0</v>
      </c>
      <c r="AQ40" s="975" cm="1">
        <f t="array" ref="AQ40">IFERROR(ROUNDUP(IF(HLOOKUP($U40,加算と減算!$E$4:$P$10,4,FALSE)="○",IF(OR($U40=2,$U40=3),
INDEX(単価表!$AY$64:$CC$71,MATCH($V40&amp;$W40,INDEX(単価表!$AY$64:$AY$71&amp;単価表!$AZ$64:$AZ$71,),),MATCH(内訳計算!AQ$6,単価表!$AY$63:$CC$63,0)),
INDEX(単価表!$AY$64:$CC$71,MATCH($V40&amp;$W40,INDEX(単価表!$AY$64:$AY$71&amp;単価表!$AZ$64:$AZ$71,),),MATCH(内訳計算!AQ$6,単価表!$AY$63:$CC$63,0))),0)*$Y40/25,0),0)</f>
        <v>0</v>
      </c>
      <c r="AR40" s="976" cm="1">
        <f t="array" ref="AR40">IFERROR(IF(HLOOKUP($U40,加算と減算!$E$4:$P$10,5,FALSE)="○",IF(OR($U40=2,$U40=3),
INDEX(単価表!$AY$64:$CC$71,MATCH($V40&amp;$W40,INDEX(単価表!$AY$64:$AY$71&amp;単価表!$AZ$64:$AZ$71,),),MATCH(内訳計算!AR$6,単価表!$AY$63:$CC$63,0)),
INDEX(単価表!$AY$64:$CC$71,MATCH($V40&amp;$W40,INDEX(単価表!$AY$64:$AY$71&amp;単価表!$AZ$64:$AZ$71,),),MATCH(内訳計算!AR$6,単価表!$AY$63:$CC$63,0))),0),0)</f>
        <v>0</v>
      </c>
      <c r="AS40" s="975" cm="1">
        <f t="array" ref="AS40">IFERROR(ROUNDUP(IF(HLOOKUP($U40,加算と減算!$E$4:$P$10,5,FALSE)="○",IF(OR($U40=2,$U40=3),
INDEX(単価表!$AY$64:$CC$71,MATCH($V40&amp;$W40,INDEX(単価表!$AY$64:$AY$71&amp;単価表!$AZ$64:$AZ$71,),),MATCH(内訳計算!AS$6,単価表!$AY$63:$CC$63,0)),
INDEX(単価表!$AY$64:$CC$71,MATCH($V40&amp;$W40,INDEX(単価表!$AY$64:$AY$71&amp;単価表!$AZ$64:$AZ$71,),),MATCH(内訳計算!AS$6,単価表!$AY$63:$CC$63,0))),0)*$Y40/25,0),0)</f>
        <v>0</v>
      </c>
      <c r="AT40" s="976" cm="1">
        <f t="array" ref="AT40">IFERROR(IF(HLOOKUP($U40,加算と減算!$E$4:$P$10,6,FALSE)="○",IF(OR($U40=2,$U40=3),
INDEX(単価表!$AY$64:$CC$71,MATCH($V40&amp;$W40,INDEX(単価表!$AY$64:$AY$71&amp;単価表!$AZ$64:$AZ$71,),),MATCH(内訳計算!AT$6,単価表!$AY$63:$CC$63,0)),
INDEX(単価表!$AY$64:$CC$71,MATCH($V40&amp;$W40,INDEX(単価表!$AY$64:$AY$71&amp;単価表!$AZ$64:$AZ$71,),),MATCH(内訳計算!AT$6,単価表!$AY$63:$CC$63,0))),0),0)</f>
        <v>0</v>
      </c>
      <c r="AU40" s="975" cm="1">
        <f t="array" ref="AU40">IFERROR(ROUNDUP(IF(HLOOKUP($U40,加算と減算!$E$4:$P$10,6,FALSE)="○",IF(OR($U40=2,$U40=3),
INDEX(単価表!$AY$64:$CC$71,MATCH($V40&amp;$W40,INDEX(単価表!$AY$64:$AY$71&amp;単価表!$AZ$64:$AZ$71,),),MATCH(内訳計算!AU$6,単価表!$AY$63:$CC$63,0)),
INDEX(単価表!$AY$64:$CC$71,MATCH($V40&amp;$W40,INDEX(単価表!$AY$64:$AY$71&amp;単価表!$AZ$64:$AZ$71,),),MATCH(内訳計算!AU$6,単価表!$AY$63:$CC$63,0))),0)*$Y40/25,0),0)</f>
        <v>0</v>
      </c>
      <c r="AV40" s="976" cm="1">
        <f t="array" ref="AV40">IFERROR(IF(HLOOKUP($U40,加算と減算!$E$4:$P$10,7,FALSE)="○",IF(OR($U40=2,$U40=3),
INDEX(単価表!$AY$64:$CC$71,MATCH($V40&amp;$W40,INDEX(単価表!$AY$64:$AY$71&amp;単価表!$AZ$64:$AZ$71,),),MATCH(内訳計算!AV$6,単価表!$AY$63:$CC$63,0)),
INDEX(単価表!$AY$64:$CC$71,MATCH($V40&amp;$W40,INDEX(単価表!$AY$64:$AY$71&amp;単価表!$AZ$64:$AZ$71,),),MATCH(内訳計算!AV$6,単価表!$AY$63:$CC$63,0))),0),0)</f>
        <v>0</v>
      </c>
      <c r="AW40" s="977" cm="1">
        <f t="array" ref="AW40">IFERROR(ROUNDUP(IF(HLOOKUP($U40,加算と減算!$E$4:$P$10,7,FALSE)="○",IF(OR($U40=2,$U40=3),
INDEX(単価表!$AY$64:$CC$71,MATCH($V40&amp;$W40,INDEX(単価表!$AY$64:$AY$71&amp;単価表!$AZ$64:$AZ$71,),),MATCH(内訳計算!AW$6,単価表!$AY$63:$CC$63,0)),
INDEX(単価表!$AY$64:$CC$71,MATCH($V40&amp;$W40,INDEX(単価表!$AY$64:$AY$71&amp;単価表!$AZ$64:$AZ$71,),),MATCH(内訳計算!AW$6,単価表!$AY$63:$CC$63,0))),0)*$Y40/25,0),0)</f>
        <v>0</v>
      </c>
      <c r="AX40" s="977" cm="1">
        <f t="array" ref="AX40">IFERROR(ROUNDUP(IF(HLOOKUP($U40,加算と減算!$E$4:$P$10,7,FALSE)="○",IF(OR($U40=2,$U40=3),
INDEX(単価表!$AY$64:$CC$71,MATCH($V40&amp;$W40,INDEX(単価表!$AY$64:$AY$71&amp;単価表!$AZ$64:$AZ$71,),),MATCH(内訳計算!AX$6,単価表!$AY$63:$CC$63,0)),
INDEX(単価表!$AY$64:$CC$71,MATCH($V40&amp;$W40,INDEX(単価表!$AY$64:$AY$71&amp;単価表!$AZ$64:$AZ$71,),),MATCH(内訳計算!AX$6,単価表!$AY$63:$CC$63,0))),0)*$Y40/25,0),0)</f>
        <v>0</v>
      </c>
      <c r="AY40" s="975" cm="1">
        <f t="array" ref="AY40">IFERROR(ROUNDUP(IF(HLOOKUP($U40,加算と減算!$E$4:$P$10,7,FALSE)="○",IF(OR($U40=2,$U40=3),
INDEX(単価表!$AY$64:$CC$71,MATCH($V40&amp;$W40,INDEX(単価表!$AY$64:$AY$71&amp;単価表!$AZ$64:$AZ$71,),),MATCH(内訳計算!AY$6,単価表!$AY$63:$CC$63,0)),
INDEX(単価表!$AY$64:$CC$71,MATCH($V40&amp;$W40,INDEX(単価表!$AY$64:$AY$71&amp;単価表!$AZ$64:$AZ$71,),),MATCH(内訳計算!AY$6,単価表!$AY$63:$CC$63,0))),0)*$Y40/25,0),0)</f>
        <v>0</v>
      </c>
      <c r="AZ40" s="976" cm="1">
        <f t="array" ref="AZ40">IFERROR(IF(X40="○",INDEX(単価表!$AY$64:$CC$71,MATCH($V40&amp;$W40,INDEX(単価表!$AY$64:$AY$71&amp;単価表!$AZ$64:$AZ$71,),),MATCH(内訳計算!AZ$6,単価表!$AY$63:$CC$63,0)),0),0)</f>
        <v>0</v>
      </c>
      <c r="BA40" s="975" cm="1">
        <f t="array" ref="BA40">IFERROR(ROUNDUP(INDEX(単価表!$AY$64:$CC$71,MATCH($V40&amp;$W40,INDEX(単価表!$AY$64:$AY$71&amp;単価表!$AZ$64:$AZ$71,),),MATCH(内訳計算!BA$6,単価表!$AY$63:$CC$63,0))*$Y40/25,0),0)</f>
        <v>0</v>
      </c>
      <c r="BB40" s="976" cm="1">
        <f t="array" ref="BB40">IFERROR(INDEX(単価表!$AY$64:$CC$71,MATCH($V40&amp;$W40,INDEX(単価表!$AY$64:$AY$71&amp;単価表!$AZ$64:$AZ$71,),),MATCH(内訳計算!BB$6,単価表!$AY$63:$CC$63,0)),0)</f>
        <v>0</v>
      </c>
      <c r="BC40" s="975" cm="1">
        <f t="array" ref="BC40">IFERROR(ROUNDUP(INDEX(単価表!$AY$64:$CC$71,MATCH($V40&amp;$W40,INDEX(単価表!$AY$64:$AY$71&amp;単価表!$AZ$64:$AZ$71,),),MATCH(内訳計算!BC$6,単価表!$AY$63:$CC$63,0))*$Y40/25,0),0)</f>
        <v>0</v>
      </c>
      <c r="BD40" s="985">
        <f>IFERROR(IF(HLOOKUP($U40,加算と減算!$E$31:$P$32,2,FALSE)="○",IF(OR($U40=2,$U40=3),-(単価表!$AZ$7+単価表!$BA$7*基本情報!$G$7),-(単価表!$AZ$7+単価表!$BA$7*基本情報!$G$7)),0),0)</f>
        <v>0</v>
      </c>
      <c r="BE40" s="986" t="e">
        <f t="shared" si="70"/>
        <v>#VALUE!</v>
      </c>
      <c r="BF40" s="986" t="e">
        <f t="shared" si="71"/>
        <v>#VALUE!</v>
      </c>
      <c r="BG40" s="987" t="e">
        <f t="shared" si="72"/>
        <v>#N/A</v>
      </c>
      <c r="BH40" s="988">
        <f>IFERROR(IF(基本情報!$E$12&lt;&gt;"",-ROUNDDOWN((AA40+AE40+AH40+AL40)*基本情報!$H$12/100,-1),0),0)</f>
        <v>0</v>
      </c>
      <c r="BI40" s="986" t="e">
        <f t="shared" si="73"/>
        <v>#VALUE!</v>
      </c>
      <c r="BJ40" s="986" t="e">
        <f t="shared" si="74"/>
        <v>#VALUE!</v>
      </c>
      <c r="BK40" s="989" t="e">
        <f t="shared" si="75"/>
        <v>#N/A</v>
      </c>
      <c r="BL40" s="1006">
        <f>IFERROR(-ROUNDUP(SUM(AA40,AE40,AH40,AL40,AR40,AT40,AV40,BD40,BH40)*基本情報!$H$14/100,-1),0)</f>
        <v>0</v>
      </c>
      <c r="BM40" s="1007" t="e">
        <f t="shared" si="79"/>
        <v>#VALUE!</v>
      </c>
      <c r="BN40" s="1007" t="e">
        <f t="shared" si="76"/>
        <v>#VALUE!</v>
      </c>
      <c r="BO40" s="1008" t="e">
        <f t="shared" si="77"/>
        <v>#N/A</v>
      </c>
      <c r="BP40" s="701"/>
      <c r="BQ40" s="701"/>
      <c r="BR40" s="701"/>
      <c r="BS40" s="701"/>
      <c r="BT40" s="721"/>
      <c r="BU40" s="1043" t="e">
        <f t="shared" si="80"/>
        <v>#VALUE!</v>
      </c>
      <c r="BV40" s="1044" t="e">
        <f t="shared" si="81"/>
        <v>#VALUE!</v>
      </c>
      <c r="BW40" s="1044" t="e">
        <f t="shared" si="82"/>
        <v>#N/A</v>
      </c>
      <c r="BX40" s="1051">
        <f t="shared" si="83"/>
        <v>0</v>
      </c>
      <c r="BY40" s="1045">
        <f t="shared" si="84"/>
        <v>0</v>
      </c>
      <c r="CB40" s="1626"/>
      <c r="CC40" s="1600"/>
      <c r="CD40" s="720" t="s">
        <v>54</v>
      </c>
      <c r="CE40" s="741" t="s">
        <v>353</v>
      </c>
      <c r="CF40" s="672">
        <f>'4月'!AQ40</f>
        <v>0</v>
      </c>
      <c r="CG40" s="672">
        <f>'5月'!AQ40</f>
        <v>0</v>
      </c>
      <c r="CH40" s="672">
        <f>'6月'!AQ40</f>
        <v>0</v>
      </c>
      <c r="CI40" s="672">
        <f>'7月'!AQ40</f>
        <v>0</v>
      </c>
      <c r="CJ40" s="672">
        <f>'8月'!AQ40</f>
        <v>0</v>
      </c>
      <c r="CK40" s="672">
        <f>'9月'!AQ40</f>
        <v>0</v>
      </c>
      <c r="CL40" s="672">
        <f>'10月'!AQ40</f>
        <v>0</v>
      </c>
      <c r="CM40" s="672">
        <f>'11月'!AQ40</f>
        <v>0</v>
      </c>
      <c r="CN40" s="672">
        <f>'12月'!AQ40</f>
        <v>0</v>
      </c>
      <c r="CO40" s="672">
        <f>'1月'!AQ40</f>
        <v>0</v>
      </c>
      <c r="CP40" s="672">
        <f>'2月'!AQ40</f>
        <v>0</v>
      </c>
      <c r="CQ40" s="756">
        <f>'3月'!AQ46</f>
        <v>0</v>
      </c>
      <c r="CR40" s="759">
        <f t="shared" si="22"/>
        <v>0</v>
      </c>
      <c r="CS40" s="1600"/>
      <c r="CT40" s="720" t="s">
        <v>54</v>
      </c>
      <c r="CU40" s="958" t="s">
        <v>353</v>
      </c>
      <c r="CV40" s="776"/>
      <c r="CW40" s="776"/>
      <c r="CX40" s="771">
        <f>CR40</f>
        <v>0</v>
      </c>
      <c r="CY40" s="954"/>
      <c r="CZ40" s="954"/>
      <c r="DA40" s="721"/>
      <c r="DB40" s="721"/>
    </row>
    <row r="41" spans="1:106" ht="17.25" thickBot="1">
      <c r="A41" s="1653"/>
      <c r="B41" s="1655"/>
      <c r="C41" s="1542"/>
      <c r="D41" s="708" t="s">
        <v>9</v>
      </c>
      <c r="E41" s="709">
        <f>SUM(児童数!Z8:Z17)</f>
        <v>0</v>
      </c>
      <c r="F41" s="709">
        <f>'4月'!M32</f>
        <v>0</v>
      </c>
      <c r="G41" s="709">
        <f>G35</f>
        <v>10478</v>
      </c>
      <c r="H41" s="709">
        <f>IFERROR(INDEX(事業費・管理費!$C$11:$T$15,MATCH(D41,事業費・管理費!$C$11:$C$15,0),MATCH(基本情報!$AB$4,事業費・管理費!$C$11:$T$11,0)),0)</f>
        <v>0</v>
      </c>
      <c r="I41" s="709">
        <f>F41-G41-H41</f>
        <v>-10478</v>
      </c>
      <c r="J41" s="709">
        <f t="shared" si="87"/>
        <v>0</v>
      </c>
      <c r="K41" s="709">
        <f t="shared" si="88"/>
        <v>0</v>
      </c>
      <c r="L41" s="710">
        <f t="shared" si="89"/>
        <v>0</v>
      </c>
      <c r="N41" s="1080"/>
      <c r="O41" s="1078"/>
      <c r="P41" s="1078"/>
      <c r="Q41" s="1079"/>
      <c r="R41" s="1079"/>
      <c r="T41" s="682">
        <v>8</v>
      </c>
      <c r="U41" s="918">
        <f>月途中入退所情報!N15</f>
        <v>0</v>
      </c>
      <c r="V41" s="918">
        <f>月途中入退所情報!R15</f>
        <v>0</v>
      </c>
      <c r="W41" s="918">
        <f>月途中入退所情報!Q15</f>
        <v>0</v>
      </c>
      <c r="X41" s="945">
        <f>月途中入退所情報!S15</f>
        <v>0</v>
      </c>
      <c r="Y41" s="918">
        <f>月途中入退所情報!T15</f>
        <v>0</v>
      </c>
      <c r="Z41" s="840">
        <f t="shared" si="86"/>
        <v>0</v>
      </c>
      <c r="AA41" s="976" cm="1">
        <f t="array" ref="AA41">IFERROR(IF(OR($U41=2,$U41=3),
INDEX(単価表!$AY$64:$CC$71,MATCH($V41&amp;$W41,INDEX(単価表!$AY$64:$AY$71&amp;単価表!$AZ$64:$AZ$71,),),MATCH(内訳計算!AA$6,単価表!$AY$63:$CC$63,0)),
INDEX(単価表!$AY$64:$CC$71,MATCH($V41&amp;$W41,INDEX(単価表!$AY$64:$AY$71&amp;単価表!$AZ$64:$AZ$71,),),MATCH(内訳計算!AA$6,単価表!$AY$63:$CC$63,0))),0)</f>
        <v>0</v>
      </c>
      <c r="AB41" s="977" t="e">
        <f t="shared" si="78"/>
        <v>#VALUE!</v>
      </c>
      <c r="AC41" s="977" cm="1">
        <f t="array" ref="AC41">IFERROR(ROUNDUP(IF(OR($U41=2,$U41=3),
INDEX(単価表!$AY$64:$CC$71,MATCH($V41&amp;$W41,INDEX(単価表!$AY$64:$AY$71&amp;単価表!$AZ$64:$AZ$71,),),MATCH(内訳計算!AC$6,単価表!$AY$63:$CC$63,0)),
INDEX(単価表!$AY$64:$CC$71,MATCH($V41&amp;$W41,INDEX(単価表!$AY$64:$AY$71&amp;単価表!$AZ$64:$AZ$71,),),MATCH(内訳計算!AC$6,単価表!$AY$63:$CC$63,0)))*$Y41/25,0),0)</f>
        <v>0</v>
      </c>
      <c r="AD41" s="975" cm="1">
        <f t="array" ref="AD41">IFERROR(ROUNDUP(IF(OR($U41=2,$U41=3),
INDEX(単価表!$AY$64:$CC$71,MATCH($V41&amp;$W41,INDEX(単価表!$AY$64:$AY$71&amp;単価表!$AZ$64:$AZ$71,),),MATCH(内訳計算!AD$6,単価表!$AY$63:$CC$63,0)),
INDEX(単価表!$AY$64:$CC$71,MATCH($V41&amp;$W41,INDEX(単価表!$AY$64:$AY$71&amp;単価表!$AZ$64:$AZ$71,),),MATCH(内訳計算!AD$6,単価表!$AY$63:$CC$63,0)))*$Y41/25,0),0)</f>
        <v>0</v>
      </c>
      <c r="AE41" s="976" cm="1">
        <f t="array" ref="AE41">IFERROR(IF(OR($U41=2,$U41=3),
INDEX(単価表!$AY$64:$CC$71,MATCH($V41&amp;$W41,INDEX(単価表!$AY$64:$AY$71&amp;単価表!$AZ$64:$AZ$71,),),MATCH(内訳計算!AE$6,単価表!$AY$63:$CC$63,0)),
INDEX(単価表!$AY$64:$CC$71,MATCH($V41&amp;$W41,INDEX(単価表!$AY$64:$AY$71&amp;単価表!$AZ$64:$AZ$71,),),MATCH(内訳計算!AE$6,単価表!$AY$63:$CC$63,0))),0)</f>
        <v>0</v>
      </c>
      <c r="AF41" s="977" cm="1">
        <f t="array" ref="AF41">IFERROR(ROUNDUP(IF(OR($U41=2,$U41=3),
INDEX(単価表!$AY$64:$CC$71,MATCH($V41&amp;$W41,INDEX(単価表!$AY$64:$AY$71&amp;単価表!$AZ$64:$AZ$71,),),MATCH(内訳計算!AF$6,単価表!$AY$63:$CC$63,0)),
INDEX(単価表!$AY$64:$CC$71,MATCH($V41&amp;$W41,INDEX(単価表!$AY$64:$AY$71&amp;単価表!$AZ$64:$AZ$71,),),MATCH(内訳計算!AF$6,単価表!$AY$63:$CC$63,0)))*$Y41/25,0),0)</f>
        <v>0</v>
      </c>
      <c r="AG41" s="975" cm="1">
        <f t="array" ref="AG41">IFERROR(ROUNDUP(IF(OR($U41=2,$U41=3),
INDEX(単価表!$AY$64:$CC$71,MATCH($V41&amp;$W41,INDEX(単価表!$AY$64:$AY$71&amp;単価表!$AZ$64:$AZ$71,),),MATCH(内訳計算!AG$6,単価表!$AY$63:$CC$63,0)),
INDEX(単価表!$AY$64:$CC$71,MATCH($V41&amp;$W41,INDEX(単価表!$AY$64:$AY$71&amp;単価表!$AZ$64:$AZ$71,),),MATCH(内訳計算!AG$6,単価表!$AY$63:$CC$63,0)))*$Y41/25,0),0)</f>
        <v>0</v>
      </c>
      <c r="AH41" s="976" cm="1">
        <f t="array" ref="AH41">IFERROR(IF(HLOOKUP($U41,加算と減算!$E$4:$P$10,2,FALSE)="○",IF(OR($U41=2,$U41=3),
INDEX(単価表!$AY$64:$CC$71,MATCH($V41&amp;$W41,INDEX(単価表!$AY$64:$AY$71&amp;単価表!$AZ$64:$AZ$71,),),MATCH(内訳計算!AH$6,単価表!$AY$63:$CC$63,0)),
INDEX(単価表!$AY$64:$CC$71,MATCH($V41&amp;$W41,INDEX(単価表!$AY$64:$AY$71&amp;単価表!$AZ$64:$AZ$71,),),MATCH(内訳計算!AH$6,単価表!$AY$63:$CC$63,0))),0),0)</f>
        <v>0</v>
      </c>
      <c r="AI41" s="978" cm="1">
        <f t="array" ref="AI41">IFERROR(ROUNDUP(IF(HLOOKUP($U41,加算と減算!$E$4:$P$10,2,FALSE)="○",IF(OR($U41=2,$U41=3),
INDEX(単価表!$AY$64:$CC$71,MATCH($V41&amp;$W41,INDEX(単価表!$AY$64:$AY$71&amp;単価表!$AZ$64:$AZ$71,),),MATCH(内訳計算!AI$6,単価表!$AY$63:$CC$63,0)),
INDEX(単価表!$AY$64:$CC$71,MATCH($V41&amp;$W41,INDEX(単価表!$AY$64:$AY$71&amp;単価表!$AZ$64:$AZ$71,),),MATCH(内訳計算!AI$6,単価表!$AY$63:$CC$63,0))),0)*$Y41/25,0),0)</f>
        <v>0</v>
      </c>
      <c r="AJ41" s="977" cm="1">
        <f t="array" ref="AJ41">IFERROR(ROUNDUP(IF(HLOOKUP($U41,加算と減算!$E$4:$P$10,2,FALSE)="○",IF(OR($U41=2,$U41=3),
INDEX(単価表!$AY$64:$CC$71,MATCH($V41&amp;$W41,INDEX(単価表!$AY$64:$AY$71&amp;単価表!$AZ$64:$AZ$71,),),MATCH(内訳計算!AJ$6,単価表!$AY$63:$CC$63,0)),
INDEX(単価表!$AY$64:$CC$71,MATCH($V41&amp;$W41,INDEX(単価表!$AY$64:$AY$71&amp;単価表!$AZ$64:$AZ$71,),),MATCH(内訳計算!AJ$6,単価表!$AY$63:$CC$63,0))),0)*$Y41/25,0),0)</f>
        <v>0</v>
      </c>
      <c r="AK41" s="975" cm="1">
        <f t="array" ref="AK41">IFERROR(ROUNDUP(IF(HLOOKUP($U41,加算と減算!$E$4:$P$10,2,FALSE)="○",IF(OR($U41=2,$U41=3),
INDEX(単価表!$AY$64:$CC$71,MATCH($V41&amp;$W41,INDEX(単価表!$AY$64:$AY$71&amp;単価表!$AZ$64:$AZ$71,),),MATCH(内訳計算!AK$6,単価表!$AY$63:$CC$63,0)),
INDEX(単価表!$AY$64:$CC$71,MATCH($V41&amp;$W41,INDEX(単価表!$AY$64:$AY$71&amp;単価表!$AZ$64:$AZ$71,),),MATCH(内訳計算!AK$6,単価表!$AY$63:$CC$63,0))),0)*$Y41/25,0),0)</f>
        <v>0</v>
      </c>
      <c r="AL41" s="976" cm="1">
        <f t="array" ref="AL41">IFERROR(IF(HLOOKUP($U41,加算と減算!$E$4:$P$10,4,FALSE)="○",IF(OR($U41=2,$U41=3),
INDEX(単価表!$AY$64:$CC$71,MATCH($V41&amp;$W41,INDEX(単価表!$AY$64:$AY$71&amp;単価表!$AZ$64:$AZ$71,),),MATCH(内訳計算!AL$6,単価表!$AY$63:$CC$63,0)),
INDEX(単価表!$AY$64:$CC$71,MATCH($V41&amp;$W41,INDEX(単価表!$AY$64:$AY$71&amp;単価表!$AZ$64:$AZ$71,),),MATCH(内訳計算!AL$6,単価表!$AY$63:$CC$63,0))),0),0)</f>
        <v>0</v>
      </c>
      <c r="AM41" s="977" cm="1">
        <f t="array" ref="AM41">IFERROR(ROUNDUP(IF(HLOOKUP($U41,加算と減算!$E$4:$P$10,4,FALSE)="○",IF(OR($U41=2,$U41=3),
INDEX(単価表!$AY$64:$CC$71,MATCH($V41&amp;$W41,INDEX(単価表!$AY$64:$AY$71&amp;単価表!$AZ$64:$AZ$71,),),MATCH(内訳計算!AM$6,単価表!$AY$63:$CC$63,0)),
INDEX(単価表!$AY$64:$CC$71,MATCH($V41&amp;$W41,INDEX(単価表!$AY$64:$AY$71&amp;単価表!$AZ$64:$AZ$71,),),MATCH(内訳計算!AM$6,単価表!$AY$63:$CC$63,0))),0)*$Y41/25,0),0)</f>
        <v>0</v>
      </c>
      <c r="AN41" s="977" cm="1">
        <f t="array" ref="AN41">IFERROR(ROUNDUP(IF(HLOOKUP($U41,加算と減算!$E$4:$P$10,4,FALSE)="○",IF(OR($U41=2,$U41=3),
INDEX(単価表!$AY$64:$CC$71,MATCH($V41&amp;$W41,INDEX(単価表!$AY$64:$AY$71&amp;単価表!$AZ$64:$AZ$71,),),MATCH(内訳計算!AN$6,単価表!$AY$63:$CC$63,0)),
INDEX(単価表!$AY$64:$CC$71,MATCH($V41&amp;$W41,INDEX(単価表!$AY$64:$AY$71&amp;単価表!$AZ$64:$AZ$71,),),MATCH(内訳計算!AN$6,単価表!$AY$63:$CC$63,0))),0)*$Y41/25,0),0)</f>
        <v>0</v>
      </c>
      <c r="AO41" s="977" cm="1">
        <f t="array" ref="AO41">IFERROR(ROUNDUP(IF(HLOOKUP($U41,加算と減算!$E$4:$P$10,4,FALSE)="○",IF(OR($U41=2,$U41=3),
INDEX(単価表!$AY$64:$CC$71,MATCH($V41&amp;$W41,INDEX(単価表!$AY$64:$AY$71&amp;単価表!$AZ$64:$AZ$71,),),MATCH(内訳計算!AO$6,単価表!$AY$63:$CC$63,0)),
INDEX(単価表!$AY$64:$CC$71,MATCH($V41&amp;$W41,INDEX(単価表!$AY$64:$AY$71&amp;単価表!$AZ$64:$AZ$71,),),MATCH(内訳計算!AO$6,単価表!$AY$63:$CC$63,0))),0)*$Y41/25,0),0)</f>
        <v>0</v>
      </c>
      <c r="AP41" s="977" cm="1">
        <f t="array" ref="AP41">IFERROR(ROUNDUP(IF(HLOOKUP($U41,加算と減算!$E$4:$P$10,4,FALSE)="○",IF(OR($U41=2,$U41=3),
INDEX(単価表!$AY$64:$CC$71,MATCH($V41&amp;$W41,INDEX(単価表!$AY$64:$AY$71&amp;単価表!$AZ$64:$AZ$71,),),MATCH(内訳計算!AP$6,単価表!$AY$63:$CC$63,0)),
INDEX(単価表!$AY$64:$CC$71,MATCH($V41&amp;$W41,INDEX(単価表!$AY$64:$AY$71&amp;単価表!$AZ$64:$AZ$71,),),MATCH(内訳計算!AP$6,単価表!$AY$63:$CC$63,0))),0)*$Y41/25,0),0)</f>
        <v>0</v>
      </c>
      <c r="AQ41" s="975" cm="1">
        <f t="array" ref="AQ41">IFERROR(ROUNDUP(IF(HLOOKUP($U41,加算と減算!$E$4:$P$10,4,FALSE)="○",IF(OR($U41=2,$U41=3),
INDEX(単価表!$AY$64:$CC$71,MATCH($V41&amp;$W41,INDEX(単価表!$AY$64:$AY$71&amp;単価表!$AZ$64:$AZ$71,),),MATCH(内訳計算!AQ$6,単価表!$AY$63:$CC$63,0)),
INDEX(単価表!$AY$64:$CC$71,MATCH($V41&amp;$W41,INDEX(単価表!$AY$64:$AY$71&amp;単価表!$AZ$64:$AZ$71,),),MATCH(内訳計算!AQ$6,単価表!$AY$63:$CC$63,0))),0)*$Y41/25,0),0)</f>
        <v>0</v>
      </c>
      <c r="AR41" s="976" cm="1">
        <f t="array" ref="AR41">IFERROR(IF(HLOOKUP($U41,加算と減算!$E$4:$P$10,5,FALSE)="○",IF(OR($U41=2,$U41=3),
INDEX(単価表!$AY$64:$CC$71,MATCH($V41&amp;$W41,INDEX(単価表!$AY$64:$AY$71&amp;単価表!$AZ$64:$AZ$71,),),MATCH(内訳計算!AR$6,単価表!$AY$63:$CC$63,0)),
INDEX(単価表!$AY$64:$CC$71,MATCH($V41&amp;$W41,INDEX(単価表!$AY$64:$AY$71&amp;単価表!$AZ$64:$AZ$71,),),MATCH(内訳計算!AR$6,単価表!$AY$63:$CC$63,0))),0),0)</f>
        <v>0</v>
      </c>
      <c r="AS41" s="975" cm="1">
        <f t="array" ref="AS41">IFERROR(ROUNDUP(IF(HLOOKUP($U41,加算と減算!$E$4:$P$10,5,FALSE)="○",IF(OR($U41=2,$U41=3),
INDEX(単価表!$AY$64:$CC$71,MATCH($V41&amp;$W41,INDEX(単価表!$AY$64:$AY$71&amp;単価表!$AZ$64:$AZ$71,),),MATCH(内訳計算!AS$6,単価表!$AY$63:$CC$63,0)),
INDEX(単価表!$AY$64:$CC$71,MATCH($V41&amp;$W41,INDEX(単価表!$AY$64:$AY$71&amp;単価表!$AZ$64:$AZ$71,),),MATCH(内訳計算!AS$6,単価表!$AY$63:$CC$63,0))),0)*$Y41/25,0),0)</f>
        <v>0</v>
      </c>
      <c r="AT41" s="976" cm="1">
        <f t="array" ref="AT41">IFERROR(IF(HLOOKUP($U41,加算と減算!$E$4:$P$10,6,FALSE)="○",IF(OR($U41=2,$U41=3),
INDEX(単価表!$AY$64:$CC$71,MATCH($V41&amp;$W41,INDEX(単価表!$AY$64:$AY$71&amp;単価表!$AZ$64:$AZ$71,),),MATCH(内訳計算!AT$6,単価表!$AY$63:$CC$63,0)),
INDEX(単価表!$AY$64:$CC$71,MATCH($V41&amp;$W41,INDEX(単価表!$AY$64:$AY$71&amp;単価表!$AZ$64:$AZ$71,),),MATCH(内訳計算!AT$6,単価表!$AY$63:$CC$63,0))),0),0)</f>
        <v>0</v>
      </c>
      <c r="AU41" s="975" cm="1">
        <f t="array" ref="AU41">IFERROR(ROUNDUP(IF(HLOOKUP($U41,加算と減算!$E$4:$P$10,6,FALSE)="○",IF(OR($U41=2,$U41=3),
INDEX(単価表!$AY$64:$CC$71,MATCH($V41&amp;$W41,INDEX(単価表!$AY$64:$AY$71&amp;単価表!$AZ$64:$AZ$71,),),MATCH(内訳計算!AU$6,単価表!$AY$63:$CC$63,0)),
INDEX(単価表!$AY$64:$CC$71,MATCH($V41&amp;$W41,INDEX(単価表!$AY$64:$AY$71&amp;単価表!$AZ$64:$AZ$71,),),MATCH(内訳計算!AU$6,単価表!$AY$63:$CC$63,0))),0)*$Y41/25,0),0)</f>
        <v>0</v>
      </c>
      <c r="AV41" s="976" cm="1">
        <f t="array" ref="AV41">IFERROR(IF(HLOOKUP($U41,加算と減算!$E$4:$P$10,7,FALSE)="○",IF(OR($U41=2,$U41=3),
INDEX(単価表!$AY$64:$CC$71,MATCH($V41&amp;$W41,INDEX(単価表!$AY$64:$AY$71&amp;単価表!$AZ$64:$AZ$71,),),MATCH(内訳計算!AV$6,単価表!$AY$63:$CC$63,0)),
INDEX(単価表!$AY$64:$CC$71,MATCH($V41&amp;$W41,INDEX(単価表!$AY$64:$AY$71&amp;単価表!$AZ$64:$AZ$71,),),MATCH(内訳計算!AV$6,単価表!$AY$63:$CC$63,0))),0),0)</f>
        <v>0</v>
      </c>
      <c r="AW41" s="977" cm="1">
        <f t="array" ref="AW41">IFERROR(ROUNDUP(IF(HLOOKUP($U41,加算と減算!$E$4:$P$10,7,FALSE)="○",IF(OR($U41=2,$U41=3),
INDEX(単価表!$AY$64:$CC$71,MATCH($V41&amp;$W41,INDEX(単価表!$AY$64:$AY$71&amp;単価表!$AZ$64:$AZ$71,),),MATCH(内訳計算!AW$6,単価表!$AY$63:$CC$63,0)),
INDEX(単価表!$AY$64:$CC$71,MATCH($V41&amp;$W41,INDEX(単価表!$AY$64:$AY$71&amp;単価表!$AZ$64:$AZ$71,),),MATCH(内訳計算!AW$6,単価表!$AY$63:$CC$63,0))),0)*$Y41/25,0),0)</f>
        <v>0</v>
      </c>
      <c r="AX41" s="977" cm="1">
        <f t="array" ref="AX41">IFERROR(ROUNDUP(IF(HLOOKUP($U41,加算と減算!$E$4:$P$10,7,FALSE)="○",IF(OR($U41=2,$U41=3),
INDEX(単価表!$AY$64:$CC$71,MATCH($V41&amp;$W41,INDEX(単価表!$AY$64:$AY$71&amp;単価表!$AZ$64:$AZ$71,),),MATCH(内訳計算!AX$6,単価表!$AY$63:$CC$63,0)),
INDEX(単価表!$AY$64:$CC$71,MATCH($V41&amp;$W41,INDEX(単価表!$AY$64:$AY$71&amp;単価表!$AZ$64:$AZ$71,),),MATCH(内訳計算!AX$6,単価表!$AY$63:$CC$63,0))),0)*$Y41/25,0),0)</f>
        <v>0</v>
      </c>
      <c r="AY41" s="975" cm="1">
        <f t="array" ref="AY41">IFERROR(ROUNDUP(IF(HLOOKUP($U41,加算と減算!$E$4:$P$10,7,FALSE)="○",IF(OR($U41=2,$U41=3),
INDEX(単価表!$AY$64:$CC$71,MATCH($V41&amp;$W41,INDEX(単価表!$AY$64:$AY$71&amp;単価表!$AZ$64:$AZ$71,),),MATCH(内訳計算!AY$6,単価表!$AY$63:$CC$63,0)),
INDEX(単価表!$AY$64:$CC$71,MATCH($V41&amp;$W41,INDEX(単価表!$AY$64:$AY$71&amp;単価表!$AZ$64:$AZ$71,),),MATCH(内訳計算!AY$6,単価表!$AY$63:$CC$63,0))),0)*$Y41/25,0),0)</f>
        <v>0</v>
      </c>
      <c r="AZ41" s="976" cm="1">
        <f t="array" ref="AZ41">IFERROR(IF(X41="○",INDEX(単価表!$AY$64:$CC$71,MATCH($V41&amp;$W41,INDEX(単価表!$AY$64:$AY$71&amp;単価表!$AZ$64:$AZ$71,),),MATCH(内訳計算!AZ$6,単価表!$AY$63:$CC$63,0)),0),0)</f>
        <v>0</v>
      </c>
      <c r="BA41" s="975" cm="1">
        <f t="array" ref="BA41">IFERROR(ROUNDUP(INDEX(単価表!$AY$64:$CC$71,MATCH($V41&amp;$W41,INDEX(単価表!$AY$64:$AY$71&amp;単価表!$AZ$64:$AZ$71,),),MATCH(内訳計算!BA$6,単価表!$AY$63:$CC$63,0))*$Y41/25,0),0)</f>
        <v>0</v>
      </c>
      <c r="BB41" s="976" cm="1">
        <f t="array" ref="BB41">IFERROR(INDEX(単価表!$AY$64:$CC$71,MATCH($V41&amp;$W41,INDEX(単価表!$AY$64:$AY$71&amp;単価表!$AZ$64:$AZ$71,),),MATCH(内訳計算!BB$6,単価表!$AY$63:$CC$63,0)),0)</f>
        <v>0</v>
      </c>
      <c r="BC41" s="975" cm="1">
        <f t="array" ref="BC41">IFERROR(ROUNDUP(INDEX(単価表!$AY$64:$CC$71,MATCH($V41&amp;$W41,INDEX(単価表!$AY$64:$AY$71&amp;単価表!$AZ$64:$AZ$71,),),MATCH(内訳計算!BC$6,単価表!$AY$63:$CC$63,0))*$Y41/25,0),0)</f>
        <v>0</v>
      </c>
      <c r="BD41" s="985">
        <f>IFERROR(IF(HLOOKUP($U41,加算と減算!$E$31:$P$32,2,FALSE)="○",IF(OR($U41=2,$U41=3),-(単価表!$AZ$7+単価表!$BA$7*基本情報!$G$7),-(単価表!$AZ$7+単価表!$BA$7*基本情報!$G$7)),0),0)</f>
        <v>0</v>
      </c>
      <c r="BE41" s="986" t="e">
        <f t="shared" si="70"/>
        <v>#VALUE!</v>
      </c>
      <c r="BF41" s="986" t="e">
        <f t="shared" si="71"/>
        <v>#VALUE!</v>
      </c>
      <c r="BG41" s="987" t="e">
        <f t="shared" si="72"/>
        <v>#N/A</v>
      </c>
      <c r="BH41" s="988">
        <f>IFERROR(IF(基本情報!$E$12&lt;&gt;"",-ROUNDDOWN((AA41+AE41+AH41+AL41)*基本情報!$H$12/100,-1),0),0)</f>
        <v>0</v>
      </c>
      <c r="BI41" s="986" t="e">
        <f t="shared" si="73"/>
        <v>#VALUE!</v>
      </c>
      <c r="BJ41" s="986" t="e">
        <f t="shared" si="74"/>
        <v>#VALUE!</v>
      </c>
      <c r="BK41" s="989" t="e">
        <f t="shared" si="75"/>
        <v>#N/A</v>
      </c>
      <c r="BL41" s="1006">
        <f>IFERROR(-ROUNDUP(SUM(AA41,AE41,AH41,AL41,AR41,AT41,AV41,BD41,BH41)*基本情報!$H$14/100,-1),0)</f>
        <v>0</v>
      </c>
      <c r="BM41" s="1007" t="e">
        <f t="shared" si="79"/>
        <v>#VALUE!</v>
      </c>
      <c r="BN41" s="1007" t="e">
        <f t="shared" si="76"/>
        <v>#VALUE!</v>
      </c>
      <c r="BO41" s="1008" t="e">
        <f t="shared" si="77"/>
        <v>#N/A</v>
      </c>
      <c r="BP41" s="701"/>
      <c r="BQ41" s="701"/>
      <c r="BR41" s="701"/>
      <c r="BS41" s="701"/>
      <c r="BT41" s="721"/>
      <c r="BU41" s="1043" t="e">
        <f t="shared" si="80"/>
        <v>#VALUE!</v>
      </c>
      <c r="BV41" s="1044" t="e">
        <f t="shared" si="81"/>
        <v>#VALUE!</v>
      </c>
      <c r="BW41" s="1044" t="e">
        <f t="shared" si="82"/>
        <v>#N/A</v>
      </c>
      <c r="BX41" s="1051">
        <f t="shared" si="83"/>
        <v>0</v>
      </c>
      <c r="BY41" s="1045">
        <f t="shared" si="84"/>
        <v>0</v>
      </c>
      <c r="CB41" s="1626"/>
      <c r="CC41" s="1600"/>
      <c r="CD41" s="1422" t="s">
        <v>38</v>
      </c>
      <c r="CE41" s="740" t="s">
        <v>559</v>
      </c>
      <c r="CF41" s="672">
        <f>'4月'!AQ41</f>
        <v>0</v>
      </c>
      <c r="CG41" s="672">
        <f>'5月'!AQ41</f>
        <v>0</v>
      </c>
      <c r="CH41" s="672">
        <f>'6月'!AQ41</f>
        <v>0</v>
      </c>
      <c r="CI41" s="672">
        <f>'7月'!AQ41</f>
        <v>0</v>
      </c>
      <c r="CJ41" s="672">
        <f>'8月'!AQ41</f>
        <v>0</v>
      </c>
      <c r="CK41" s="672">
        <f>'9月'!AQ41</f>
        <v>0</v>
      </c>
      <c r="CL41" s="672">
        <f>'10月'!AQ41</f>
        <v>0</v>
      </c>
      <c r="CM41" s="672">
        <f>'11月'!AQ41</f>
        <v>0</v>
      </c>
      <c r="CN41" s="672">
        <f>'12月'!AQ41</f>
        <v>0</v>
      </c>
      <c r="CO41" s="672">
        <f>'1月'!AQ41</f>
        <v>0</v>
      </c>
      <c r="CP41" s="672">
        <f>'2月'!AQ41</f>
        <v>0</v>
      </c>
      <c r="CQ41" s="756">
        <f>'3月'!AQ47</f>
        <v>0</v>
      </c>
      <c r="CR41" s="759">
        <f t="shared" si="22"/>
        <v>0</v>
      </c>
      <c r="CS41" s="1600"/>
      <c r="CT41" s="1422" t="s">
        <v>38</v>
      </c>
      <c r="CU41" s="959" t="s">
        <v>559</v>
      </c>
      <c r="CV41" s="771">
        <f>CR41</f>
        <v>0</v>
      </c>
      <c r="CW41" s="776"/>
      <c r="CX41" s="776"/>
      <c r="CY41" s="954"/>
      <c r="CZ41" s="954"/>
      <c r="DA41" s="721"/>
      <c r="DB41" s="721"/>
    </row>
    <row r="42" spans="1:106" ht="18" thickTop="1" thickBot="1">
      <c r="A42" s="1653"/>
      <c r="B42" s="1656"/>
      <c r="C42" s="1543"/>
      <c r="D42" s="711" t="s">
        <v>36</v>
      </c>
      <c r="E42" s="712">
        <f>SUM(E38:E41)</f>
        <v>0</v>
      </c>
      <c r="F42" s="714"/>
      <c r="G42" s="714"/>
      <c r="H42" s="714"/>
      <c r="I42" s="714"/>
      <c r="J42" s="712">
        <f>SUM(J38:J41)</f>
        <v>0</v>
      </c>
      <c r="K42" s="712">
        <f t="shared" ref="K42:L42" si="90">SUM(K38:K41)</f>
        <v>0</v>
      </c>
      <c r="L42" s="713">
        <f t="shared" si="90"/>
        <v>0</v>
      </c>
      <c r="T42" s="682">
        <v>9</v>
      </c>
      <c r="U42" s="918">
        <f>月途中入退所情報!N16</f>
        <v>0</v>
      </c>
      <c r="V42" s="918">
        <f>月途中入退所情報!R16</f>
        <v>0</v>
      </c>
      <c r="W42" s="918">
        <f>月途中入退所情報!Q16</f>
        <v>0</v>
      </c>
      <c r="X42" s="945">
        <f>月途中入退所情報!S16</f>
        <v>0</v>
      </c>
      <c r="Y42" s="918">
        <f>月途中入退所情報!T16</f>
        <v>0</v>
      </c>
      <c r="Z42" s="840">
        <f t="shared" si="86"/>
        <v>0</v>
      </c>
      <c r="AA42" s="976" cm="1">
        <f t="array" ref="AA42">IFERROR(IF(OR($U42=2,$U42=3),
INDEX(単価表!$AY$64:$CC$71,MATCH($V42&amp;$W42,INDEX(単価表!$AY$64:$AY$71&amp;単価表!$AZ$64:$AZ$71,),),MATCH(内訳計算!AA$6,単価表!$AY$63:$CC$63,0)),
INDEX(単価表!$AY$64:$CC$71,MATCH($V42&amp;$W42,INDEX(単価表!$AY$64:$AY$71&amp;単価表!$AZ$64:$AZ$71,),),MATCH(内訳計算!AA$6,単価表!$AY$63:$CC$63,0))),0)</f>
        <v>0</v>
      </c>
      <c r="AB42" s="977" t="e">
        <f t="shared" si="78"/>
        <v>#VALUE!</v>
      </c>
      <c r="AC42" s="977" cm="1">
        <f t="array" ref="AC42">IFERROR(ROUNDUP(IF(OR($U42=2,$U42=3),
INDEX(単価表!$AY$64:$CC$71,MATCH($V42&amp;$W42,INDEX(単価表!$AY$64:$AY$71&amp;単価表!$AZ$64:$AZ$71,),),MATCH(内訳計算!AC$6,単価表!$AY$63:$CC$63,0)),
INDEX(単価表!$AY$64:$CC$71,MATCH($V42&amp;$W42,INDEX(単価表!$AY$64:$AY$71&amp;単価表!$AZ$64:$AZ$71,),),MATCH(内訳計算!AC$6,単価表!$AY$63:$CC$63,0)))*$Y42/25,0),0)</f>
        <v>0</v>
      </c>
      <c r="AD42" s="975" cm="1">
        <f t="array" ref="AD42">IFERROR(ROUNDUP(IF(OR($U42=2,$U42=3),
INDEX(単価表!$AY$64:$CC$71,MATCH($V42&amp;$W42,INDEX(単価表!$AY$64:$AY$71&amp;単価表!$AZ$64:$AZ$71,),),MATCH(内訳計算!AD$6,単価表!$AY$63:$CC$63,0)),
INDEX(単価表!$AY$64:$CC$71,MATCH($V42&amp;$W42,INDEX(単価表!$AY$64:$AY$71&amp;単価表!$AZ$64:$AZ$71,),),MATCH(内訳計算!AD$6,単価表!$AY$63:$CC$63,0)))*$Y42/25,0),0)</f>
        <v>0</v>
      </c>
      <c r="AE42" s="976" cm="1">
        <f t="array" ref="AE42">IFERROR(IF(OR($U42=2,$U42=3),
INDEX(単価表!$AY$64:$CC$71,MATCH($V42&amp;$W42,INDEX(単価表!$AY$64:$AY$71&amp;単価表!$AZ$64:$AZ$71,),),MATCH(内訳計算!AE$6,単価表!$AY$63:$CC$63,0)),
INDEX(単価表!$AY$64:$CC$71,MATCH($V42&amp;$W42,INDEX(単価表!$AY$64:$AY$71&amp;単価表!$AZ$64:$AZ$71,),),MATCH(内訳計算!AE$6,単価表!$AY$63:$CC$63,0))),0)</f>
        <v>0</v>
      </c>
      <c r="AF42" s="977" cm="1">
        <f t="array" ref="AF42">IFERROR(ROUNDUP(IF(OR($U42=2,$U42=3),
INDEX(単価表!$AY$64:$CC$71,MATCH($V42&amp;$W42,INDEX(単価表!$AY$64:$AY$71&amp;単価表!$AZ$64:$AZ$71,),),MATCH(内訳計算!AF$6,単価表!$AY$63:$CC$63,0)),
INDEX(単価表!$AY$64:$CC$71,MATCH($V42&amp;$W42,INDEX(単価表!$AY$64:$AY$71&amp;単価表!$AZ$64:$AZ$71,),),MATCH(内訳計算!AF$6,単価表!$AY$63:$CC$63,0)))*$Y42/25,0),0)</f>
        <v>0</v>
      </c>
      <c r="AG42" s="975" cm="1">
        <f t="array" ref="AG42">IFERROR(ROUNDUP(IF(OR($U42=2,$U42=3),
INDEX(単価表!$AY$64:$CC$71,MATCH($V42&amp;$W42,INDEX(単価表!$AY$64:$AY$71&amp;単価表!$AZ$64:$AZ$71,),),MATCH(内訳計算!AG$6,単価表!$AY$63:$CC$63,0)),
INDEX(単価表!$AY$64:$CC$71,MATCH($V42&amp;$W42,INDEX(単価表!$AY$64:$AY$71&amp;単価表!$AZ$64:$AZ$71,),),MATCH(内訳計算!AG$6,単価表!$AY$63:$CC$63,0)))*$Y42/25,0),0)</f>
        <v>0</v>
      </c>
      <c r="AH42" s="976" cm="1">
        <f t="array" ref="AH42">IFERROR(IF(HLOOKUP($U42,加算と減算!$E$4:$P$10,2,FALSE)="○",IF(OR($U42=2,$U42=3),
INDEX(単価表!$AY$64:$CC$71,MATCH($V42&amp;$W42,INDEX(単価表!$AY$64:$AY$71&amp;単価表!$AZ$64:$AZ$71,),),MATCH(内訳計算!AH$6,単価表!$AY$63:$CC$63,0)),
INDEX(単価表!$AY$64:$CC$71,MATCH($V42&amp;$W42,INDEX(単価表!$AY$64:$AY$71&amp;単価表!$AZ$64:$AZ$71,),),MATCH(内訳計算!AH$6,単価表!$AY$63:$CC$63,0))),0),0)</f>
        <v>0</v>
      </c>
      <c r="AI42" s="978" cm="1">
        <f t="array" ref="AI42">IFERROR(ROUNDUP(IF(HLOOKUP($U42,加算と減算!$E$4:$P$10,2,FALSE)="○",IF(OR($U42=2,$U42=3),
INDEX(単価表!$AY$64:$CC$71,MATCH($V42&amp;$W42,INDEX(単価表!$AY$64:$AY$71&amp;単価表!$AZ$64:$AZ$71,),),MATCH(内訳計算!AI$6,単価表!$AY$63:$CC$63,0)),
INDEX(単価表!$AY$64:$CC$71,MATCH($V42&amp;$W42,INDEX(単価表!$AY$64:$AY$71&amp;単価表!$AZ$64:$AZ$71,),),MATCH(内訳計算!AI$6,単価表!$AY$63:$CC$63,0))),0)*$Y42/25,0),0)</f>
        <v>0</v>
      </c>
      <c r="AJ42" s="977" cm="1">
        <f t="array" ref="AJ42">IFERROR(ROUNDUP(IF(HLOOKUP($U42,加算と減算!$E$4:$P$10,2,FALSE)="○",IF(OR($U42=2,$U42=3),
INDEX(単価表!$AY$64:$CC$71,MATCH($V42&amp;$W42,INDEX(単価表!$AY$64:$AY$71&amp;単価表!$AZ$64:$AZ$71,),),MATCH(内訳計算!AJ$6,単価表!$AY$63:$CC$63,0)),
INDEX(単価表!$AY$64:$CC$71,MATCH($V42&amp;$W42,INDEX(単価表!$AY$64:$AY$71&amp;単価表!$AZ$64:$AZ$71,),),MATCH(内訳計算!AJ$6,単価表!$AY$63:$CC$63,0))),0)*$Y42/25,0),0)</f>
        <v>0</v>
      </c>
      <c r="AK42" s="975" cm="1">
        <f t="array" ref="AK42">IFERROR(ROUNDUP(IF(HLOOKUP($U42,加算と減算!$E$4:$P$10,2,FALSE)="○",IF(OR($U42=2,$U42=3),
INDEX(単価表!$AY$64:$CC$71,MATCH($V42&amp;$W42,INDEX(単価表!$AY$64:$AY$71&amp;単価表!$AZ$64:$AZ$71,),),MATCH(内訳計算!AK$6,単価表!$AY$63:$CC$63,0)),
INDEX(単価表!$AY$64:$CC$71,MATCH($V42&amp;$W42,INDEX(単価表!$AY$64:$AY$71&amp;単価表!$AZ$64:$AZ$71,),),MATCH(内訳計算!AK$6,単価表!$AY$63:$CC$63,0))),0)*$Y42/25,0),0)</f>
        <v>0</v>
      </c>
      <c r="AL42" s="976" cm="1">
        <f t="array" ref="AL42">IFERROR(IF(HLOOKUP($U42,加算と減算!$E$4:$P$10,4,FALSE)="○",IF(OR($U42=2,$U42=3),
INDEX(単価表!$AY$64:$CC$71,MATCH($V42&amp;$W42,INDEX(単価表!$AY$64:$AY$71&amp;単価表!$AZ$64:$AZ$71,),),MATCH(内訳計算!AL$6,単価表!$AY$63:$CC$63,0)),
INDEX(単価表!$AY$64:$CC$71,MATCH($V42&amp;$W42,INDEX(単価表!$AY$64:$AY$71&amp;単価表!$AZ$64:$AZ$71,),),MATCH(内訳計算!AL$6,単価表!$AY$63:$CC$63,0))),0),0)</f>
        <v>0</v>
      </c>
      <c r="AM42" s="977" cm="1">
        <f t="array" ref="AM42">IFERROR(ROUNDUP(IF(HLOOKUP($U42,加算と減算!$E$4:$P$10,4,FALSE)="○",IF(OR($U42=2,$U42=3),
INDEX(単価表!$AY$64:$CC$71,MATCH($V42&amp;$W42,INDEX(単価表!$AY$64:$AY$71&amp;単価表!$AZ$64:$AZ$71,),),MATCH(内訳計算!AM$6,単価表!$AY$63:$CC$63,0)),
INDEX(単価表!$AY$64:$CC$71,MATCH($V42&amp;$W42,INDEX(単価表!$AY$64:$AY$71&amp;単価表!$AZ$64:$AZ$71,),),MATCH(内訳計算!AM$6,単価表!$AY$63:$CC$63,0))),0)*$Y42/25,0),0)</f>
        <v>0</v>
      </c>
      <c r="AN42" s="977" cm="1">
        <f t="array" ref="AN42">IFERROR(ROUNDUP(IF(HLOOKUP($U42,加算と減算!$E$4:$P$10,4,FALSE)="○",IF(OR($U42=2,$U42=3),
INDEX(単価表!$AY$64:$CC$71,MATCH($V42&amp;$W42,INDEX(単価表!$AY$64:$AY$71&amp;単価表!$AZ$64:$AZ$71,),),MATCH(内訳計算!AN$6,単価表!$AY$63:$CC$63,0)),
INDEX(単価表!$AY$64:$CC$71,MATCH($V42&amp;$W42,INDEX(単価表!$AY$64:$AY$71&amp;単価表!$AZ$64:$AZ$71,),),MATCH(内訳計算!AN$6,単価表!$AY$63:$CC$63,0))),0)*$Y42/25,0),0)</f>
        <v>0</v>
      </c>
      <c r="AO42" s="977" cm="1">
        <f t="array" ref="AO42">IFERROR(ROUNDUP(IF(HLOOKUP($U42,加算と減算!$E$4:$P$10,4,FALSE)="○",IF(OR($U42=2,$U42=3),
INDEX(単価表!$AY$64:$CC$71,MATCH($V42&amp;$W42,INDEX(単価表!$AY$64:$AY$71&amp;単価表!$AZ$64:$AZ$71,),),MATCH(内訳計算!AO$6,単価表!$AY$63:$CC$63,0)),
INDEX(単価表!$AY$64:$CC$71,MATCH($V42&amp;$W42,INDEX(単価表!$AY$64:$AY$71&amp;単価表!$AZ$64:$AZ$71,),),MATCH(内訳計算!AO$6,単価表!$AY$63:$CC$63,0))),0)*$Y42/25,0),0)</f>
        <v>0</v>
      </c>
      <c r="AP42" s="977" cm="1">
        <f t="array" ref="AP42">IFERROR(ROUNDUP(IF(HLOOKUP($U42,加算と減算!$E$4:$P$10,4,FALSE)="○",IF(OR($U42=2,$U42=3),
INDEX(単価表!$AY$64:$CC$71,MATCH($V42&amp;$W42,INDEX(単価表!$AY$64:$AY$71&amp;単価表!$AZ$64:$AZ$71,),),MATCH(内訳計算!AP$6,単価表!$AY$63:$CC$63,0)),
INDEX(単価表!$AY$64:$CC$71,MATCH($V42&amp;$W42,INDEX(単価表!$AY$64:$AY$71&amp;単価表!$AZ$64:$AZ$71,),),MATCH(内訳計算!AP$6,単価表!$AY$63:$CC$63,0))),0)*$Y42/25,0),0)</f>
        <v>0</v>
      </c>
      <c r="AQ42" s="975" cm="1">
        <f t="array" ref="AQ42">IFERROR(ROUNDUP(IF(HLOOKUP($U42,加算と減算!$E$4:$P$10,4,FALSE)="○",IF(OR($U42=2,$U42=3),
INDEX(単価表!$AY$64:$CC$71,MATCH($V42&amp;$W42,INDEX(単価表!$AY$64:$AY$71&amp;単価表!$AZ$64:$AZ$71,),),MATCH(内訳計算!AQ$6,単価表!$AY$63:$CC$63,0)),
INDEX(単価表!$AY$64:$CC$71,MATCH($V42&amp;$W42,INDEX(単価表!$AY$64:$AY$71&amp;単価表!$AZ$64:$AZ$71,),),MATCH(内訳計算!AQ$6,単価表!$AY$63:$CC$63,0))),0)*$Y42/25,0),0)</f>
        <v>0</v>
      </c>
      <c r="AR42" s="976" cm="1">
        <f t="array" ref="AR42">IFERROR(IF(HLOOKUP($U42,加算と減算!$E$4:$P$10,5,FALSE)="○",IF(OR($U42=2,$U42=3),
INDEX(単価表!$AY$64:$CC$71,MATCH($V42&amp;$W42,INDEX(単価表!$AY$64:$AY$71&amp;単価表!$AZ$64:$AZ$71,),),MATCH(内訳計算!AR$6,単価表!$AY$63:$CC$63,0)),
INDEX(単価表!$AY$64:$CC$71,MATCH($V42&amp;$W42,INDEX(単価表!$AY$64:$AY$71&amp;単価表!$AZ$64:$AZ$71,),),MATCH(内訳計算!AR$6,単価表!$AY$63:$CC$63,0))),0),0)</f>
        <v>0</v>
      </c>
      <c r="AS42" s="975" cm="1">
        <f t="array" ref="AS42">IFERROR(ROUNDUP(IF(HLOOKUP($U42,加算と減算!$E$4:$P$10,5,FALSE)="○",IF(OR($U42=2,$U42=3),
INDEX(単価表!$AY$64:$CC$71,MATCH($V42&amp;$W42,INDEX(単価表!$AY$64:$AY$71&amp;単価表!$AZ$64:$AZ$71,),),MATCH(内訳計算!AS$6,単価表!$AY$63:$CC$63,0)),
INDEX(単価表!$AY$64:$CC$71,MATCH($V42&amp;$W42,INDEX(単価表!$AY$64:$AY$71&amp;単価表!$AZ$64:$AZ$71,),),MATCH(内訳計算!AS$6,単価表!$AY$63:$CC$63,0))),0)*$Y42/25,0),0)</f>
        <v>0</v>
      </c>
      <c r="AT42" s="976" cm="1">
        <f t="array" ref="AT42">IFERROR(IF(HLOOKUP($U42,加算と減算!$E$4:$P$10,6,FALSE)="○",IF(OR($U42=2,$U42=3),
INDEX(単価表!$AY$64:$CC$71,MATCH($V42&amp;$W42,INDEX(単価表!$AY$64:$AY$71&amp;単価表!$AZ$64:$AZ$71,),),MATCH(内訳計算!AT$6,単価表!$AY$63:$CC$63,0)),
INDEX(単価表!$AY$64:$CC$71,MATCH($V42&amp;$W42,INDEX(単価表!$AY$64:$AY$71&amp;単価表!$AZ$64:$AZ$71,),),MATCH(内訳計算!AT$6,単価表!$AY$63:$CC$63,0))),0),0)</f>
        <v>0</v>
      </c>
      <c r="AU42" s="975" cm="1">
        <f t="array" ref="AU42">IFERROR(ROUNDUP(IF(HLOOKUP($U42,加算と減算!$E$4:$P$10,6,FALSE)="○",IF(OR($U42=2,$U42=3),
INDEX(単価表!$AY$64:$CC$71,MATCH($V42&amp;$W42,INDEX(単価表!$AY$64:$AY$71&amp;単価表!$AZ$64:$AZ$71,),),MATCH(内訳計算!AU$6,単価表!$AY$63:$CC$63,0)),
INDEX(単価表!$AY$64:$CC$71,MATCH($V42&amp;$W42,INDEX(単価表!$AY$64:$AY$71&amp;単価表!$AZ$64:$AZ$71,),),MATCH(内訳計算!AU$6,単価表!$AY$63:$CC$63,0))),0)*$Y42/25,0),0)</f>
        <v>0</v>
      </c>
      <c r="AV42" s="976" cm="1">
        <f t="array" ref="AV42">IFERROR(IF(HLOOKUP($U42,加算と減算!$E$4:$P$10,7,FALSE)="○",IF(OR($U42=2,$U42=3),
INDEX(単価表!$AY$64:$CC$71,MATCH($V42&amp;$W42,INDEX(単価表!$AY$64:$AY$71&amp;単価表!$AZ$64:$AZ$71,),),MATCH(内訳計算!AV$6,単価表!$AY$63:$CC$63,0)),
INDEX(単価表!$AY$64:$CC$71,MATCH($V42&amp;$W42,INDEX(単価表!$AY$64:$AY$71&amp;単価表!$AZ$64:$AZ$71,),),MATCH(内訳計算!AV$6,単価表!$AY$63:$CC$63,0))),0),0)</f>
        <v>0</v>
      </c>
      <c r="AW42" s="977" cm="1">
        <f t="array" ref="AW42">IFERROR(ROUNDUP(IF(HLOOKUP($U42,加算と減算!$E$4:$P$10,7,FALSE)="○",IF(OR($U42=2,$U42=3),
INDEX(単価表!$AY$64:$CC$71,MATCH($V42&amp;$W42,INDEX(単価表!$AY$64:$AY$71&amp;単価表!$AZ$64:$AZ$71,),),MATCH(内訳計算!AW$6,単価表!$AY$63:$CC$63,0)),
INDEX(単価表!$AY$64:$CC$71,MATCH($V42&amp;$W42,INDEX(単価表!$AY$64:$AY$71&amp;単価表!$AZ$64:$AZ$71,),),MATCH(内訳計算!AW$6,単価表!$AY$63:$CC$63,0))),0)*$Y42/25,0),0)</f>
        <v>0</v>
      </c>
      <c r="AX42" s="977" cm="1">
        <f t="array" ref="AX42">IFERROR(ROUNDUP(IF(HLOOKUP($U42,加算と減算!$E$4:$P$10,7,FALSE)="○",IF(OR($U42=2,$U42=3),
INDEX(単価表!$AY$64:$CC$71,MATCH($V42&amp;$W42,INDEX(単価表!$AY$64:$AY$71&amp;単価表!$AZ$64:$AZ$71,),),MATCH(内訳計算!AX$6,単価表!$AY$63:$CC$63,0)),
INDEX(単価表!$AY$64:$CC$71,MATCH($V42&amp;$W42,INDEX(単価表!$AY$64:$AY$71&amp;単価表!$AZ$64:$AZ$71,),),MATCH(内訳計算!AX$6,単価表!$AY$63:$CC$63,0))),0)*$Y42/25,0),0)</f>
        <v>0</v>
      </c>
      <c r="AY42" s="975" cm="1">
        <f t="array" ref="AY42">IFERROR(ROUNDUP(IF(HLOOKUP($U42,加算と減算!$E$4:$P$10,7,FALSE)="○",IF(OR($U42=2,$U42=3),
INDEX(単価表!$AY$64:$CC$71,MATCH($V42&amp;$W42,INDEX(単価表!$AY$64:$AY$71&amp;単価表!$AZ$64:$AZ$71,),),MATCH(内訳計算!AY$6,単価表!$AY$63:$CC$63,0)),
INDEX(単価表!$AY$64:$CC$71,MATCH($V42&amp;$W42,INDEX(単価表!$AY$64:$AY$71&amp;単価表!$AZ$64:$AZ$71,),),MATCH(内訳計算!AY$6,単価表!$AY$63:$CC$63,0))),0)*$Y42/25,0),0)</f>
        <v>0</v>
      </c>
      <c r="AZ42" s="976" cm="1">
        <f t="array" ref="AZ42">IFERROR(IF(X42="○",INDEX(単価表!$AY$64:$CC$71,MATCH($V42&amp;$W42,INDEX(単価表!$AY$64:$AY$71&amp;単価表!$AZ$64:$AZ$71,),),MATCH(内訳計算!AZ$6,単価表!$AY$63:$CC$63,0)),0),0)</f>
        <v>0</v>
      </c>
      <c r="BA42" s="975" cm="1">
        <f t="array" ref="BA42">IFERROR(ROUNDUP(INDEX(単価表!$AY$64:$CC$71,MATCH($V42&amp;$W42,INDEX(単価表!$AY$64:$AY$71&amp;単価表!$AZ$64:$AZ$71,),),MATCH(内訳計算!BA$6,単価表!$AY$63:$CC$63,0))*$Y42/25,0),0)</f>
        <v>0</v>
      </c>
      <c r="BB42" s="976" cm="1">
        <f t="array" ref="BB42">IFERROR(INDEX(単価表!$AY$64:$CC$71,MATCH($V42&amp;$W42,INDEX(単価表!$AY$64:$AY$71&amp;単価表!$AZ$64:$AZ$71,),),MATCH(内訳計算!BB$6,単価表!$AY$63:$CC$63,0)),0)</f>
        <v>0</v>
      </c>
      <c r="BC42" s="975" cm="1">
        <f t="array" ref="BC42">IFERROR(ROUNDUP(INDEX(単価表!$AY$64:$CC$71,MATCH($V42&amp;$W42,INDEX(単価表!$AY$64:$AY$71&amp;単価表!$AZ$64:$AZ$71,),),MATCH(内訳計算!BC$6,単価表!$AY$63:$CC$63,0))*$Y42/25,0),0)</f>
        <v>0</v>
      </c>
      <c r="BD42" s="985">
        <f>IFERROR(IF(HLOOKUP($U42,加算と減算!$E$31:$P$32,2,FALSE)="○",IF(OR($U42=2,$U42=3),-(単価表!$AZ$7+単価表!$BA$7*基本情報!$G$7),-(単価表!$AZ$7+単価表!$BA$7*基本情報!$G$7)),0),0)</f>
        <v>0</v>
      </c>
      <c r="BE42" s="986" t="e">
        <f t="shared" si="70"/>
        <v>#VALUE!</v>
      </c>
      <c r="BF42" s="986" t="e">
        <f t="shared" si="71"/>
        <v>#VALUE!</v>
      </c>
      <c r="BG42" s="987" t="e">
        <f t="shared" si="72"/>
        <v>#N/A</v>
      </c>
      <c r="BH42" s="988">
        <f>IFERROR(IF(基本情報!$E$12&lt;&gt;"",-ROUNDDOWN((AA42+AE42+AH42+AL42)*基本情報!$H$12/100,-1),0),0)</f>
        <v>0</v>
      </c>
      <c r="BI42" s="986" t="e">
        <f t="shared" si="73"/>
        <v>#VALUE!</v>
      </c>
      <c r="BJ42" s="986" t="e">
        <f t="shared" si="74"/>
        <v>#VALUE!</v>
      </c>
      <c r="BK42" s="989" t="e">
        <f t="shared" si="75"/>
        <v>#N/A</v>
      </c>
      <c r="BL42" s="1006">
        <f>IFERROR(-ROUNDUP(SUM(AA42,AE42,AH42,AL42,AR42,AT42,AV42,BD42,BH42)*基本情報!$H$14/100,-1),0)</f>
        <v>0</v>
      </c>
      <c r="BM42" s="1007" t="e">
        <f t="shared" si="79"/>
        <v>#VALUE!</v>
      </c>
      <c r="BN42" s="1007" t="e">
        <f t="shared" si="76"/>
        <v>#VALUE!</v>
      </c>
      <c r="BO42" s="1008" t="e">
        <f t="shared" si="77"/>
        <v>#N/A</v>
      </c>
      <c r="BP42" s="701"/>
      <c r="BQ42" s="701"/>
      <c r="BR42" s="701"/>
      <c r="BS42" s="701"/>
      <c r="BT42" s="721"/>
      <c r="BU42" s="1043" t="e">
        <f t="shared" si="80"/>
        <v>#VALUE!</v>
      </c>
      <c r="BV42" s="1044" t="e">
        <f t="shared" si="81"/>
        <v>#VALUE!</v>
      </c>
      <c r="BW42" s="1044" t="e">
        <f t="shared" si="82"/>
        <v>#N/A</v>
      </c>
      <c r="BX42" s="1051">
        <f t="shared" si="83"/>
        <v>0</v>
      </c>
      <c r="BY42" s="1045">
        <f t="shared" si="84"/>
        <v>0</v>
      </c>
      <c r="CB42" s="1626"/>
      <c r="CC42" s="1601"/>
      <c r="CD42" s="1422"/>
      <c r="CE42" s="734" t="s">
        <v>167</v>
      </c>
      <c r="CF42" s="672">
        <f>'4月'!AQ42</f>
        <v>0</v>
      </c>
      <c r="CG42" s="672">
        <f>'5月'!AQ42</f>
        <v>0</v>
      </c>
      <c r="CH42" s="672">
        <f>'6月'!AQ42</f>
        <v>0</v>
      </c>
      <c r="CI42" s="672">
        <f>'7月'!AQ42</f>
        <v>0</v>
      </c>
      <c r="CJ42" s="672">
        <f>'8月'!AQ42</f>
        <v>0</v>
      </c>
      <c r="CK42" s="672">
        <f>'9月'!AQ42</f>
        <v>0</v>
      </c>
      <c r="CL42" s="672">
        <f>'10月'!AQ42</f>
        <v>0</v>
      </c>
      <c r="CM42" s="672">
        <f>'11月'!AQ42</f>
        <v>0</v>
      </c>
      <c r="CN42" s="672">
        <f>'12月'!AQ42</f>
        <v>0</v>
      </c>
      <c r="CO42" s="672">
        <f>'1月'!AQ42</f>
        <v>0</v>
      </c>
      <c r="CP42" s="672">
        <f>'2月'!AQ42</f>
        <v>0</v>
      </c>
      <c r="CQ42" s="756">
        <f>'3月'!AQ48</f>
        <v>0</v>
      </c>
      <c r="CR42" s="759">
        <f t="shared" si="22"/>
        <v>0</v>
      </c>
      <c r="CS42" s="1601"/>
      <c r="CT42" s="1422"/>
      <c r="CU42" s="957" t="s">
        <v>167</v>
      </c>
      <c r="CV42" s="954"/>
      <c r="CW42" s="776"/>
      <c r="CX42" s="954"/>
      <c r="CY42" s="1055" t="e">
        <f>CR42-CZ42</f>
        <v>#DIV/0!</v>
      </c>
      <c r="CZ42" s="1055" t="e">
        <f>ROUNDDOWN(CR42*$CW$3/$CU$1,-1)</f>
        <v>#DIV/0!</v>
      </c>
      <c r="DA42" s="721"/>
      <c r="DB42" s="721"/>
    </row>
    <row r="43" spans="1:106" ht="17.25" thickBot="1">
      <c r="A43" s="1653"/>
      <c r="T43" s="682">
        <v>10</v>
      </c>
      <c r="U43" s="918">
        <f>月途中入退所情報!N17</f>
        <v>0</v>
      </c>
      <c r="V43" s="918">
        <f>月途中入退所情報!R17</f>
        <v>0</v>
      </c>
      <c r="W43" s="918">
        <f>月途中入退所情報!Q17</f>
        <v>0</v>
      </c>
      <c r="X43" s="945">
        <f>月途中入退所情報!S17</f>
        <v>0</v>
      </c>
      <c r="Y43" s="918">
        <f>月途中入退所情報!T17</f>
        <v>0</v>
      </c>
      <c r="Z43" s="840">
        <f t="shared" si="86"/>
        <v>0</v>
      </c>
      <c r="AA43" s="976" cm="1">
        <f t="array" ref="AA43">IFERROR(IF(OR($U43=2,$U43=3),
INDEX(単価表!$AY$64:$CC$71,MATCH($V43&amp;$W43,INDEX(単価表!$AY$64:$AY$71&amp;単価表!$AZ$64:$AZ$71,),),MATCH(内訳計算!AA$6,単価表!$AY$63:$CC$63,0)),
INDEX(単価表!$AY$64:$CC$71,MATCH($V43&amp;$W43,INDEX(単価表!$AY$64:$AY$71&amp;単価表!$AZ$64:$AZ$71,),),MATCH(内訳計算!AA$6,単価表!$AY$63:$CC$63,0))),0)</f>
        <v>0</v>
      </c>
      <c r="AB43" s="977" t="e">
        <f t="shared" si="78"/>
        <v>#VALUE!</v>
      </c>
      <c r="AC43" s="977" cm="1">
        <f t="array" ref="AC43">IFERROR(ROUNDUP(IF(OR($U43=2,$U43=3),
INDEX(単価表!$AY$64:$CC$71,MATCH($V43&amp;$W43,INDEX(単価表!$AY$64:$AY$71&amp;単価表!$AZ$64:$AZ$71,),),MATCH(内訳計算!AC$6,単価表!$AY$63:$CC$63,0)),
INDEX(単価表!$AY$64:$CC$71,MATCH($V43&amp;$W43,INDEX(単価表!$AY$64:$AY$71&amp;単価表!$AZ$64:$AZ$71,),),MATCH(内訳計算!AC$6,単価表!$AY$63:$CC$63,0)))*$Y43/25,0),0)</f>
        <v>0</v>
      </c>
      <c r="AD43" s="975" cm="1">
        <f t="array" ref="AD43">IFERROR(ROUNDUP(IF(OR($U43=2,$U43=3),
INDEX(単価表!$AY$64:$CC$71,MATCH($V43&amp;$W43,INDEX(単価表!$AY$64:$AY$71&amp;単価表!$AZ$64:$AZ$71,),),MATCH(内訳計算!AD$6,単価表!$AY$63:$CC$63,0)),
INDEX(単価表!$AY$64:$CC$71,MATCH($V43&amp;$W43,INDEX(単価表!$AY$64:$AY$71&amp;単価表!$AZ$64:$AZ$71,),),MATCH(内訳計算!AD$6,単価表!$AY$63:$CC$63,0)))*$Y43/25,0),0)</f>
        <v>0</v>
      </c>
      <c r="AE43" s="976" cm="1">
        <f t="array" ref="AE43">IFERROR(IF(OR($U43=2,$U43=3),
INDEX(単価表!$AY$64:$CC$71,MATCH($V43&amp;$W43,INDEX(単価表!$AY$64:$AY$71&amp;単価表!$AZ$64:$AZ$71,),),MATCH(内訳計算!AE$6,単価表!$AY$63:$CC$63,0)),
INDEX(単価表!$AY$64:$CC$71,MATCH($V43&amp;$W43,INDEX(単価表!$AY$64:$AY$71&amp;単価表!$AZ$64:$AZ$71,),),MATCH(内訳計算!AE$6,単価表!$AY$63:$CC$63,0))),0)</f>
        <v>0</v>
      </c>
      <c r="AF43" s="977" cm="1">
        <f t="array" ref="AF43">IFERROR(ROUNDUP(IF(OR($U43=2,$U43=3),
INDEX(単価表!$AY$64:$CC$71,MATCH($V43&amp;$W43,INDEX(単価表!$AY$64:$AY$71&amp;単価表!$AZ$64:$AZ$71,),),MATCH(内訳計算!AF$6,単価表!$AY$63:$CC$63,0)),
INDEX(単価表!$AY$64:$CC$71,MATCH($V43&amp;$W43,INDEX(単価表!$AY$64:$AY$71&amp;単価表!$AZ$64:$AZ$71,),),MATCH(内訳計算!AF$6,単価表!$AY$63:$CC$63,0)))*$Y43/25,0),0)</f>
        <v>0</v>
      </c>
      <c r="AG43" s="975" cm="1">
        <f t="array" ref="AG43">IFERROR(ROUNDUP(IF(OR($U43=2,$U43=3),
INDEX(単価表!$AY$64:$CC$71,MATCH($V43&amp;$W43,INDEX(単価表!$AY$64:$AY$71&amp;単価表!$AZ$64:$AZ$71,),),MATCH(内訳計算!AG$6,単価表!$AY$63:$CC$63,0)),
INDEX(単価表!$AY$64:$CC$71,MATCH($V43&amp;$W43,INDEX(単価表!$AY$64:$AY$71&amp;単価表!$AZ$64:$AZ$71,),),MATCH(内訳計算!AG$6,単価表!$AY$63:$CC$63,0)))*$Y43/25,0),0)</f>
        <v>0</v>
      </c>
      <c r="AH43" s="976" cm="1">
        <f t="array" ref="AH43">IFERROR(IF(HLOOKUP($U43,加算と減算!$E$4:$P$10,2,FALSE)="○",IF(OR($U43=2,$U43=3),
INDEX(単価表!$AY$64:$CC$71,MATCH($V43&amp;$W43,INDEX(単価表!$AY$64:$AY$71&amp;単価表!$AZ$64:$AZ$71,),),MATCH(内訳計算!AH$6,単価表!$AY$63:$CC$63,0)),
INDEX(単価表!$AY$64:$CC$71,MATCH($V43&amp;$W43,INDEX(単価表!$AY$64:$AY$71&amp;単価表!$AZ$64:$AZ$71,),),MATCH(内訳計算!AH$6,単価表!$AY$63:$CC$63,0))),0),0)</f>
        <v>0</v>
      </c>
      <c r="AI43" s="978" cm="1">
        <f t="array" ref="AI43">IFERROR(ROUNDUP(IF(HLOOKUP($U43,加算と減算!$E$4:$P$10,2,FALSE)="○",IF(OR($U43=2,$U43=3),
INDEX(単価表!$AY$64:$CC$71,MATCH($V43&amp;$W43,INDEX(単価表!$AY$64:$AY$71&amp;単価表!$AZ$64:$AZ$71,),),MATCH(内訳計算!AI$6,単価表!$AY$63:$CC$63,0)),
INDEX(単価表!$AY$64:$CC$71,MATCH($V43&amp;$W43,INDEX(単価表!$AY$64:$AY$71&amp;単価表!$AZ$64:$AZ$71,),),MATCH(内訳計算!AI$6,単価表!$AY$63:$CC$63,0))),0)*$Y43/25,0),0)</f>
        <v>0</v>
      </c>
      <c r="AJ43" s="977" cm="1">
        <f t="array" ref="AJ43">IFERROR(ROUNDUP(IF(HLOOKUP($U43,加算と減算!$E$4:$P$10,2,FALSE)="○",IF(OR($U43=2,$U43=3),
INDEX(単価表!$AY$64:$CC$71,MATCH($V43&amp;$W43,INDEX(単価表!$AY$64:$AY$71&amp;単価表!$AZ$64:$AZ$71,),),MATCH(内訳計算!AJ$6,単価表!$AY$63:$CC$63,0)),
INDEX(単価表!$AY$64:$CC$71,MATCH($V43&amp;$W43,INDEX(単価表!$AY$64:$AY$71&amp;単価表!$AZ$64:$AZ$71,),),MATCH(内訳計算!AJ$6,単価表!$AY$63:$CC$63,0))),0)*$Y43/25,0),0)</f>
        <v>0</v>
      </c>
      <c r="AK43" s="975" cm="1">
        <f t="array" ref="AK43">IFERROR(ROUNDUP(IF(HLOOKUP($U43,加算と減算!$E$4:$P$10,2,FALSE)="○",IF(OR($U43=2,$U43=3),
INDEX(単価表!$AY$64:$CC$71,MATCH($V43&amp;$W43,INDEX(単価表!$AY$64:$AY$71&amp;単価表!$AZ$64:$AZ$71,),),MATCH(内訳計算!AK$6,単価表!$AY$63:$CC$63,0)),
INDEX(単価表!$AY$64:$CC$71,MATCH($V43&amp;$W43,INDEX(単価表!$AY$64:$AY$71&amp;単価表!$AZ$64:$AZ$71,),),MATCH(内訳計算!AK$6,単価表!$AY$63:$CC$63,0))),0)*$Y43/25,0),0)</f>
        <v>0</v>
      </c>
      <c r="AL43" s="976" cm="1">
        <f t="array" ref="AL43">IFERROR(IF(HLOOKUP($U43,加算と減算!$E$4:$P$10,4,FALSE)="○",IF(OR($U43=2,$U43=3),
INDEX(単価表!$AY$64:$CC$71,MATCH($V43&amp;$W43,INDEX(単価表!$AY$64:$AY$71&amp;単価表!$AZ$64:$AZ$71,),),MATCH(内訳計算!AL$6,単価表!$AY$63:$CC$63,0)),
INDEX(単価表!$AY$64:$CC$71,MATCH($V43&amp;$W43,INDEX(単価表!$AY$64:$AY$71&amp;単価表!$AZ$64:$AZ$71,),),MATCH(内訳計算!AL$6,単価表!$AY$63:$CC$63,0))),0),0)</f>
        <v>0</v>
      </c>
      <c r="AM43" s="977" cm="1">
        <f t="array" ref="AM43">IFERROR(ROUNDUP(IF(HLOOKUP($U43,加算と減算!$E$4:$P$10,4,FALSE)="○",IF(OR($U43=2,$U43=3),
INDEX(単価表!$AY$64:$CC$71,MATCH($V43&amp;$W43,INDEX(単価表!$AY$64:$AY$71&amp;単価表!$AZ$64:$AZ$71,),),MATCH(内訳計算!AM$6,単価表!$AY$63:$CC$63,0)),
INDEX(単価表!$AY$64:$CC$71,MATCH($V43&amp;$W43,INDEX(単価表!$AY$64:$AY$71&amp;単価表!$AZ$64:$AZ$71,),),MATCH(内訳計算!AM$6,単価表!$AY$63:$CC$63,0))),0)*$Y43/25,0),0)</f>
        <v>0</v>
      </c>
      <c r="AN43" s="977" cm="1">
        <f t="array" ref="AN43">IFERROR(ROUNDUP(IF(HLOOKUP($U43,加算と減算!$E$4:$P$10,4,FALSE)="○",IF(OR($U43=2,$U43=3),
INDEX(単価表!$AY$64:$CC$71,MATCH($V43&amp;$W43,INDEX(単価表!$AY$64:$AY$71&amp;単価表!$AZ$64:$AZ$71,),),MATCH(内訳計算!AN$6,単価表!$AY$63:$CC$63,0)),
INDEX(単価表!$AY$64:$CC$71,MATCH($V43&amp;$W43,INDEX(単価表!$AY$64:$AY$71&amp;単価表!$AZ$64:$AZ$71,),),MATCH(内訳計算!AN$6,単価表!$AY$63:$CC$63,0))),0)*$Y43/25,0),0)</f>
        <v>0</v>
      </c>
      <c r="AO43" s="977" cm="1">
        <f t="array" ref="AO43">IFERROR(ROUNDUP(IF(HLOOKUP($U43,加算と減算!$E$4:$P$10,4,FALSE)="○",IF(OR($U43=2,$U43=3),
INDEX(単価表!$AY$64:$CC$71,MATCH($V43&amp;$W43,INDEX(単価表!$AY$64:$AY$71&amp;単価表!$AZ$64:$AZ$71,),),MATCH(内訳計算!AO$6,単価表!$AY$63:$CC$63,0)),
INDEX(単価表!$AY$64:$CC$71,MATCH($V43&amp;$W43,INDEX(単価表!$AY$64:$AY$71&amp;単価表!$AZ$64:$AZ$71,),),MATCH(内訳計算!AO$6,単価表!$AY$63:$CC$63,0))),0)*$Y43/25,0),0)</f>
        <v>0</v>
      </c>
      <c r="AP43" s="977" cm="1">
        <f t="array" ref="AP43">IFERROR(ROUNDUP(IF(HLOOKUP($U43,加算と減算!$E$4:$P$10,4,FALSE)="○",IF(OR($U43=2,$U43=3),
INDEX(単価表!$AY$64:$CC$71,MATCH($V43&amp;$W43,INDEX(単価表!$AY$64:$AY$71&amp;単価表!$AZ$64:$AZ$71,),),MATCH(内訳計算!AP$6,単価表!$AY$63:$CC$63,0)),
INDEX(単価表!$AY$64:$CC$71,MATCH($V43&amp;$W43,INDEX(単価表!$AY$64:$AY$71&amp;単価表!$AZ$64:$AZ$71,),),MATCH(内訳計算!AP$6,単価表!$AY$63:$CC$63,0))),0)*$Y43/25,0),0)</f>
        <v>0</v>
      </c>
      <c r="AQ43" s="975" cm="1">
        <f t="array" ref="AQ43">IFERROR(ROUNDUP(IF(HLOOKUP($U43,加算と減算!$E$4:$P$10,4,FALSE)="○",IF(OR($U43=2,$U43=3),
INDEX(単価表!$AY$64:$CC$71,MATCH($V43&amp;$W43,INDEX(単価表!$AY$64:$AY$71&amp;単価表!$AZ$64:$AZ$71,),),MATCH(内訳計算!AQ$6,単価表!$AY$63:$CC$63,0)),
INDEX(単価表!$AY$64:$CC$71,MATCH($V43&amp;$W43,INDEX(単価表!$AY$64:$AY$71&amp;単価表!$AZ$64:$AZ$71,),),MATCH(内訳計算!AQ$6,単価表!$AY$63:$CC$63,0))),0)*$Y43/25,0),0)</f>
        <v>0</v>
      </c>
      <c r="AR43" s="976" cm="1">
        <f t="array" ref="AR43">IFERROR(IF(HLOOKUP($U43,加算と減算!$E$4:$P$10,5,FALSE)="○",IF(OR($U43=2,$U43=3),
INDEX(単価表!$AY$64:$CC$71,MATCH($V43&amp;$W43,INDEX(単価表!$AY$64:$AY$71&amp;単価表!$AZ$64:$AZ$71,),),MATCH(内訳計算!AR$6,単価表!$AY$63:$CC$63,0)),
INDEX(単価表!$AY$64:$CC$71,MATCH($V43&amp;$W43,INDEX(単価表!$AY$64:$AY$71&amp;単価表!$AZ$64:$AZ$71,),),MATCH(内訳計算!AR$6,単価表!$AY$63:$CC$63,0))),0),0)</f>
        <v>0</v>
      </c>
      <c r="AS43" s="975" cm="1">
        <f t="array" ref="AS43">IFERROR(ROUNDUP(IF(HLOOKUP($U43,加算と減算!$E$4:$P$10,5,FALSE)="○",IF(OR($U43=2,$U43=3),
INDEX(単価表!$AY$64:$CC$71,MATCH($V43&amp;$W43,INDEX(単価表!$AY$64:$AY$71&amp;単価表!$AZ$64:$AZ$71,),),MATCH(内訳計算!AS$6,単価表!$AY$63:$CC$63,0)),
INDEX(単価表!$AY$64:$CC$71,MATCH($V43&amp;$W43,INDEX(単価表!$AY$64:$AY$71&amp;単価表!$AZ$64:$AZ$71,),),MATCH(内訳計算!AS$6,単価表!$AY$63:$CC$63,0))),0)*$Y43/25,0),0)</f>
        <v>0</v>
      </c>
      <c r="AT43" s="976" cm="1">
        <f t="array" ref="AT43">IFERROR(IF(HLOOKUP($U43,加算と減算!$E$4:$P$10,6,FALSE)="○",IF(OR($U43=2,$U43=3),
INDEX(単価表!$AY$64:$CC$71,MATCH($V43&amp;$W43,INDEX(単価表!$AY$64:$AY$71&amp;単価表!$AZ$64:$AZ$71,),),MATCH(内訳計算!AT$6,単価表!$AY$63:$CC$63,0)),
INDEX(単価表!$AY$64:$CC$71,MATCH($V43&amp;$W43,INDEX(単価表!$AY$64:$AY$71&amp;単価表!$AZ$64:$AZ$71,),),MATCH(内訳計算!AT$6,単価表!$AY$63:$CC$63,0))),0),0)</f>
        <v>0</v>
      </c>
      <c r="AU43" s="975" cm="1">
        <f t="array" ref="AU43">IFERROR(ROUNDUP(IF(HLOOKUP($U43,加算と減算!$E$4:$P$10,6,FALSE)="○",IF(OR($U43=2,$U43=3),
INDEX(単価表!$AY$64:$CC$71,MATCH($V43&amp;$W43,INDEX(単価表!$AY$64:$AY$71&amp;単価表!$AZ$64:$AZ$71,),),MATCH(内訳計算!AU$6,単価表!$AY$63:$CC$63,0)),
INDEX(単価表!$AY$64:$CC$71,MATCH($V43&amp;$W43,INDEX(単価表!$AY$64:$AY$71&amp;単価表!$AZ$64:$AZ$71,),),MATCH(内訳計算!AU$6,単価表!$AY$63:$CC$63,0))),0)*$Y43/25,0),0)</f>
        <v>0</v>
      </c>
      <c r="AV43" s="976" cm="1">
        <f t="array" ref="AV43">IFERROR(IF(HLOOKUP($U43,加算と減算!$E$4:$P$10,7,FALSE)="○",IF(OR($U43=2,$U43=3),
INDEX(単価表!$AY$64:$CC$71,MATCH($V43&amp;$W43,INDEX(単価表!$AY$64:$AY$71&amp;単価表!$AZ$64:$AZ$71,),),MATCH(内訳計算!AV$6,単価表!$AY$63:$CC$63,0)),
INDEX(単価表!$AY$64:$CC$71,MATCH($V43&amp;$W43,INDEX(単価表!$AY$64:$AY$71&amp;単価表!$AZ$64:$AZ$71,),),MATCH(内訳計算!AV$6,単価表!$AY$63:$CC$63,0))),0),0)</f>
        <v>0</v>
      </c>
      <c r="AW43" s="977" cm="1">
        <f t="array" ref="AW43">IFERROR(ROUNDUP(IF(HLOOKUP($U43,加算と減算!$E$4:$P$10,7,FALSE)="○",IF(OR($U43=2,$U43=3),
INDEX(単価表!$AY$64:$CC$71,MATCH($V43&amp;$W43,INDEX(単価表!$AY$64:$AY$71&amp;単価表!$AZ$64:$AZ$71,),),MATCH(内訳計算!AW$6,単価表!$AY$63:$CC$63,0)),
INDEX(単価表!$AY$64:$CC$71,MATCH($V43&amp;$W43,INDEX(単価表!$AY$64:$AY$71&amp;単価表!$AZ$64:$AZ$71,),),MATCH(内訳計算!AW$6,単価表!$AY$63:$CC$63,0))),0)*$Y43/25,0),0)</f>
        <v>0</v>
      </c>
      <c r="AX43" s="977" cm="1">
        <f t="array" ref="AX43">IFERROR(ROUNDUP(IF(HLOOKUP($U43,加算と減算!$E$4:$P$10,7,FALSE)="○",IF(OR($U43=2,$U43=3),
INDEX(単価表!$AY$64:$CC$71,MATCH($V43&amp;$W43,INDEX(単価表!$AY$64:$AY$71&amp;単価表!$AZ$64:$AZ$71,),),MATCH(内訳計算!AX$6,単価表!$AY$63:$CC$63,0)),
INDEX(単価表!$AY$64:$CC$71,MATCH($V43&amp;$W43,INDEX(単価表!$AY$64:$AY$71&amp;単価表!$AZ$64:$AZ$71,),),MATCH(内訳計算!AX$6,単価表!$AY$63:$CC$63,0))),0)*$Y43/25,0),0)</f>
        <v>0</v>
      </c>
      <c r="AY43" s="975" cm="1">
        <f t="array" ref="AY43">IFERROR(ROUNDUP(IF(HLOOKUP($U43,加算と減算!$E$4:$P$10,7,FALSE)="○",IF(OR($U43=2,$U43=3),
INDEX(単価表!$AY$64:$CC$71,MATCH($V43&amp;$W43,INDEX(単価表!$AY$64:$AY$71&amp;単価表!$AZ$64:$AZ$71,),),MATCH(内訳計算!AY$6,単価表!$AY$63:$CC$63,0)),
INDEX(単価表!$AY$64:$CC$71,MATCH($V43&amp;$W43,INDEX(単価表!$AY$64:$AY$71&amp;単価表!$AZ$64:$AZ$71,),),MATCH(内訳計算!AY$6,単価表!$AY$63:$CC$63,0))),0)*$Y43/25,0),0)</f>
        <v>0</v>
      </c>
      <c r="AZ43" s="976" cm="1">
        <f t="array" ref="AZ43">IFERROR(IF(X43="○",INDEX(単価表!$AY$64:$CC$71,MATCH($V43&amp;$W43,INDEX(単価表!$AY$64:$AY$71&amp;単価表!$AZ$64:$AZ$71,),),MATCH(内訳計算!AZ$6,単価表!$AY$63:$CC$63,0)),0),0)</f>
        <v>0</v>
      </c>
      <c r="BA43" s="975" cm="1">
        <f t="array" ref="BA43">IFERROR(ROUNDUP(INDEX(単価表!$AY$64:$CC$71,MATCH($V43&amp;$W43,INDEX(単価表!$AY$64:$AY$71&amp;単価表!$AZ$64:$AZ$71,),),MATCH(内訳計算!BA$6,単価表!$AY$63:$CC$63,0))*$Y43/25,0),0)</f>
        <v>0</v>
      </c>
      <c r="BB43" s="976" cm="1">
        <f t="array" ref="BB43">IFERROR(INDEX(単価表!$AY$64:$CC$71,MATCH($V43&amp;$W43,INDEX(単価表!$AY$64:$AY$71&amp;単価表!$AZ$64:$AZ$71,),),MATCH(内訳計算!BB$6,単価表!$AY$63:$CC$63,0)),0)</f>
        <v>0</v>
      </c>
      <c r="BC43" s="975" cm="1">
        <f t="array" ref="BC43">IFERROR(ROUNDUP(INDEX(単価表!$AY$64:$CC$71,MATCH($V43&amp;$W43,INDEX(単価表!$AY$64:$AY$71&amp;単価表!$AZ$64:$AZ$71,),),MATCH(内訳計算!BC$6,単価表!$AY$63:$CC$63,0))*$Y43/25,0),0)</f>
        <v>0</v>
      </c>
      <c r="BD43" s="985">
        <f>IFERROR(IF(HLOOKUP($U43,加算と減算!$E$31:$P$32,2,FALSE)="○",IF(OR($U43=2,$U43=3),-(単価表!$AZ$7+単価表!$BA$7*基本情報!$G$7),-(単価表!$AZ$7+単価表!$BA$7*基本情報!$G$7)),0),0)</f>
        <v>0</v>
      </c>
      <c r="BE43" s="986" t="e">
        <f t="shared" si="70"/>
        <v>#VALUE!</v>
      </c>
      <c r="BF43" s="986" t="e">
        <f t="shared" si="71"/>
        <v>#VALUE!</v>
      </c>
      <c r="BG43" s="987" t="e">
        <f t="shared" si="72"/>
        <v>#N/A</v>
      </c>
      <c r="BH43" s="988">
        <f>IFERROR(IF(基本情報!$E$12&lt;&gt;"",-ROUNDDOWN((AA43+AE43+AH43+AL43)*基本情報!$H$12/100,-1),0),0)</f>
        <v>0</v>
      </c>
      <c r="BI43" s="986" t="e">
        <f t="shared" si="73"/>
        <v>#VALUE!</v>
      </c>
      <c r="BJ43" s="986" t="e">
        <f t="shared" si="74"/>
        <v>#VALUE!</v>
      </c>
      <c r="BK43" s="989" t="e">
        <f t="shared" si="75"/>
        <v>#N/A</v>
      </c>
      <c r="BL43" s="1006">
        <f>IFERROR(-ROUNDUP(SUM(AA43,AE43,AH43,AL43,AR43,AT43,AV43,BD43,BH43)*基本情報!$H$14/100,-1),0)</f>
        <v>0</v>
      </c>
      <c r="BM43" s="1007" t="e">
        <f t="shared" si="79"/>
        <v>#VALUE!</v>
      </c>
      <c r="BN43" s="1007" t="e">
        <f t="shared" si="76"/>
        <v>#VALUE!</v>
      </c>
      <c r="BO43" s="1008" t="e">
        <f t="shared" si="77"/>
        <v>#N/A</v>
      </c>
      <c r="BP43" s="701"/>
      <c r="BQ43" s="701"/>
      <c r="BR43" s="701"/>
      <c r="BS43" s="701"/>
      <c r="BT43" s="721"/>
      <c r="BU43" s="1043" t="e">
        <f t="shared" si="80"/>
        <v>#VALUE!</v>
      </c>
      <c r="BV43" s="1044" t="e">
        <f t="shared" si="81"/>
        <v>#VALUE!</v>
      </c>
      <c r="BW43" s="1044" t="e">
        <f t="shared" si="82"/>
        <v>#N/A</v>
      </c>
      <c r="BX43" s="1051">
        <f t="shared" si="83"/>
        <v>0</v>
      </c>
      <c r="BY43" s="1046">
        <f t="shared" si="84"/>
        <v>0</v>
      </c>
      <c r="CB43" s="1626"/>
      <c r="CC43" s="1599" t="s">
        <v>204</v>
      </c>
      <c r="CD43" s="720" t="s">
        <v>18</v>
      </c>
      <c r="CE43" s="740" t="s">
        <v>559</v>
      </c>
      <c r="CF43" s="672">
        <f>'4月'!AQ48</f>
        <v>0</v>
      </c>
      <c r="CG43" s="672">
        <f>'5月'!AQ48</f>
        <v>0</v>
      </c>
      <c r="CH43" s="672">
        <f>'6月'!AQ48</f>
        <v>0</v>
      </c>
      <c r="CI43" s="672">
        <f>'7月'!AQ48</f>
        <v>0</v>
      </c>
      <c r="CJ43" s="672">
        <f>'8月'!AQ48</f>
        <v>0</v>
      </c>
      <c r="CK43" s="672">
        <f>'9月'!AQ48</f>
        <v>0</v>
      </c>
      <c r="CL43" s="672">
        <f>'10月'!AQ48</f>
        <v>0</v>
      </c>
      <c r="CM43" s="672">
        <f>'11月'!AQ48</f>
        <v>0</v>
      </c>
      <c r="CN43" s="672">
        <f>'12月'!AQ48</f>
        <v>0</v>
      </c>
      <c r="CO43" s="672">
        <f>'1月'!AQ48</f>
        <v>0</v>
      </c>
      <c r="CP43" s="672">
        <f>'2月'!AQ48</f>
        <v>0</v>
      </c>
      <c r="CQ43" s="756">
        <f>'3月'!AQ54</f>
        <v>0</v>
      </c>
      <c r="CR43" s="759">
        <f t="shared" si="22"/>
        <v>0</v>
      </c>
      <c r="CS43" s="1599" t="s">
        <v>204</v>
      </c>
      <c r="CT43" s="720" t="s">
        <v>18</v>
      </c>
      <c r="CU43" s="959" t="s">
        <v>559</v>
      </c>
      <c r="CV43" s="771" t="e">
        <f>CR43-CY43-CZ43</f>
        <v>#DIV/0!</v>
      </c>
      <c r="CW43" s="776"/>
      <c r="CX43" s="954"/>
      <c r="CY43" s="1055" t="e">
        <f>SUMPRODUCT($CF$2:$CQ$2,処遇Ⅰ計算用!$AA$17:$AL$17)</f>
        <v>#DIV/0!</v>
      </c>
      <c r="CZ43" s="1055" t="e">
        <f>SUMPRODUCT($CF$2:$CQ$2,処遇Ⅰ計算用!$AA$27:$AL$27)</f>
        <v>#DIV/0!</v>
      </c>
      <c r="DA43" s="721"/>
      <c r="DB43" s="721"/>
    </row>
    <row r="44" spans="1:106" ht="16.5" customHeight="1">
      <c r="A44" s="1653"/>
      <c r="B44" s="1539" t="s">
        <v>553</v>
      </c>
      <c r="C44" s="1527"/>
      <c r="D44" s="1528"/>
      <c r="E44" s="697" t="s">
        <v>535</v>
      </c>
      <c r="F44" s="697" t="s">
        <v>71</v>
      </c>
      <c r="G44" s="697" t="s">
        <v>536</v>
      </c>
      <c r="H44" s="697" t="s">
        <v>537</v>
      </c>
      <c r="I44" s="697" t="s">
        <v>538</v>
      </c>
      <c r="J44" s="703" t="s">
        <v>539</v>
      </c>
      <c r="K44" s="704" t="s">
        <v>540</v>
      </c>
      <c r="L44" s="705" t="s">
        <v>541</v>
      </c>
      <c r="T44" s="682">
        <v>11</v>
      </c>
      <c r="U44" s="918">
        <f>月途中入退所情報!N18</f>
        <v>0</v>
      </c>
      <c r="V44" s="918">
        <f>月途中入退所情報!R18</f>
        <v>0</v>
      </c>
      <c r="W44" s="918">
        <f>月途中入退所情報!Q18</f>
        <v>0</v>
      </c>
      <c r="X44" s="945">
        <f>月途中入退所情報!S18</f>
        <v>0</v>
      </c>
      <c r="Y44" s="918">
        <f>月途中入退所情報!T18</f>
        <v>0</v>
      </c>
      <c r="Z44" s="840">
        <f t="shared" si="86"/>
        <v>0</v>
      </c>
      <c r="AA44" s="976" cm="1">
        <f t="array" ref="AA44">IFERROR(IF(OR($U44=2,$U44=3),
INDEX(単価表!$AY$64:$CC$71,MATCH($V44&amp;$W44,INDEX(単価表!$AY$64:$AY$71&amp;単価表!$AZ$64:$AZ$71,),),MATCH(内訳計算!AA$6,単価表!$AY$63:$CC$63,0)),
INDEX(単価表!$AY$64:$CC$71,MATCH($V44&amp;$W44,INDEX(単価表!$AY$64:$AY$71&amp;単価表!$AZ$64:$AZ$71,),),MATCH(内訳計算!AA$6,単価表!$AY$63:$CC$63,0))),0)</f>
        <v>0</v>
      </c>
      <c r="AB44" s="977" t="e">
        <f t="shared" si="78"/>
        <v>#VALUE!</v>
      </c>
      <c r="AC44" s="977" cm="1">
        <f t="array" ref="AC44">IFERROR(ROUNDUP(IF(OR($U44=2,$U44=3),
INDEX(単価表!$AY$64:$CC$71,MATCH($V44&amp;$W44,INDEX(単価表!$AY$64:$AY$71&amp;単価表!$AZ$64:$AZ$71,),),MATCH(内訳計算!AC$6,単価表!$AY$63:$CC$63,0)),
INDEX(単価表!$AY$64:$CC$71,MATCH($V44&amp;$W44,INDEX(単価表!$AY$64:$AY$71&amp;単価表!$AZ$64:$AZ$71,),),MATCH(内訳計算!AC$6,単価表!$AY$63:$CC$63,0)))*$Y44/25,0),0)</f>
        <v>0</v>
      </c>
      <c r="AD44" s="975" cm="1">
        <f t="array" ref="AD44">IFERROR(ROUNDUP(IF(OR($U44=2,$U44=3),
INDEX(単価表!$AY$64:$CC$71,MATCH($V44&amp;$W44,INDEX(単価表!$AY$64:$AY$71&amp;単価表!$AZ$64:$AZ$71,),),MATCH(内訳計算!AD$6,単価表!$AY$63:$CC$63,0)),
INDEX(単価表!$AY$64:$CC$71,MATCH($V44&amp;$W44,INDEX(単価表!$AY$64:$AY$71&amp;単価表!$AZ$64:$AZ$71,),),MATCH(内訳計算!AD$6,単価表!$AY$63:$CC$63,0)))*$Y44/25,0),0)</f>
        <v>0</v>
      </c>
      <c r="AE44" s="976" cm="1">
        <f t="array" ref="AE44">IFERROR(IF(OR($U44=2,$U44=3),
INDEX(単価表!$AY$64:$CC$71,MATCH($V44&amp;$W44,INDEX(単価表!$AY$64:$AY$71&amp;単価表!$AZ$64:$AZ$71,),),MATCH(内訳計算!AE$6,単価表!$AY$63:$CC$63,0)),
INDEX(単価表!$AY$64:$CC$71,MATCH($V44&amp;$W44,INDEX(単価表!$AY$64:$AY$71&amp;単価表!$AZ$64:$AZ$71,),),MATCH(内訳計算!AE$6,単価表!$AY$63:$CC$63,0))),0)</f>
        <v>0</v>
      </c>
      <c r="AF44" s="977" cm="1">
        <f t="array" ref="AF44">IFERROR(ROUNDUP(IF(OR($U44=2,$U44=3),
INDEX(単価表!$AY$64:$CC$71,MATCH($V44&amp;$W44,INDEX(単価表!$AY$64:$AY$71&amp;単価表!$AZ$64:$AZ$71,),),MATCH(内訳計算!AF$6,単価表!$AY$63:$CC$63,0)),
INDEX(単価表!$AY$64:$CC$71,MATCH($V44&amp;$W44,INDEX(単価表!$AY$64:$AY$71&amp;単価表!$AZ$64:$AZ$71,),),MATCH(内訳計算!AF$6,単価表!$AY$63:$CC$63,0)))*$Y44/25,0),0)</f>
        <v>0</v>
      </c>
      <c r="AG44" s="975" cm="1">
        <f t="array" ref="AG44">IFERROR(ROUNDUP(IF(OR($U44=2,$U44=3),
INDEX(単価表!$AY$64:$CC$71,MATCH($V44&amp;$W44,INDEX(単価表!$AY$64:$AY$71&amp;単価表!$AZ$64:$AZ$71,),),MATCH(内訳計算!AG$6,単価表!$AY$63:$CC$63,0)),
INDEX(単価表!$AY$64:$CC$71,MATCH($V44&amp;$W44,INDEX(単価表!$AY$64:$AY$71&amp;単価表!$AZ$64:$AZ$71,),),MATCH(内訳計算!AG$6,単価表!$AY$63:$CC$63,0)))*$Y44/25,0),0)</f>
        <v>0</v>
      </c>
      <c r="AH44" s="976" cm="1">
        <f t="array" ref="AH44">IFERROR(IF(HLOOKUP($U44,加算と減算!$E$4:$P$10,2,FALSE)="○",IF(OR($U44=2,$U44=3),
INDEX(単価表!$AY$64:$CC$71,MATCH($V44&amp;$W44,INDEX(単価表!$AY$64:$AY$71&amp;単価表!$AZ$64:$AZ$71,),),MATCH(内訳計算!AH$6,単価表!$AY$63:$CC$63,0)),
INDEX(単価表!$AY$64:$CC$71,MATCH($V44&amp;$W44,INDEX(単価表!$AY$64:$AY$71&amp;単価表!$AZ$64:$AZ$71,),),MATCH(内訳計算!AH$6,単価表!$AY$63:$CC$63,0))),0),0)</f>
        <v>0</v>
      </c>
      <c r="AI44" s="978" cm="1">
        <f t="array" ref="AI44">IFERROR(ROUNDUP(IF(HLOOKUP($U44,加算と減算!$E$4:$P$10,2,FALSE)="○",IF(OR($U44=2,$U44=3),
INDEX(単価表!$AY$64:$CC$71,MATCH($V44&amp;$W44,INDEX(単価表!$AY$64:$AY$71&amp;単価表!$AZ$64:$AZ$71,),),MATCH(内訳計算!AI$6,単価表!$AY$63:$CC$63,0)),
INDEX(単価表!$AY$64:$CC$71,MATCH($V44&amp;$W44,INDEX(単価表!$AY$64:$AY$71&amp;単価表!$AZ$64:$AZ$71,),),MATCH(内訳計算!AI$6,単価表!$AY$63:$CC$63,0))),0)*$Y44/25,0),0)</f>
        <v>0</v>
      </c>
      <c r="AJ44" s="977" cm="1">
        <f t="array" ref="AJ44">IFERROR(ROUNDUP(IF(HLOOKUP($U44,加算と減算!$E$4:$P$10,2,FALSE)="○",IF(OR($U44=2,$U44=3),
INDEX(単価表!$AY$64:$CC$71,MATCH($V44&amp;$W44,INDEX(単価表!$AY$64:$AY$71&amp;単価表!$AZ$64:$AZ$71,),),MATCH(内訳計算!AJ$6,単価表!$AY$63:$CC$63,0)),
INDEX(単価表!$AY$64:$CC$71,MATCH($V44&amp;$W44,INDEX(単価表!$AY$64:$AY$71&amp;単価表!$AZ$64:$AZ$71,),),MATCH(内訳計算!AJ$6,単価表!$AY$63:$CC$63,0))),0)*$Y44/25,0),0)</f>
        <v>0</v>
      </c>
      <c r="AK44" s="975" cm="1">
        <f t="array" ref="AK44">IFERROR(ROUNDUP(IF(HLOOKUP($U44,加算と減算!$E$4:$P$10,2,FALSE)="○",IF(OR($U44=2,$U44=3),
INDEX(単価表!$AY$64:$CC$71,MATCH($V44&amp;$W44,INDEX(単価表!$AY$64:$AY$71&amp;単価表!$AZ$64:$AZ$71,),),MATCH(内訳計算!AK$6,単価表!$AY$63:$CC$63,0)),
INDEX(単価表!$AY$64:$CC$71,MATCH($V44&amp;$W44,INDEX(単価表!$AY$64:$AY$71&amp;単価表!$AZ$64:$AZ$71,),),MATCH(内訳計算!AK$6,単価表!$AY$63:$CC$63,0))),0)*$Y44/25,0),0)</f>
        <v>0</v>
      </c>
      <c r="AL44" s="976" cm="1">
        <f t="array" ref="AL44">IFERROR(IF(HLOOKUP($U44,加算と減算!$E$4:$P$10,4,FALSE)="○",IF(OR($U44=2,$U44=3),
INDEX(単価表!$AY$64:$CC$71,MATCH($V44&amp;$W44,INDEX(単価表!$AY$64:$AY$71&amp;単価表!$AZ$64:$AZ$71,),),MATCH(内訳計算!AL$6,単価表!$AY$63:$CC$63,0)),
INDEX(単価表!$AY$64:$CC$71,MATCH($V44&amp;$W44,INDEX(単価表!$AY$64:$AY$71&amp;単価表!$AZ$64:$AZ$71,),),MATCH(内訳計算!AL$6,単価表!$AY$63:$CC$63,0))),0),0)</f>
        <v>0</v>
      </c>
      <c r="AM44" s="977" cm="1">
        <f t="array" ref="AM44">IFERROR(ROUNDUP(IF(HLOOKUP($U44,加算と減算!$E$4:$P$10,4,FALSE)="○",IF(OR($U44=2,$U44=3),
INDEX(単価表!$AY$64:$CC$71,MATCH($V44&amp;$W44,INDEX(単価表!$AY$64:$AY$71&amp;単価表!$AZ$64:$AZ$71,),),MATCH(内訳計算!AM$6,単価表!$AY$63:$CC$63,0)),
INDEX(単価表!$AY$64:$CC$71,MATCH($V44&amp;$W44,INDEX(単価表!$AY$64:$AY$71&amp;単価表!$AZ$64:$AZ$71,),),MATCH(内訳計算!AM$6,単価表!$AY$63:$CC$63,0))),0)*$Y44/25,0),0)</f>
        <v>0</v>
      </c>
      <c r="AN44" s="977" cm="1">
        <f t="array" ref="AN44">IFERROR(ROUNDUP(IF(HLOOKUP($U44,加算と減算!$E$4:$P$10,4,FALSE)="○",IF(OR($U44=2,$U44=3),
INDEX(単価表!$AY$64:$CC$71,MATCH($V44&amp;$W44,INDEX(単価表!$AY$64:$AY$71&amp;単価表!$AZ$64:$AZ$71,),),MATCH(内訳計算!AN$6,単価表!$AY$63:$CC$63,0)),
INDEX(単価表!$AY$64:$CC$71,MATCH($V44&amp;$W44,INDEX(単価表!$AY$64:$AY$71&amp;単価表!$AZ$64:$AZ$71,),),MATCH(内訳計算!AN$6,単価表!$AY$63:$CC$63,0))),0)*$Y44/25,0),0)</f>
        <v>0</v>
      </c>
      <c r="AO44" s="977" cm="1">
        <f t="array" ref="AO44">IFERROR(ROUNDUP(IF(HLOOKUP($U44,加算と減算!$E$4:$P$10,4,FALSE)="○",IF(OR($U44=2,$U44=3),
INDEX(単価表!$AY$64:$CC$71,MATCH($V44&amp;$W44,INDEX(単価表!$AY$64:$AY$71&amp;単価表!$AZ$64:$AZ$71,),),MATCH(内訳計算!AO$6,単価表!$AY$63:$CC$63,0)),
INDEX(単価表!$AY$64:$CC$71,MATCH($V44&amp;$W44,INDEX(単価表!$AY$64:$AY$71&amp;単価表!$AZ$64:$AZ$71,),),MATCH(内訳計算!AO$6,単価表!$AY$63:$CC$63,0))),0)*$Y44/25,0),0)</f>
        <v>0</v>
      </c>
      <c r="AP44" s="977" cm="1">
        <f t="array" ref="AP44">IFERROR(ROUNDUP(IF(HLOOKUP($U44,加算と減算!$E$4:$P$10,4,FALSE)="○",IF(OR($U44=2,$U44=3),
INDEX(単価表!$AY$64:$CC$71,MATCH($V44&amp;$W44,INDEX(単価表!$AY$64:$AY$71&amp;単価表!$AZ$64:$AZ$71,),),MATCH(内訳計算!AP$6,単価表!$AY$63:$CC$63,0)),
INDEX(単価表!$AY$64:$CC$71,MATCH($V44&amp;$W44,INDEX(単価表!$AY$64:$AY$71&amp;単価表!$AZ$64:$AZ$71,),),MATCH(内訳計算!AP$6,単価表!$AY$63:$CC$63,0))),0)*$Y44/25,0),0)</f>
        <v>0</v>
      </c>
      <c r="AQ44" s="975" cm="1">
        <f t="array" ref="AQ44">IFERROR(ROUNDUP(IF(HLOOKUP($U44,加算と減算!$E$4:$P$10,4,FALSE)="○",IF(OR($U44=2,$U44=3),
INDEX(単価表!$AY$64:$CC$71,MATCH($V44&amp;$W44,INDEX(単価表!$AY$64:$AY$71&amp;単価表!$AZ$64:$AZ$71,),),MATCH(内訳計算!AQ$6,単価表!$AY$63:$CC$63,0)),
INDEX(単価表!$AY$64:$CC$71,MATCH($V44&amp;$W44,INDEX(単価表!$AY$64:$AY$71&amp;単価表!$AZ$64:$AZ$71,),),MATCH(内訳計算!AQ$6,単価表!$AY$63:$CC$63,0))),0)*$Y44/25,0),0)</f>
        <v>0</v>
      </c>
      <c r="AR44" s="976" cm="1">
        <f t="array" ref="AR44">IFERROR(IF(HLOOKUP($U44,加算と減算!$E$4:$P$10,5,FALSE)="○",IF(OR($U44=2,$U44=3),
INDEX(単価表!$AY$64:$CC$71,MATCH($V44&amp;$W44,INDEX(単価表!$AY$64:$AY$71&amp;単価表!$AZ$64:$AZ$71,),),MATCH(内訳計算!AR$6,単価表!$AY$63:$CC$63,0)),
INDEX(単価表!$AY$64:$CC$71,MATCH($V44&amp;$W44,INDEX(単価表!$AY$64:$AY$71&amp;単価表!$AZ$64:$AZ$71,),),MATCH(内訳計算!AR$6,単価表!$AY$63:$CC$63,0))),0),0)</f>
        <v>0</v>
      </c>
      <c r="AS44" s="975" cm="1">
        <f t="array" ref="AS44">IFERROR(ROUNDUP(IF(HLOOKUP($U44,加算と減算!$E$4:$P$10,5,FALSE)="○",IF(OR($U44=2,$U44=3),
INDEX(単価表!$AY$64:$CC$71,MATCH($V44&amp;$W44,INDEX(単価表!$AY$64:$AY$71&amp;単価表!$AZ$64:$AZ$71,),),MATCH(内訳計算!AS$6,単価表!$AY$63:$CC$63,0)),
INDEX(単価表!$AY$64:$CC$71,MATCH($V44&amp;$W44,INDEX(単価表!$AY$64:$AY$71&amp;単価表!$AZ$64:$AZ$71,),),MATCH(内訳計算!AS$6,単価表!$AY$63:$CC$63,0))),0)*$Y44/25,0),0)</f>
        <v>0</v>
      </c>
      <c r="AT44" s="976" cm="1">
        <f t="array" ref="AT44">IFERROR(IF(HLOOKUP($U44,加算と減算!$E$4:$P$10,6,FALSE)="○",IF(OR($U44=2,$U44=3),
INDEX(単価表!$AY$64:$CC$71,MATCH($V44&amp;$W44,INDEX(単価表!$AY$64:$AY$71&amp;単価表!$AZ$64:$AZ$71,),),MATCH(内訳計算!AT$6,単価表!$AY$63:$CC$63,0)),
INDEX(単価表!$AY$64:$CC$71,MATCH($V44&amp;$W44,INDEX(単価表!$AY$64:$AY$71&amp;単価表!$AZ$64:$AZ$71,),),MATCH(内訳計算!AT$6,単価表!$AY$63:$CC$63,0))),0),0)</f>
        <v>0</v>
      </c>
      <c r="AU44" s="975" cm="1">
        <f t="array" ref="AU44">IFERROR(ROUNDUP(IF(HLOOKUP($U44,加算と減算!$E$4:$P$10,6,FALSE)="○",IF(OR($U44=2,$U44=3),
INDEX(単価表!$AY$64:$CC$71,MATCH($V44&amp;$W44,INDEX(単価表!$AY$64:$AY$71&amp;単価表!$AZ$64:$AZ$71,),),MATCH(内訳計算!AU$6,単価表!$AY$63:$CC$63,0)),
INDEX(単価表!$AY$64:$CC$71,MATCH($V44&amp;$W44,INDEX(単価表!$AY$64:$AY$71&amp;単価表!$AZ$64:$AZ$71,),),MATCH(内訳計算!AU$6,単価表!$AY$63:$CC$63,0))),0)*$Y44/25,0),0)</f>
        <v>0</v>
      </c>
      <c r="AV44" s="976" cm="1">
        <f t="array" ref="AV44">IFERROR(IF(HLOOKUP($U44,加算と減算!$E$4:$P$10,7,FALSE)="○",IF(OR($U44=2,$U44=3),
INDEX(単価表!$AY$64:$CC$71,MATCH($V44&amp;$W44,INDEX(単価表!$AY$64:$AY$71&amp;単価表!$AZ$64:$AZ$71,),),MATCH(内訳計算!AV$6,単価表!$AY$63:$CC$63,0)),
INDEX(単価表!$AY$64:$CC$71,MATCH($V44&amp;$W44,INDEX(単価表!$AY$64:$AY$71&amp;単価表!$AZ$64:$AZ$71,),),MATCH(内訳計算!AV$6,単価表!$AY$63:$CC$63,0))),0),0)</f>
        <v>0</v>
      </c>
      <c r="AW44" s="977" cm="1">
        <f t="array" ref="AW44">IFERROR(ROUNDUP(IF(HLOOKUP($U44,加算と減算!$E$4:$P$10,7,FALSE)="○",IF(OR($U44=2,$U44=3),
INDEX(単価表!$AY$64:$CC$71,MATCH($V44&amp;$W44,INDEX(単価表!$AY$64:$AY$71&amp;単価表!$AZ$64:$AZ$71,),),MATCH(内訳計算!AW$6,単価表!$AY$63:$CC$63,0)),
INDEX(単価表!$AY$64:$CC$71,MATCH($V44&amp;$W44,INDEX(単価表!$AY$64:$AY$71&amp;単価表!$AZ$64:$AZ$71,),),MATCH(内訳計算!AW$6,単価表!$AY$63:$CC$63,0))),0)*$Y44/25,0),0)</f>
        <v>0</v>
      </c>
      <c r="AX44" s="977" cm="1">
        <f t="array" ref="AX44">IFERROR(ROUNDUP(IF(HLOOKUP($U44,加算と減算!$E$4:$P$10,7,FALSE)="○",IF(OR($U44=2,$U44=3),
INDEX(単価表!$AY$64:$CC$71,MATCH($V44&amp;$W44,INDEX(単価表!$AY$64:$AY$71&amp;単価表!$AZ$64:$AZ$71,),),MATCH(内訳計算!AX$6,単価表!$AY$63:$CC$63,0)),
INDEX(単価表!$AY$64:$CC$71,MATCH($V44&amp;$W44,INDEX(単価表!$AY$64:$AY$71&amp;単価表!$AZ$64:$AZ$71,),),MATCH(内訳計算!AX$6,単価表!$AY$63:$CC$63,0))),0)*$Y44/25,0),0)</f>
        <v>0</v>
      </c>
      <c r="AY44" s="975" cm="1">
        <f t="array" ref="AY44">IFERROR(ROUNDUP(IF(HLOOKUP($U44,加算と減算!$E$4:$P$10,7,FALSE)="○",IF(OR($U44=2,$U44=3),
INDEX(単価表!$AY$64:$CC$71,MATCH($V44&amp;$W44,INDEX(単価表!$AY$64:$AY$71&amp;単価表!$AZ$64:$AZ$71,),),MATCH(内訳計算!AY$6,単価表!$AY$63:$CC$63,0)),
INDEX(単価表!$AY$64:$CC$71,MATCH($V44&amp;$W44,INDEX(単価表!$AY$64:$AY$71&amp;単価表!$AZ$64:$AZ$71,),),MATCH(内訳計算!AY$6,単価表!$AY$63:$CC$63,0))),0)*$Y44/25,0),0)</f>
        <v>0</v>
      </c>
      <c r="AZ44" s="976" cm="1">
        <f t="array" ref="AZ44">IFERROR(IF(X44="○",INDEX(単価表!$AY$64:$CC$71,MATCH($V44&amp;$W44,INDEX(単価表!$AY$64:$AY$71&amp;単価表!$AZ$64:$AZ$71,),),MATCH(内訳計算!AZ$6,単価表!$AY$63:$CC$63,0)),0),0)</f>
        <v>0</v>
      </c>
      <c r="BA44" s="975" cm="1">
        <f t="array" ref="BA44">IFERROR(ROUNDUP(INDEX(単価表!$AY$64:$CC$71,MATCH($V44&amp;$W44,INDEX(単価表!$AY$64:$AY$71&amp;単価表!$AZ$64:$AZ$71,),),MATCH(内訳計算!BA$6,単価表!$AY$63:$CC$63,0))*$Y44/25,0),0)</f>
        <v>0</v>
      </c>
      <c r="BB44" s="976" cm="1">
        <f t="array" ref="BB44">IFERROR(INDEX(単価表!$AY$64:$CC$71,MATCH($V44&amp;$W44,INDEX(単価表!$AY$64:$AY$71&amp;単価表!$AZ$64:$AZ$71,),),MATCH(内訳計算!BB$6,単価表!$AY$63:$CC$63,0)),0)</f>
        <v>0</v>
      </c>
      <c r="BC44" s="975" cm="1">
        <f t="array" ref="BC44">IFERROR(ROUNDUP(INDEX(単価表!$AY$64:$CC$71,MATCH($V44&amp;$W44,INDEX(単価表!$AY$64:$AY$71&amp;単価表!$AZ$64:$AZ$71,),),MATCH(内訳計算!BC$6,単価表!$AY$63:$CC$63,0))*$Y44/25,0),0)</f>
        <v>0</v>
      </c>
      <c r="BD44" s="985">
        <f>IFERROR(IF(HLOOKUP($U44,加算と減算!$E$31:$P$32,2,FALSE)="○",IF(OR($U44=2,$U44=3),-(単価表!$AZ$7+単価表!$BA$7*基本情報!$G$7),-(単価表!$AZ$7+単価表!$BA$7*基本情報!$G$7)),0),0)</f>
        <v>0</v>
      </c>
      <c r="BE44" s="986" t="e">
        <f t="shared" si="70"/>
        <v>#VALUE!</v>
      </c>
      <c r="BF44" s="986" t="e">
        <f t="shared" si="71"/>
        <v>#VALUE!</v>
      </c>
      <c r="BG44" s="987" t="e">
        <f t="shared" si="72"/>
        <v>#N/A</v>
      </c>
      <c r="BH44" s="988">
        <f>IFERROR(IF(基本情報!$E$12&lt;&gt;"",-ROUNDDOWN((AA44+AE44+AH44+AL44)*基本情報!$H$12/100,-1),0),0)</f>
        <v>0</v>
      </c>
      <c r="BI44" s="986" t="e">
        <f t="shared" si="73"/>
        <v>#VALUE!</v>
      </c>
      <c r="BJ44" s="986" t="e">
        <f t="shared" si="74"/>
        <v>#VALUE!</v>
      </c>
      <c r="BK44" s="989" t="e">
        <f t="shared" si="75"/>
        <v>#N/A</v>
      </c>
      <c r="BL44" s="1009">
        <f>IFERROR(-ROUNDUP(SUM(AA44,AE44,AH44,AL44,AR44,AT44,AV44,BD44,BH44)*基本情報!$H$14/100,-1),0)</f>
        <v>0</v>
      </c>
      <c r="BM44" s="1010" t="e">
        <f t="shared" si="79"/>
        <v>#VALUE!</v>
      </c>
      <c r="BN44" s="1010" t="e">
        <f t="shared" si="76"/>
        <v>#VALUE!</v>
      </c>
      <c r="BO44" s="1011" t="e">
        <f t="shared" si="77"/>
        <v>#N/A</v>
      </c>
      <c r="BP44" s="784"/>
      <c r="BQ44" s="784"/>
      <c r="BR44" s="784"/>
      <c r="BS44" s="784"/>
      <c r="BT44" s="721"/>
      <c r="BU44" s="1043" t="e">
        <f t="shared" si="80"/>
        <v>#VALUE!</v>
      </c>
      <c r="BV44" s="1044" t="e">
        <f t="shared" si="81"/>
        <v>#VALUE!</v>
      </c>
      <c r="BW44" s="1044" t="e">
        <f t="shared" si="82"/>
        <v>#N/A</v>
      </c>
      <c r="BX44" s="1051">
        <f t="shared" si="83"/>
        <v>0</v>
      </c>
      <c r="BY44" s="1045">
        <f t="shared" si="84"/>
        <v>0</v>
      </c>
      <c r="CB44" s="1626"/>
      <c r="CC44" s="1600"/>
      <c r="CD44" s="720" t="s">
        <v>62</v>
      </c>
      <c r="CE44" s="740" t="s">
        <v>559</v>
      </c>
      <c r="CF44" s="672">
        <f>'4月'!AQ49</f>
        <v>0</v>
      </c>
      <c r="CG44" s="672">
        <f>'5月'!AQ49</f>
        <v>0</v>
      </c>
      <c r="CH44" s="672">
        <f>'6月'!AQ49</f>
        <v>0</v>
      </c>
      <c r="CI44" s="672">
        <f>'7月'!AQ49</f>
        <v>0</v>
      </c>
      <c r="CJ44" s="672">
        <f>'8月'!AQ49</f>
        <v>0</v>
      </c>
      <c r="CK44" s="672">
        <f>'9月'!AQ49</f>
        <v>0</v>
      </c>
      <c r="CL44" s="672">
        <f>'10月'!AQ49</f>
        <v>0</v>
      </c>
      <c r="CM44" s="672">
        <f>'11月'!AQ49</f>
        <v>0</v>
      </c>
      <c r="CN44" s="672">
        <f>'12月'!AQ49</f>
        <v>0</v>
      </c>
      <c r="CO44" s="672">
        <f>'1月'!AQ49</f>
        <v>0</v>
      </c>
      <c r="CP44" s="672">
        <f>'2月'!AQ49</f>
        <v>0</v>
      </c>
      <c r="CQ44" s="756">
        <f>'3月'!AQ55</f>
        <v>0</v>
      </c>
      <c r="CR44" s="759">
        <f t="shared" si="22"/>
        <v>0</v>
      </c>
      <c r="CS44" s="1600"/>
      <c r="CT44" s="720" t="s">
        <v>62</v>
      </c>
      <c r="CU44" s="959" t="s">
        <v>559</v>
      </c>
      <c r="CV44" s="771" t="e">
        <f t="shared" ref="CV44:CV45" si="91">CR44-CY44-CZ44</f>
        <v>#DIV/0!</v>
      </c>
      <c r="CW44" s="776"/>
      <c r="CX44" s="954"/>
      <c r="CY44" s="1055" t="e">
        <f>SUMPRODUCT($CF$2:$CQ$2,処遇Ⅰ計算用!$AA$18:$AL$18)+SUMPRODUCT($CF$2:$CQ$2,処遇Ⅰ計算用!$AA$19:$AL$19)</f>
        <v>#DIV/0!</v>
      </c>
      <c r="CZ44" s="1055" t="e">
        <f>SUMPRODUCT($CF$2:$CQ$2,処遇Ⅰ計算用!$AA$28:$AL$28)+SUMPRODUCT($CF$2:$CQ$2,処遇Ⅰ計算用!$AA$29:$AL$29)</f>
        <v>#DIV/0!</v>
      </c>
      <c r="DA44" s="721"/>
      <c r="DB44" s="721"/>
    </row>
    <row r="45" spans="1:106" ht="16.5" customHeight="1">
      <c r="A45" s="1653"/>
      <c r="B45" s="1540"/>
      <c r="C45" s="1542" t="s">
        <v>15</v>
      </c>
      <c r="D45" s="667" t="s">
        <v>546</v>
      </c>
      <c r="E45" s="668">
        <f>SUM(児童数!R18:R19)</f>
        <v>0</v>
      </c>
      <c r="F45" s="668">
        <f>'3月'!F38</f>
        <v>0</v>
      </c>
      <c r="G45" s="669">
        <f>G32</f>
        <v>1809</v>
      </c>
      <c r="H45" s="668">
        <f>H32</f>
        <v>0</v>
      </c>
      <c r="I45" s="668">
        <f>F45-G45-H45</f>
        <v>-1809</v>
      </c>
      <c r="J45" s="668">
        <f>E45*I45</f>
        <v>0</v>
      </c>
      <c r="K45" s="668">
        <f>E45*G45</f>
        <v>0</v>
      </c>
      <c r="L45" s="706">
        <f>E45*H45</f>
        <v>0</v>
      </c>
      <c r="T45" s="682">
        <v>12</v>
      </c>
      <c r="U45" s="918">
        <f>月途中入退所情報!N19</f>
        <v>0</v>
      </c>
      <c r="V45" s="918">
        <f>月途中入退所情報!R19</f>
        <v>0</v>
      </c>
      <c r="W45" s="918">
        <f>月途中入退所情報!Q19</f>
        <v>0</v>
      </c>
      <c r="X45" s="945">
        <f>月途中入退所情報!S19</f>
        <v>0</v>
      </c>
      <c r="Y45" s="918">
        <f>月途中入退所情報!T19</f>
        <v>0</v>
      </c>
      <c r="Z45" s="840">
        <f t="shared" si="86"/>
        <v>0</v>
      </c>
      <c r="AA45" s="976" cm="1">
        <f t="array" ref="AA45">IFERROR(IF(OR($U45=2,$U45=3),
INDEX(単価表!$AY$64:$CC$71,MATCH($V45&amp;$W45,INDEX(単価表!$AY$64:$AY$71&amp;単価表!$AZ$64:$AZ$71,),),MATCH(内訳計算!AA$6,単価表!$AY$63:$CC$63,0)),
INDEX(単価表!$AY$64:$CC$71,MATCH($V45&amp;$W45,INDEX(単価表!$AY$64:$AY$71&amp;単価表!$AZ$64:$AZ$71,),),MATCH(内訳計算!AA$6,単価表!$AY$63:$CC$63,0))),0)</f>
        <v>0</v>
      </c>
      <c r="AB45" s="977" t="e">
        <f t="shared" si="78"/>
        <v>#VALUE!</v>
      </c>
      <c r="AC45" s="977" cm="1">
        <f t="array" ref="AC45">IFERROR(ROUNDUP(IF(OR($U45=2,$U45=3),
INDEX(単価表!$AY$64:$CC$71,MATCH($V45&amp;$W45,INDEX(単価表!$AY$64:$AY$71&amp;単価表!$AZ$64:$AZ$71,),),MATCH(内訳計算!AC$6,単価表!$AY$63:$CC$63,0)),
INDEX(単価表!$AY$64:$CC$71,MATCH($V45&amp;$W45,INDEX(単価表!$AY$64:$AY$71&amp;単価表!$AZ$64:$AZ$71,),),MATCH(内訳計算!AC$6,単価表!$AY$63:$CC$63,0)))*$Y45/25,0),0)</f>
        <v>0</v>
      </c>
      <c r="AD45" s="975" cm="1">
        <f t="array" ref="AD45">IFERROR(ROUNDUP(IF(OR($U45=2,$U45=3),
INDEX(単価表!$AY$64:$CC$71,MATCH($V45&amp;$W45,INDEX(単価表!$AY$64:$AY$71&amp;単価表!$AZ$64:$AZ$71,),),MATCH(内訳計算!AD$6,単価表!$AY$63:$CC$63,0)),
INDEX(単価表!$AY$64:$CC$71,MATCH($V45&amp;$W45,INDEX(単価表!$AY$64:$AY$71&amp;単価表!$AZ$64:$AZ$71,),),MATCH(内訳計算!AD$6,単価表!$AY$63:$CC$63,0)))*$Y45/25,0),0)</f>
        <v>0</v>
      </c>
      <c r="AE45" s="976" cm="1">
        <f t="array" ref="AE45">IFERROR(IF(OR($U45=2,$U45=3),
INDEX(単価表!$AY$64:$CC$71,MATCH($V45&amp;$W45,INDEX(単価表!$AY$64:$AY$71&amp;単価表!$AZ$64:$AZ$71,),),MATCH(内訳計算!AE$6,単価表!$AY$63:$CC$63,0)),
INDEX(単価表!$AY$64:$CC$71,MATCH($V45&amp;$W45,INDEX(単価表!$AY$64:$AY$71&amp;単価表!$AZ$64:$AZ$71,),),MATCH(内訳計算!AE$6,単価表!$AY$63:$CC$63,0))),0)</f>
        <v>0</v>
      </c>
      <c r="AF45" s="977" cm="1">
        <f t="array" ref="AF45">IFERROR(ROUNDUP(IF(OR($U45=2,$U45=3),
INDEX(単価表!$AY$64:$CC$71,MATCH($V45&amp;$W45,INDEX(単価表!$AY$64:$AY$71&amp;単価表!$AZ$64:$AZ$71,),),MATCH(内訳計算!AF$6,単価表!$AY$63:$CC$63,0)),
INDEX(単価表!$AY$64:$CC$71,MATCH($V45&amp;$W45,INDEX(単価表!$AY$64:$AY$71&amp;単価表!$AZ$64:$AZ$71,),),MATCH(内訳計算!AF$6,単価表!$AY$63:$CC$63,0)))*$Y45/25,0),0)</f>
        <v>0</v>
      </c>
      <c r="AG45" s="975" cm="1">
        <f t="array" ref="AG45">IFERROR(ROUNDUP(IF(OR($U45=2,$U45=3),
INDEX(単価表!$AY$64:$CC$71,MATCH($V45&amp;$W45,INDEX(単価表!$AY$64:$AY$71&amp;単価表!$AZ$64:$AZ$71,),),MATCH(内訳計算!AG$6,単価表!$AY$63:$CC$63,0)),
INDEX(単価表!$AY$64:$CC$71,MATCH($V45&amp;$W45,INDEX(単価表!$AY$64:$AY$71&amp;単価表!$AZ$64:$AZ$71,),),MATCH(内訳計算!AG$6,単価表!$AY$63:$CC$63,0)))*$Y45/25,0),0)</f>
        <v>0</v>
      </c>
      <c r="AH45" s="976" cm="1">
        <f t="array" ref="AH45">IFERROR(IF(HLOOKUP($U45,加算と減算!$E$4:$P$10,2,FALSE)="○",IF(OR($U45=2,$U45=3),
INDEX(単価表!$AY$64:$CC$71,MATCH($V45&amp;$W45,INDEX(単価表!$AY$64:$AY$71&amp;単価表!$AZ$64:$AZ$71,),),MATCH(内訳計算!AH$6,単価表!$AY$63:$CC$63,0)),
INDEX(単価表!$AY$64:$CC$71,MATCH($V45&amp;$W45,INDEX(単価表!$AY$64:$AY$71&amp;単価表!$AZ$64:$AZ$71,),),MATCH(内訳計算!AH$6,単価表!$AY$63:$CC$63,0))),0),0)</f>
        <v>0</v>
      </c>
      <c r="AI45" s="978" cm="1">
        <f t="array" ref="AI45">IFERROR(ROUNDUP(IF(HLOOKUP($U45,加算と減算!$E$4:$P$10,2,FALSE)="○",IF(OR($U45=2,$U45=3),
INDEX(単価表!$AY$64:$CC$71,MATCH($V45&amp;$W45,INDEX(単価表!$AY$64:$AY$71&amp;単価表!$AZ$64:$AZ$71,),),MATCH(内訳計算!AI$6,単価表!$AY$63:$CC$63,0)),
INDEX(単価表!$AY$64:$CC$71,MATCH($V45&amp;$W45,INDEX(単価表!$AY$64:$AY$71&amp;単価表!$AZ$64:$AZ$71,),),MATCH(内訳計算!AI$6,単価表!$AY$63:$CC$63,0))),0)*$Y45/25,0),0)</f>
        <v>0</v>
      </c>
      <c r="AJ45" s="977" cm="1">
        <f t="array" ref="AJ45">IFERROR(ROUNDUP(IF(HLOOKUP($U45,加算と減算!$E$4:$P$10,2,FALSE)="○",IF(OR($U45=2,$U45=3),
INDEX(単価表!$AY$64:$CC$71,MATCH($V45&amp;$W45,INDEX(単価表!$AY$64:$AY$71&amp;単価表!$AZ$64:$AZ$71,),),MATCH(内訳計算!AJ$6,単価表!$AY$63:$CC$63,0)),
INDEX(単価表!$AY$64:$CC$71,MATCH($V45&amp;$W45,INDEX(単価表!$AY$64:$AY$71&amp;単価表!$AZ$64:$AZ$71,),),MATCH(内訳計算!AJ$6,単価表!$AY$63:$CC$63,0))),0)*$Y45/25,0),0)</f>
        <v>0</v>
      </c>
      <c r="AK45" s="975" cm="1">
        <f t="array" ref="AK45">IFERROR(ROUNDUP(IF(HLOOKUP($U45,加算と減算!$E$4:$P$10,2,FALSE)="○",IF(OR($U45=2,$U45=3),
INDEX(単価表!$AY$64:$CC$71,MATCH($V45&amp;$W45,INDEX(単価表!$AY$64:$AY$71&amp;単価表!$AZ$64:$AZ$71,),),MATCH(内訳計算!AK$6,単価表!$AY$63:$CC$63,0)),
INDEX(単価表!$AY$64:$CC$71,MATCH($V45&amp;$W45,INDEX(単価表!$AY$64:$AY$71&amp;単価表!$AZ$64:$AZ$71,),),MATCH(内訳計算!AK$6,単価表!$AY$63:$CC$63,0))),0)*$Y45/25,0),0)</f>
        <v>0</v>
      </c>
      <c r="AL45" s="976" cm="1">
        <f t="array" ref="AL45">IFERROR(IF(HLOOKUP($U45,加算と減算!$E$4:$P$10,4,FALSE)="○",IF(OR($U45=2,$U45=3),
INDEX(単価表!$AY$64:$CC$71,MATCH($V45&amp;$W45,INDEX(単価表!$AY$64:$AY$71&amp;単価表!$AZ$64:$AZ$71,),),MATCH(内訳計算!AL$6,単価表!$AY$63:$CC$63,0)),
INDEX(単価表!$AY$64:$CC$71,MATCH($V45&amp;$W45,INDEX(単価表!$AY$64:$AY$71&amp;単価表!$AZ$64:$AZ$71,),),MATCH(内訳計算!AL$6,単価表!$AY$63:$CC$63,0))),0),0)</f>
        <v>0</v>
      </c>
      <c r="AM45" s="977" cm="1">
        <f t="array" ref="AM45">IFERROR(ROUNDUP(IF(HLOOKUP($U45,加算と減算!$E$4:$P$10,4,FALSE)="○",IF(OR($U45=2,$U45=3),
INDEX(単価表!$AY$64:$CC$71,MATCH($V45&amp;$W45,INDEX(単価表!$AY$64:$AY$71&amp;単価表!$AZ$64:$AZ$71,),),MATCH(内訳計算!AM$6,単価表!$AY$63:$CC$63,0)),
INDEX(単価表!$AY$64:$CC$71,MATCH($V45&amp;$W45,INDEX(単価表!$AY$64:$AY$71&amp;単価表!$AZ$64:$AZ$71,),),MATCH(内訳計算!AM$6,単価表!$AY$63:$CC$63,0))),0)*$Y45/25,0),0)</f>
        <v>0</v>
      </c>
      <c r="AN45" s="977" cm="1">
        <f t="array" ref="AN45">IFERROR(ROUNDUP(IF(HLOOKUP($U45,加算と減算!$E$4:$P$10,4,FALSE)="○",IF(OR($U45=2,$U45=3),
INDEX(単価表!$AY$64:$CC$71,MATCH($V45&amp;$W45,INDEX(単価表!$AY$64:$AY$71&amp;単価表!$AZ$64:$AZ$71,),),MATCH(内訳計算!AN$6,単価表!$AY$63:$CC$63,0)),
INDEX(単価表!$AY$64:$CC$71,MATCH($V45&amp;$W45,INDEX(単価表!$AY$64:$AY$71&amp;単価表!$AZ$64:$AZ$71,),),MATCH(内訳計算!AN$6,単価表!$AY$63:$CC$63,0))),0)*$Y45/25,0),0)</f>
        <v>0</v>
      </c>
      <c r="AO45" s="977" cm="1">
        <f t="array" ref="AO45">IFERROR(ROUNDUP(IF(HLOOKUP($U45,加算と減算!$E$4:$P$10,4,FALSE)="○",IF(OR($U45=2,$U45=3),
INDEX(単価表!$AY$64:$CC$71,MATCH($V45&amp;$W45,INDEX(単価表!$AY$64:$AY$71&amp;単価表!$AZ$64:$AZ$71,),),MATCH(内訳計算!AO$6,単価表!$AY$63:$CC$63,0)),
INDEX(単価表!$AY$64:$CC$71,MATCH($V45&amp;$W45,INDEX(単価表!$AY$64:$AY$71&amp;単価表!$AZ$64:$AZ$71,),),MATCH(内訳計算!AO$6,単価表!$AY$63:$CC$63,0))),0)*$Y45/25,0),0)</f>
        <v>0</v>
      </c>
      <c r="AP45" s="977" cm="1">
        <f t="array" ref="AP45">IFERROR(ROUNDUP(IF(HLOOKUP($U45,加算と減算!$E$4:$P$10,4,FALSE)="○",IF(OR($U45=2,$U45=3),
INDEX(単価表!$AY$64:$CC$71,MATCH($V45&amp;$W45,INDEX(単価表!$AY$64:$AY$71&amp;単価表!$AZ$64:$AZ$71,),),MATCH(内訳計算!AP$6,単価表!$AY$63:$CC$63,0)),
INDEX(単価表!$AY$64:$CC$71,MATCH($V45&amp;$W45,INDEX(単価表!$AY$64:$AY$71&amp;単価表!$AZ$64:$AZ$71,),),MATCH(内訳計算!AP$6,単価表!$AY$63:$CC$63,0))),0)*$Y45/25,0),0)</f>
        <v>0</v>
      </c>
      <c r="AQ45" s="975" cm="1">
        <f t="array" ref="AQ45">IFERROR(ROUNDUP(IF(HLOOKUP($U45,加算と減算!$E$4:$P$10,4,FALSE)="○",IF(OR($U45=2,$U45=3),
INDEX(単価表!$AY$64:$CC$71,MATCH($V45&amp;$W45,INDEX(単価表!$AY$64:$AY$71&amp;単価表!$AZ$64:$AZ$71,),),MATCH(内訳計算!AQ$6,単価表!$AY$63:$CC$63,0)),
INDEX(単価表!$AY$64:$CC$71,MATCH($V45&amp;$W45,INDEX(単価表!$AY$64:$AY$71&amp;単価表!$AZ$64:$AZ$71,),),MATCH(内訳計算!AQ$6,単価表!$AY$63:$CC$63,0))),0)*$Y45/25,0),0)</f>
        <v>0</v>
      </c>
      <c r="AR45" s="976" cm="1">
        <f t="array" ref="AR45">IFERROR(IF(HLOOKUP($U45,加算と減算!$E$4:$P$10,5,FALSE)="○",IF(OR($U45=2,$U45=3),
INDEX(単価表!$AY$64:$CC$71,MATCH($V45&amp;$W45,INDEX(単価表!$AY$64:$AY$71&amp;単価表!$AZ$64:$AZ$71,),),MATCH(内訳計算!AR$6,単価表!$AY$63:$CC$63,0)),
INDEX(単価表!$AY$64:$CC$71,MATCH($V45&amp;$W45,INDEX(単価表!$AY$64:$AY$71&amp;単価表!$AZ$64:$AZ$71,),),MATCH(内訳計算!AR$6,単価表!$AY$63:$CC$63,0))),0),0)</f>
        <v>0</v>
      </c>
      <c r="AS45" s="975" cm="1">
        <f t="array" ref="AS45">IFERROR(ROUNDUP(IF(HLOOKUP($U45,加算と減算!$E$4:$P$10,5,FALSE)="○",IF(OR($U45=2,$U45=3),
INDEX(単価表!$AY$64:$CC$71,MATCH($V45&amp;$W45,INDEX(単価表!$AY$64:$AY$71&amp;単価表!$AZ$64:$AZ$71,),),MATCH(内訳計算!AS$6,単価表!$AY$63:$CC$63,0)),
INDEX(単価表!$AY$64:$CC$71,MATCH($V45&amp;$W45,INDEX(単価表!$AY$64:$AY$71&amp;単価表!$AZ$64:$AZ$71,),),MATCH(内訳計算!AS$6,単価表!$AY$63:$CC$63,0))),0)*$Y45/25,0),0)</f>
        <v>0</v>
      </c>
      <c r="AT45" s="976" cm="1">
        <f t="array" ref="AT45">IFERROR(IF(HLOOKUP($U45,加算と減算!$E$4:$P$10,6,FALSE)="○",IF(OR($U45=2,$U45=3),
INDEX(単価表!$AY$64:$CC$71,MATCH($V45&amp;$W45,INDEX(単価表!$AY$64:$AY$71&amp;単価表!$AZ$64:$AZ$71,),),MATCH(内訳計算!AT$6,単価表!$AY$63:$CC$63,0)),
INDEX(単価表!$AY$64:$CC$71,MATCH($V45&amp;$W45,INDEX(単価表!$AY$64:$AY$71&amp;単価表!$AZ$64:$AZ$71,),),MATCH(内訳計算!AT$6,単価表!$AY$63:$CC$63,0))),0),0)</f>
        <v>0</v>
      </c>
      <c r="AU45" s="975" cm="1">
        <f t="array" ref="AU45">IFERROR(ROUNDUP(IF(HLOOKUP($U45,加算と減算!$E$4:$P$10,6,FALSE)="○",IF(OR($U45=2,$U45=3),
INDEX(単価表!$AY$64:$CC$71,MATCH($V45&amp;$W45,INDEX(単価表!$AY$64:$AY$71&amp;単価表!$AZ$64:$AZ$71,),),MATCH(内訳計算!AU$6,単価表!$AY$63:$CC$63,0)),
INDEX(単価表!$AY$64:$CC$71,MATCH($V45&amp;$W45,INDEX(単価表!$AY$64:$AY$71&amp;単価表!$AZ$64:$AZ$71,),),MATCH(内訳計算!AU$6,単価表!$AY$63:$CC$63,0))),0)*$Y45/25,0),0)</f>
        <v>0</v>
      </c>
      <c r="AV45" s="976" cm="1">
        <f t="array" ref="AV45">IFERROR(IF(HLOOKUP($U45,加算と減算!$E$4:$P$10,7,FALSE)="○",IF(OR($U45=2,$U45=3),
INDEX(単価表!$AY$64:$CC$71,MATCH($V45&amp;$W45,INDEX(単価表!$AY$64:$AY$71&amp;単価表!$AZ$64:$AZ$71,),),MATCH(内訳計算!AV$6,単価表!$AY$63:$CC$63,0)),
INDEX(単価表!$AY$64:$CC$71,MATCH($V45&amp;$W45,INDEX(単価表!$AY$64:$AY$71&amp;単価表!$AZ$64:$AZ$71,),),MATCH(内訳計算!AV$6,単価表!$AY$63:$CC$63,0))),0),0)</f>
        <v>0</v>
      </c>
      <c r="AW45" s="977" cm="1">
        <f t="array" ref="AW45">IFERROR(ROUNDUP(IF(HLOOKUP($U45,加算と減算!$E$4:$P$10,7,FALSE)="○",IF(OR($U45=2,$U45=3),
INDEX(単価表!$AY$64:$CC$71,MATCH($V45&amp;$W45,INDEX(単価表!$AY$64:$AY$71&amp;単価表!$AZ$64:$AZ$71,),),MATCH(内訳計算!AW$6,単価表!$AY$63:$CC$63,0)),
INDEX(単価表!$AY$64:$CC$71,MATCH($V45&amp;$W45,INDEX(単価表!$AY$64:$AY$71&amp;単価表!$AZ$64:$AZ$71,),),MATCH(内訳計算!AW$6,単価表!$AY$63:$CC$63,0))),0)*$Y45/25,0),0)</f>
        <v>0</v>
      </c>
      <c r="AX45" s="977" cm="1">
        <f t="array" ref="AX45">IFERROR(ROUNDUP(IF(HLOOKUP($U45,加算と減算!$E$4:$P$10,7,FALSE)="○",IF(OR($U45=2,$U45=3),
INDEX(単価表!$AY$64:$CC$71,MATCH($V45&amp;$W45,INDEX(単価表!$AY$64:$AY$71&amp;単価表!$AZ$64:$AZ$71,),),MATCH(内訳計算!AX$6,単価表!$AY$63:$CC$63,0)),
INDEX(単価表!$AY$64:$CC$71,MATCH($V45&amp;$W45,INDEX(単価表!$AY$64:$AY$71&amp;単価表!$AZ$64:$AZ$71,),),MATCH(内訳計算!AX$6,単価表!$AY$63:$CC$63,0))),0)*$Y45/25,0),0)</f>
        <v>0</v>
      </c>
      <c r="AY45" s="975" cm="1">
        <f t="array" ref="AY45">IFERROR(ROUNDUP(IF(HLOOKUP($U45,加算と減算!$E$4:$P$10,7,FALSE)="○",IF(OR($U45=2,$U45=3),
INDEX(単価表!$AY$64:$CC$71,MATCH($V45&amp;$W45,INDEX(単価表!$AY$64:$AY$71&amp;単価表!$AZ$64:$AZ$71,),),MATCH(内訳計算!AY$6,単価表!$AY$63:$CC$63,0)),
INDEX(単価表!$AY$64:$CC$71,MATCH($V45&amp;$W45,INDEX(単価表!$AY$64:$AY$71&amp;単価表!$AZ$64:$AZ$71,),),MATCH(内訳計算!AY$6,単価表!$AY$63:$CC$63,0))),0)*$Y45/25,0),0)</f>
        <v>0</v>
      </c>
      <c r="AZ45" s="976" cm="1">
        <f t="array" ref="AZ45">IFERROR(IF(X45="○",INDEX(単価表!$AY$64:$CC$71,MATCH($V45&amp;$W45,INDEX(単価表!$AY$64:$AY$71&amp;単価表!$AZ$64:$AZ$71,),),MATCH(内訳計算!AZ$6,単価表!$AY$63:$CC$63,0)),0),0)</f>
        <v>0</v>
      </c>
      <c r="BA45" s="975" cm="1">
        <f t="array" ref="BA45">IFERROR(ROUNDUP(INDEX(単価表!$AY$64:$CC$71,MATCH($V45&amp;$W45,INDEX(単価表!$AY$64:$AY$71&amp;単価表!$AZ$64:$AZ$71,),),MATCH(内訳計算!BA$6,単価表!$AY$63:$CC$63,0))*$Y45/25,0),0)</f>
        <v>0</v>
      </c>
      <c r="BB45" s="976" cm="1">
        <f t="array" ref="BB45">IFERROR(INDEX(単価表!$AY$64:$CC$71,MATCH($V45&amp;$W45,INDEX(単価表!$AY$64:$AY$71&amp;単価表!$AZ$64:$AZ$71,),),MATCH(内訳計算!BB$6,単価表!$AY$63:$CC$63,0)),0)</f>
        <v>0</v>
      </c>
      <c r="BC45" s="975" cm="1">
        <f t="array" ref="BC45">IFERROR(ROUNDUP(INDEX(単価表!$AY$64:$CC$71,MATCH($V45&amp;$W45,INDEX(単価表!$AY$64:$AY$71&amp;単価表!$AZ$64:$AZ$71,),),MATCH(内訳計算!BC$6,単価表!$AY$63:$CC$63,0))*$Y45/25,0),0)</f>
        <v>0</v>
      </c>
      <c r="BD45" s="985">
        <f>IFERROR(IF(HLOOKUP($U45,加算と減算!$E$31:$P$32,2,FALSE)="○",IF(OR($U45=2,$U45=3),-(単価表!$AZ$7+単価表!$BA$7*基本情報!$G$7),-(単価表!$AZ$7+単価表!$BA$7*基本情報!$G$7)),0),0)</f>
        <v>0</v>
      </c>
      <c r="BE45" s="986" t="e">
        <f t="shared" si="70"/>
        <v>#VALUE!</v>
      </c>
      <c r="BF45" s="986" t="e">
        <f t="shared" si="71"/>
        <v>#VALUE!</v>
      </c>
      <c r="BG45" s="987" t="e">
        <f t="shared" si="72"/>
        <v>#N/A</v>
      </c>
      <c r="BH45" s="988">
        <f>IFERROR(IF(基本情報!$E$12&lt;&gt;"",-ROUNDDOWN((AA45+AE45+AH45+AL45)*基本情報!$H$12/100,-1),0),0)</f>
        <v>0</v>
      </c>
      <c r="BI45" s="986" t="e">
        <f t="shared" si="73"/>
        <v>#VALUE!</v>
      </c>
      <c r="BJ45" s="986" t="e">
        <f t="shared" si="74"/>
        <v>#VALUE!</v>
      </c>
      <c r="BK45" s="989" t="e">
        <f t="shared" si="75"/>
        <v>#N/A</v>
      </c>
      <c r="BL45" s="1006">
        <f>IFERROR(-ROUNDUP(SUM(AA45,AE45,AH45,AL45,AR45,AT45,AV45,BD45,BH45)*基本情報!$H$14/100,-1),0)</f>
        <v>0</v>
      </c>
      <c r="BM45" s="1007" t="e">
        <f t="shared" si="79"/>
        <v>#VALUE!</v>
      </c>
      <c r="BN45" s="1007" t="e">
        <f t="shared" si="76"/>
        <v>#VALUE!</v>
      </c>
      <c r="BO45" s="1008" t="e">
        <f t="shared" si="77"/>
        <v>#N/A</v>
      </c>
      <c r="BP45" s="701"/>
      <c r="BQ45" s="701"/>
      <c r="BR45" s="701"/>
      <c r="BS45" s="701"/>
      <c r="BT45" s="721"/>
      <c r="BU45" s="1043" t="e">
        <f t="shared" si="80"/>
        <v>#VALUE!</v>
      </c>
      <c r="BV45" s="1044" t="e">
        <f t="shared" si="81"/>
        <v>#VALUE!</v>
      </c>
      <c r="BW45" s="1044" t="e">
        <f t="shared" si="82"/>
        <v>#N/A</v>
      </c>
      <c r="BX45" s="1051">
        <f t="shared" si="83"/>
        <v>0</v>
      </c>
      <c r="BY45" s="1045">
        <f t="shared" si="84"/>
        <v>0</v>
      </c>
      <c r="CB45" s="1626"/>
      <c r="CC45" s="1600"/>
      <c r="CD45" s="720" t="s">
        <v>19</v>
      </c>
      <c r="CE45" s="740" t="s">
        <v>559</v>
      </c>
      <c r="CF45" s="672">
        <f>'4月'!AQ50</f>
        <v>0</v>
      </c>
      <c r="CG45" s="672">
        <f>'5月'!AQ50</f>
        <v>0</v>
      </c>
      <c r="CH45" s="672">
        <f>'6月'!AQ50</f>
        <v>0</v>
      </c>
      <c r="CI45" s="672">
        <f>'7月'!AQ50</f>
        <v>0</v>
      </c>
      <c r="CJ45" s="672">
        <f>'8月'!AQ50</f>
        <v>0</v>
      </c>
      <c r="CK45" s="672">
        <f>'9月'!AQ50</f>
        <v>0</v>
      </c>
      <c r="CL45" s="672">
        <f>'10月'!AQ50</f>
        <v>0</v>
      </c>
      <c r="CM45" s="672">
        <f>'11月'!AQ50</f>
        <v>0</v>
      </c>
      <c r="CN45" s="672">
        <f>'12月'!AQ50</f>
        <v>0</v>
      </c>
      <c r="CO45" s="672">
        <f>'1月'!AQ50</f>
        <v>0</v>
      </c>
      <c r="CP45" s="672">
        <f>'2月'!AQ50</f>
        <v>0</v>
      </c>
      <c r="CQ45" s="756">
        <f>'3月'!AQ56</f>
        <v>0</v>
      </c>
      <c r="CR45" s="759">
        <f t="shared" si="22"/>
        <v>0</v>
      </c>
      <c r="CS45" s="1600"/>
      <c r="CT45" s="720" t="s">
        <v>19</v>
      </c>
      <c r="CU45" s="959" t="s">
        <v>559</v>
      </c>
      <c r="CV45" s="771" t="e">
        <f t="shared" si="91"/>
        <v>#DIV/0!</v>
      </c>
      <c r="CW45" s="776"/>
      <c r="CX45" s="954"/>
      <c r="CY45" s="1055" t="e">
        <f>SUMPRODUCT($CF$2:$CQ$2,処遇Ⅰ計算用!$AA$20:$AL$20)</f>
        <v>#DIV/0!</v>
      </c>
      <c r="CZ45" s="1055" t="e">
        <f>SUMPRODUCT($CF$2:$CQ$2,処遇Ⅰ計算用!$AA$30:$AL$30)</f>
        <v>#DIV/0!</v>
      </c>
      <c r="DA45" s="721"/>
      <c r="DB45" s="721"/>
    </row>
    <row r="46" spans="1:106">
      <c r="A46" s="1653"/>
      <c r="B46" s="1540"/>
      <c r="C46" s="1542"/>
      <c r="D46" s="667" t="s">
        <v>549</v>
      </c>
      <c r="E46" s="668">
        <f>SUM(児童数!S18:S19)</f>
        <v>0</v>
      </c>
      <c r="F46" s="707">
        <f>'3月'!G38</f>
        <v>0</v>
      </c>
      <c r="G46" s="668">
        <f>G45</f>
        <v>1809</v>
      </c>
      <c r="H46" s="668">
        <f>H33</f>
        <v>0</v>
      </c>
      <c r="I46" s="668">
        <f>F46-G46-H46</f>
        <v>-1809</v>
      </c>
      <c r="J46" s="668">
        <f t="shared" ref="J46:J48" si="92">E46*I46</f>
        <v>0</v>
      </c>
      <c r="K46" s="668">
        <f t="shared" ref="K46:K48" si="93">E46*G46</f>
        <v>0</v>
      </c>
      <c r="L46" s="706">
        <f t="shared" ref="L46:L48" si="94">E46*H46</f>
        <v>0</v>
      </c>
      <c r="T46" s="682">
        <v>13</v>
      </c>
      <c r="U46" s="918">
        <f>月途中入退所情報!N20</f>
        <v>0</v>
      </c>
      <c r="V46" s="918">
        <f>月途中入退所情報!R20</f>
        <v>0</v>
      </c>
      <c r="W46" s="918">
        <f>月途中入退所情報!Q20</f>
        <v>0</v>
      </c>
      <c r="X46" s="945">
        <f>月途中入退所情報!S20</f>
        <v>0</v>
      </c>
      <c r="Y46" s="918">
        <f>月途中入退所情報!T20</f>
        <v>0</v>
      </c>
      <c r="Z46" s="993">
        <f t="shared" si="86"/>
        <v>0</v>
      </c>
      <c r="AA46" s="976" cm="1">
        <f t="array" ref="AA46">IFERROR(IF(OR($U46=2,$U46=3),
INDEX(単価表!$AY$64:$CC$71,MATCH($V46&amp;$W46,INDEX(単価表!$AY$64:$AY$71&amp;単価表!$AZ$64:$AZ$71,),),MATCH(内訳計算!AA$6,単価表!$AY$63:$CC$63,0)),
INDEX(単価表!$AY$64:$CC$71,MATCH($V46&amp;$W46,INDEX(単価表!$AY$64:$AY$71&amp;単価表!$AZ$64:$AZ$71,),),MATCH(内訳計算!AA$6,単価表!$AY$63:$CC$63,0))),0)</f>
        <v>0</v>
      </c>
      <c r="AB46" s="977" t="e">
        <f t="shared" si="78"/>
        <v>#VALUE!</v>
      </c>
      <c r="AC46" s="977" cm="1">
        <f t="array" ref="AC46">IFERROR(ROUNDUP(IF(OR($U46=2,$U46=3),
INDEX(単価表!$AY$64:$CC$71,MATCH($V46&amp;$W46,INDEX(単価表!$AY$64:$AY$71&amp;単価表!$AZ$64:$AZ$71,),),MATCH(内訳計算!AC$6,単価表!$AY$63:$CC$63,0)),
INDEX(単価表!$AY$64:$CC$71,MATCH($V46&amp;$W46,INDEX(単価表!$AY$64:$AY$71&amp;単価表!$AZ$64:$AZ$71,),),MATCH(内訳計算!AC$6,単価表!$AY$63:$CC$63,0)))*$Y46/25,0),0)</f>
        <v>0</v>
      </c>
      <c r="AD46" s="975" cm="1">
        <f t="array" ref="AD46">IFERROR(ROUNDUP(IF(OR($U46=2,$U46=3),
INDEX(単価表!$AY$64:$CC$71,MATCH($V46&amp;$W46,INDEX(単価表!$AY$64:$AY$71&amp;単価表!$AZ$64:$AZ$71,),),MATCH(内訳計算!AD$6,単価表!$AY$63:$CC$63,0)),
INDEX(単価表!$AY$64:$CC$71,MATCH($V46&amp;$W46,INDEX(単価表!$AY$64:$AY$71&amp;単価表!$AZ$64:$AZ$71,),),MATCH(内訳計算!AD$6,単価表!$AY$63:$CC$63,0)))*$Y46/25,0),0)</f>
        <v>0</v>
      </c>
      <c r="AE46" s="976" cm="1">
        <f t="array" ref="AE46">IFERROR(IF(OR($U46=2,$U46=3),
INDEX(単価表!$AY$64:$CC$71,MATCH($V46&amp;$W46,INDEX(単価表!$AY$64:$AY$71&amp;単価表!$AZ$64:$AZ$71,),),MATCH(内訳計算!AE$6,単価表!$AY$63:$CC$63,0)),
INDEX(単価表!$AY$64:$CC$71,MATCH($V46&amp;$W46,INDEX(単価表!$AY$64:$AY$71&amp;単価表!$AZ$64:$AZ$71,),),MATCH(内訳計算!AE$6,単価表!$AY$63:$CC$63,0))),0)</f>
        <v>0</v>
      </c>
      <c r="AF46" s="977" cm="1">
        <f t="array" ref="AF46">IFERROR(ROUNDUP(IF(OR($U46=2,$U46=3),
INDEX(単価表!$AY$64:$CC$71,MATCH($V46&amp;$W46,INDEX(単価表!$AY$64:$AY$71&amp;単価表!$AZ$64:$AZ$71,),),MATCH(内訳計算!AF$6,単価表!$AY$63:$CC$63,0)),
INDEX(単価表!$AY$64:$CC$71,MATCH($V46&amp;$W46,INDEX(単価表!$AY$64:$AY$71&amp;単価表!$AZ$64:$AZ$71,),),MATCH(内訳計算!AF$6,単価表!$AY$63:$CC$63,0)))*$Y46/25,0),0)</f>
        <v>0</v>
      </c>
      <c r="AG46" s="975" cm="1">
        <f t="array" ref="AG46">IFERROR(ROUNDUP(IF(OR($U46=2,$U46=3),
INDEX(単価表!$AY$64:$CC$71,MATCH($V46&amp;$W46,INDEX(単価表!$AY$64:$AY$71&amp;単価表!$AZ$64:$AZ$71,),),MATCH(内訳計算!AG$6,単価表!$AY$63:$CC$63,0)),
INDEX(単価表!$AY$64:$CC$71,MATCH($V46&amp;$W46,INDEX(単価表!$AY$64:$AY$71&amp;単価表!$AZ$64:$AZ$71,),),MATCH(内訳計算!AG$6,単価表!$AY$63:$CC$63,0)))*$Y46/25,0),0)</f>
        <v>0</v>
      </c>
      <c r="AH46" s="976" cm="1">
        <f t="array" ref="AH46">IFERROR(IF(HLOOKUP($U46,加算と減算!$E$4:$P$10,2,FALSE)="○",IF(OR($U46=2,$U46=3),
INDEX(単価表!$AY$64:$CC$71,MATCH($V46&amp;$W46,INDEX(単価表!$AY$64:$AY$71&amp;単価表!$AZ$64:$AZ$71,),),MATCH(内訳計算!AH$6,単価表!$AY$63:$CC$63,0)),
INDEX(単価表!$AY$64:$CC$71,MATCH($V46&amp;$W46,INDEX(単価表!$AY$64:$AY$71&amp;単価表!$AZ$64:$AZ$71,),),MATCH(内訳計算!AH$6,単価表!$AY$63:$CC$63,0))),0),0)</f>
        <v>0</v>
      </c>
      <c r="AI46" s="978" cm="1">
        <f t="array" ref="AI46">IFERROR(ROUNDUP(IF(HLOOKUP($U46,加算と減算!$E$4:$P$10,2,FALSE)="○",IF(OR($U46=2,$U46=3),
INDEX(単価表!$AY$64:$CC$71,MATCH($V46&amp;$W46,INDEX(単価表!$AY$64:$AY$71&amp;単価表!$AZ$64:$AZ$71,),),MATCH(内訳計算!AI$6,単価表!$AY$63:$CC$63,0)),
INDEX(単価表!$AY$64:$CC$71,MATCH($V46&amp;$W46,INDEX(単価表!$AY$64:$AY$71&amp;単価表!$AZ$64:$AZ$71,),),MATCH(内訳計算!AI$6,単価表!$AY$63:$CC$63,0))),0)*$Y46/25,0),0)</f>
        <v>0</v>
      </c>
      <c r="AJ46" s="977" cm="1">
        <f t="array" ref="AJ46">IFERROR(ROUNDUP(IF(HLOOKUP($U46,加算と減算!$E$4:$P$10,2,FALSE)="○",IF(OR($U46=2,$U46=3),
INDEX(単価表!$AY$64:$CC$71,MATCH($V46&amp;$W46,INDEX(単価表!$AY$64:$AY$71&amp;単価表!$AZ$64:$AZ$71,),),MATCH(内訳計算!AJ$6,単価表!$AY$63:$CC$63,0)),
INDEX(単価表!$AY$64:$CC$71,MATCH($V46&amp;$W46,INDEX(単価表!$AY$64:$AY$71&amp;単価表!$AZ$64:$AZ$71,),),MATCH(内訳計算!AJ$6,単価表!$AY$63:$CC$63,0))),0)*$Y46/25,0),0)</f>
        <v>0</v>
      </c>
      <c r="AK46" s="975" cm="1">
        <f t="array" ref="AK46">IFERROR(ROUNDUP(IF(HLOOKUP($U46,加算と減算!$E$4:$P$10,2,FALSE)="○",IF(OR($U46=2,$U46=3),
INDEX(単価表!$AY$64:$CC$71,MATCH($V46&amp;$W46,INDEX(単価表!$AY$64:$AY$71&amp;単価表!$AZ$64:$AZ$71,),),MATCH(内訳計算!AK$6,単価表!$AY$63:$CC$63,0)),
INDEX(単価表!$AY$64:$CC$71,MATCH($V46&amp;$W46,INDEX(単価表!$AY$64:$AY$71&amp;単価表!$AZ$64:$AZ$71,),),MATCH(内訳計算!AK$6,単価表!$AY$63:$CC$63,0))),0)*$Y46/25,0),0)</f>
        <v>0</v>
      </c>
      <c r="AL46" s="976" cm="1">
        <f t="array" ref="AL46">IFERROR(IF(HLOOKUP($U46,加算と減算!$E$4:$P$10,4,FALSE)="○",IF(OR($U46=2,$U46=3),
INDEX(単価表!$AY$64:$CC$71,MATCH($V46&amp;$W46,INDEX(単価表!$AY$64:$AY$71&amp;単価表!$AZ$64:$AZ$71,),),MATCH(内訳計算!AL$6,単価表!$AY$63:$CC$63,0)),
INDEX(単価表!$AY$64:$CC$71,MATCH($V46&amp;$W46,INDEX(単価表!$AY$64:$AY$71&amp;単価表!$AZ$64:$AZ$71,),),MATCH(内訳計算!AL$6,単価表!$AY$63:$CC$63,0))),0),0)</f>
        <v>0</v>
      </c>
      <c r="AM46" s="977" cm="1">
        <f t="array" ref="AM46">IFERROR(ROUNDUP(IF(HLOOKUP($U46,加算と減算!$E$4:$P$10,4,FALSE)="○",IF(OR($U46=2,$U46=3),
INDEX(単価表!$AY$64:$CC$71,MATCH($V46&amp;$W46,INDEX(単価表!$AY$64:$AY$71&amp;単価表!$AZ$64:$AZ$71,),),MATCH(内訳計算!AM$6,単価表!$AY$63:$CC$63,0)),
INDEX(単価表!$AY$64:$CC$71,MATCH($V46&amp;$W46,INDEX(単価表!$AY$64:$AY$71&amp;単価表!$AZ$64:$AZ$71,),),MATCH(内訳計算!AM$6,単価表!$AY$63:$CC$63,0))),0)*$Y46/25,0),0)</f>
        <v>0</v>
      </c>
      <c r="AN46" s="977" cm="1">
        <f t="array" ref="AN46">IFERROR(ROUNDUP(IF(HLOOKUP($U46,加算と減算!$E$4:$P$10,4,FALSE)="○",IF(OR($U46=2,$U46=3),
INDEX(単価表!$AY$64:$CC$71,MATCH($V46&amp;$W46,INDEX(単価表!$AY$64:$AY$71&amp;単価表!$AZ$64:$AZ$71,),),MATCH(内訳計算!AN$6,単価表!$AY$63:$CC$63,0)),
INDEX(単価表!$AY$64:$CC$71,MATCH($V46&amp;$W46,INDEX(単価表!$AY$64:$AY$71&amp;単価表!$AZ$64:$AZ$71,),),MATCH(内訳計算!AN$6,単価表!$AY$63:$CC$63,0))),0)*$Y46/25,0),0)</f>
        <v>0</v>
      </c>
      <c r="AO46" s="977" cm="1">
        <f t="array" ref="AO46">IFERROR(ROUNDUP(IF(HLOOKUP($U46,加算と減算!$E$4:$P$10,4,FALSE)="○",IF(OR($U46=2,$U46=3),
INDEX(単価表!$AY$64:$CC$71,MATCH($V46&amp;$W46,INDEX(単価表!$AY$64:$AY$71&amp;単価表!$AZ$64:$AZ$71,),),MATCH(内訳計算!AO$6,単価表!$AY$63:$CC$63,0)),
INDEX(単価表!$AY$64:$CC$71,MATCH($V46&amp;$W46,INDEX(単価表!$AY$64:$AY$71&amp;単価表!$AZ$64:$AZ$71,),),MATCH(内訳計算!AO$6,単価表!$AY$63:$CC$63,0))),0)*$Y46/25,0),0)</f>
        <v>0</v>
      </c>
      <c r="AP46" s="977" cm="1">
        <f t="array" ref="AP46">IFERROR(ROUNDUP(IF(HLOOKUP($U46,加算と減算!$E$4:$P$10,4,FALSE)="○",IF(OR($U46=2,$U46=3),
INDEX(単価表!$AY$64:$CC$71,MATCH($V46&amp;$W46,INDEX(単価表!$AY$64:$AY$71&amp;単価表!$AZ$64:$AZ$71,),),MATCH(内訳計算!AP$6,単価表!$AY$63:$CC$63,0)),
INDEX(単価表!$AY$64:$CC$71,MATCH($V46&amp;$W46,INDEX(単価表!$AY$64:$AY$71&amp;単価表!$AZ$64:$AZ$71,),),MATCH(内訳計算!AP$6,単価表!$AY$63:$CC$63,0))),0)*$Y46/25,0),0)</f>
        <v>0</v>
      </c>
      <c r="AQ46" s="975" cm="1">
        <f t="array" ref="AQ46">IFERROR(ROUNDUP(IF(HLOOKUP($U46,加算と減算!$E$4:$P$10,4,FALSE)="○",IF(OR($U46=2,$U46=3),
INDEX(単価表!$AY$64:$CC$71,MATCH($V46&amp;$W46,INDEX(単価表!$AY$64:$AY$71&amp;単価表!$AZ$64:$AZ$71,),),MATCH(内訳計算!AQ$6,単価表!$AY$63:$CC$63,0)),
INDEX(単価表!$AY$64:$CC$71,MATCH($V46&amp;$W46,INDEX(単価表!$AY$64:$AY$71&amp;単価表!$AZ$64:$AZ$71,),),MATCH(内訳計算!AQ$6,単価表!$AY$63:$CC$63,0))),0)*$Y46/25,0),0)</f>
        <v>0</v>
      </c>
      <c r="AR46" s="976" cm="1">
        <f t="array" ref="AR46">IFERROR(IF(HLOOKUP($U46,加算と減算!$E$4:$P$10,5,FALSE)="○",IF(OR($U46=2,$U46=3),
INDEX(単価表!$AY$64:$CC$71,MATCH($V46&amp;$W46,INDEX(単価表!$AY$64:$AY$71&amp;単価表!$AZ$64:$AZ$71,),),MATCH(内訳計算!AR$6,単価表!$AY$63:$CC$63,0)),
INDEX(単価表!$AY$64:$CC$71,MATCH($V46&amp;$W46,INDEX(単価表!$AY$64:$AY$71&amp;単価表!$AZ$64:$AZ$71,),),MATCH(内訳計算!AR$6,単価表!$AY$63:$CC$63,0))),0),0)</f>
        <v>0</v>
      </c>
      <c r="AS46" s="975" cm="1">
        <f t="array" ref="AS46">IFERROR(ROUNDUP(IF(HLOOKUP($U46,加算と減算!$E$4:$P$10,5,FALSE)="○",IF(OR($U46=2,$U46=3),
INDEX(単価表!$AY$64:$CC$71,MATCH($V46&amp;$W46,INDEX(単価表!$AY$64:$AY$71&amp;単価表!$AZ$64:$AZ$71,),),MATCH(内訳計算!AS$6,単価表!$AY$63:$CC$63,0)),
INDEX(単価表!$AY$64:$CC$71,MATCH($V46&amp;$W46,INDEX(単価表!$AY$64:$AY$71&amp;単価表!$AZ$64:$AZ$71,),),MATCH(内訳計算!AS$6,単価表!$AY$63:$CC$63,0))),0)*$Y46/25,0),0)</f>
        <v>0</v>
      </c>
      <c r="AT46" s="976" cm="1">
        <f t="array" ref="AT46">IFERROR(IF(HLOOKUP($U46,加算と減算!$E$4:$P$10,6,FALSE)="○",IF(OR($U46=2,$U46=3),
INDEX(単価表!$AY$64:$CC$71,MATCH($V46&amp;$W46,INDEX(単価表!$AY$64:$AY$71&amp;単価表!$AZ$64:$AZ$71,),),MATCH(内訳計算!AT$6,単価表!$AY$63:$CC$63,0)),
INDEX(単価表!$AY$64:$CC$71,MATCH($V46&amp;$W46,INDEX(単価表!$AY$64:$AY$71&amp;単価表!$AZ$64:$AZ$71,),),MATCH(内訳計算!AT$6,単価表!$AY$63:$CC$63,0))),0),0)</f>
        <v>0</v>
      </c>
      <c r="AU46" s="975" cm="1">
        <f t="array" ref="AU46">IFERROR(ROUNDUP(IF(HLOOKUP($U46,加算と減算!$E$4:$P$10,6,FALSE)="○",IF(OR($U46=2,$U46=3),
INDEX(単価表!$AY$64:$CC$71,MATCH($V46&amp;$W46,INDEX(単価表!$AY$64:$AY$71&amp;単価表!$AZ$64:$AZ$71,),),MATCH(内訳計算!AU$6,単価表!$AY$63:$CC$63,0)),
INDEX(単価表!$AY$64:$CC$71,MATCH($V46&amp;$W46,INDEX(単価表!$AY$64:$AY$71&amp;単価表!$AZ$64:$AZ$71,),),MATCH(内訳計算!AU$6,単価表!$AY$63:$CC$63,0))),0)*$Y46/25,0),0)</f>
        <v>0</v>
      </c>
      <c r="AV46" s="976" cm="1">
        <f t="array" ref="AV46">IFERROR(IF(HLOOKUP($U46,加算と減算!$E$4:$P$10,7,FALSE)="○",IF(OR($U46=2,$U46=3),
INDEX(単価表!$AY$64:$CC$71,MATCH($V46&amp;$W46,INDEX(単価表!$AY$64:$AY$71&amp;単価表!$AZ$64:$AZ$71,),),MATCH(内訳計算!AV$6,単価表!$AY$63:$CC$63,0)),
INDEX(単価表!$AY$64:$CC$71,MATCH($V46&amp;$W46,INDEX(単価表!$AY$64:$AY$71&amp;単価表!$AZ$64:$AZ$71,),),MATCH(内訳計算!AV$6,単価表!$AY$63:$CC$63,0))),0),0)</f>
        <v>0</v>
      </c>
      <c r="AW46" s="977" cm="1">
        <f t="array" ref="AW46">IFERROR(ROUNDUP(IF(HLOOKUP($U46,加算と減算!$E$4:$P$10,7,FALSE)="○",IF(OR($U46=2,$U46=3),
INDEX(単価表!$AY$64:$CC$71,MATCH($V46&amp;$W46,INDEX(単価表!$AY$64:$AY$71&amp;単価表!$AZ$64:$AZ$71,),),MATCH(内訳計算!AW$6,単価表!$AY$63:$CC$63,0)),
INDEX(単価表!$AY$64:$CC$71,MATCH($V46&amp;$W46,INDEX(単価表!$AY$64:$AY$71&amp;単価表!$AZ$64:$AZ$71,),),MATCH(内訳計算!AW$6,単価表!$AY$63:$CC$63,0))),0)*$Y46/25,0),0)</f>
        <v>0</v>
      </c>
      <c r="AX46" s="977" cm="1">
        <f t="array" ref="AX46">IFERROR(ROUNDUP(IF(HLOOKUP($U46,加算と減算!$E$4:$P$10,7,FALSE)="○",IF(OR($U46=2,$U46=3),
INDEX(単価表!$AY$64:$CC$71,MATCH($V46&amp;$W46,INDEX(単価表!$AY$64:$AY$71&amp;単価表!$AZ$64:$AZ$71,),),MATCH(内訳計算!AX$6,単価表!$AY$63:$CC$63,0)),
INDEX(単価表!$AY$64:$CC$71,MATCH($V46&amp;$W46,INDEX(単価表!$AY$64:$AY$71&amp;単価表!$AZ$64:$AZ$71,),),MATCH(内訳計算!AX$6,単価表!$AY$63:$CC$63,0))),0)*$Y46/25,0),0)</f>
        <v>0</v>
      </c>
      <c r="AY46" s="975" cm="1">
        <f t="array" ref="AY46">IFERROR(ROUNDUP(IF(HLOOKUP($U46,加算と減算!$E$4:$P$10,7,FALSE)="○",IF(OR($U46=2,$U46=3),
INDEX(単価表!$AY$64:$CC$71,MATCH($V46&amp;$W46,INDEX(単価表!$AY$64:$AY$71&amp;単価表!$AZ$64:$AZ$71,),),MATCH(内訳計算!AY$6,単価表!$AY$63:$CC$63,0)),
INDEX(単価表!$AY$64:$CC$71,MATCH($V46&amp;$W46,INDEX(単価表!$AY$64:$AY$71&amp;単価表!$AZ$64:$AZ$71,),),MATCH(内訳計算!AY$6,単価表!$AY$63:$CC$63,0))),0)*$Y46/25,0),0)</f>
        <v>0</v>
      </c>
      <c r="AZ46" s="976" cm="1">
        <f t="array" ref="AZ46">IFERROR(IF(X46="○",INDEX(単価表!$AY$64:$CC$71,MATCH($V46&amp;$W46,INDEX(単価表!$AY$64:$AY$71&amp;単価表!$AZ$64:$AZ$71,),),MATCH(内訳計算!AZ$6,単価表!$AY$63:$CC$63,0)),0),0)</f>
        <v>0</v>
      </c>
      <c r="BA46" s="975" cm="1">
        <f t="array" ref="BA46">IFERROR(ROUNDUP(INDEX(単価表!$AY$64:$CC$71,MATCH($V46&amp;$W46,INDEX(単価表!$AY$64:$AY$71&amp;単価表!$AZ$64:$AZ$71,),),MATCH(内訳計算!BA$6,単価表!$AY$63:$CC$63,0))*$Y46/25,0),0)</f>
        <v>0</v>
      </c>
      <c r="BB46" s="976" cm="1">
        <f t="array" ref="BB46">IFERROR(INDEX(単価表!$AY$64:$CC$71,MATCH($V46&amp;$W46,INDEX(単価表!$AY$64:$AY$71&amp;単価表!$AZ$64:$AZ$71,),),MATCH(内訳計算!BB$6,単価表!$AY$63:$CC$63,0)),0)</f>
        <v>0</v>
      </c>
      <c r="BC46" s="975" cm="1">
        <f t="array" ref="BC46">IFERROR(ROUNDUP(INDEX(単価表!$AY$64:$CC$71,MATCH($V46&amp;$W46,INDEX(単価表!$AY$64:$AY$71&amp;単価表!$AZ$64:$AZ$71,),),MATCH(内訳計算!BC$6,単価表!$AY$63:$CC$63,0))*$Y46/25,0),0)</f>
        <v>0</v>
      </c>
      <c r="BD46" s="985">
        <f>IFERROR(IF(HLOOKUP($U46,加算と減算!$E$31:$P$32,2,FALSE)="○",IF(OR($U46=2,$U46=3),-(単価表!$AZ$7+単価表!$BA$7*基本情報!$G$7),-(単価表!$AZ$7+単価表!$BA$7*基本情報!$G$7)),0),0)</f>
        <v>0</v>
      </c>
      <c r="BE46" s="986" t="e">
        <f t="shared" si="70"/>
        <v>#VALUE!</v>
      </c>
      <c r="BF46" s="986" t="e">
        <f t="shared" si="71"/>
        <v>#VALUE!</v>
      </c>
      <c r="BG46" s="987" t="e">
        <f t="shared" si="72"/>
        <v>#N/A</v>
      </c>
      <c r="BH46" s="988">
        <f>IFERROR(IF(基本情報!$E$12&lt;&gt;"",-ROUNDDOWN((AA46+AE46+AH46+AL46)*基本情報!$H$12/100,-1),0),0)</f>
        <v>0</v>
      </c>
      <c r="BI46" s="986" t="e">
        <f t="shared" si="73"/>
        <v>#VALUE!</v>
      </c>
      <c r="BJ46" s="986" t="e">
        <f t="shared" si="74"/>
        <v>#VALUE!</v>
      </c>
      <c r="BK46" s="989" t="e">
        <f t="shared" si="75"/>
        <v>#N/A</v>
      </c>
      <c r="BL46" s="1006">
        <f>IFERROR(-ROUNDUP(SUM(AA46,AE46,AH46,AL46,AR46,AT46,AV46,BD46,BH46)*基本情報!$H$14/100,-1),0)</f>
        <v>0</v>
      </c>
      <c r="BM46" s="1007" t="e">
        <f t="shared" si="79"/>
        <v>#VALUE!</v>
      </c>
      <c r="BN46" s="1007" t="e">
        <f t="shared" si="76"/>
        <v>#VALUE!</v>
      </c>
      <c r="BO46" s="1008" t="e">
        <f t="shared" si="77"/>
        <v>#N/A</v>
      </c>
      <c r="BP46" s="701"/>
      <c r="BQ46" s="701"/>
      <c r="BR46" s="701"/>
      <c r="BS46" s="701"/>
      <c r="BT46" s="721"/>
      <c r="BU46" s="1043" t="e">
        <f t="shared" si="80"/>
        <v>#VALUE!</v>
      </c>
      <c r="BV46" s="1044" t="e">
        <f t="shared" si="81"/>
        <v>#VALUE!</v>
      </c>
      <c r="BW46" s="1044" t="e">
        <f t="shared" si="82"/>
        <v>#N/A</v>
      </c>
      <c r="BX46" s="1051">
        <f t="shared" si="83"/>
        <v>0</v>
      </c>
      <c r="BY46" s="1045">
        <f t="shared" si="84"/>
        <v>0</v>
      </c>
      <c r="CB46" s="1626"/>
      <c r="CC46" s="1600"/>
      <c r="CD46" s="720" t="s">
        <v>41</v>
      </c>
      <c r="CE46" s="740" t="s">
        <v>559</v>
      </c>
      <c r="CF46" s="672">
        <f>'4月'!AQ51</f>
        <v>0</v>
      </c>
      <c r="CG46" s="672">
        <f>'5月'!AQ51</f>
        <v>0</v>
      </c>
      <c r="CH46" s="672">
        <f>'6月'!AQ51</f>
        <v>0</v>
      </c>
      <c r="CI46" s="672">
        <f>'7月'!AQ51</f>
        <v>0</v>
      </c>
      <c r="CJ46" s="672">
        <f>'8月'!AQ51</f>
        <v>0</v>
      </c>
      <c r="CK46" s="672">
        <f>'9月'!AQ51</f>
        <v>0</v>
      </c>
      <c r="CL46" s="672">
        <f>'10月'!AQ51</f>
        <v>0</v>
      </c>
      <c r="CM46" s="672">
        <f>'11月'!AQ51</f>
        <v>0</v>
      </c>
      <c r="CN46" s="672">
        <f>'12月'!AQ51</f>
        <v>0</v>
      </c>
      <c r="CO46" s="672">
        <f>'1月'!AQ51</f>
        <v>0</v>
      </c>
      <c r="CP46" s="672">
        <f>'2月'!AQ51</f>
        <v>0</v>
      </c>
      <c r="CQ46" s="756">
        <f>'3月'!AQ57</f>
        <v>0</v>
      </c>
      <c r="CR46" s="759">
        <f t="shared" si="22"/>
        <v>0</v>
      </c>
      <c r="CS46" s="1600"/>
      <c r="CT46" s="720" t="s">
        <v>41</v>
      </c>
      <c r="CU46" s="959" t="s">
        <v>559</v>
      </c>
      <c r="CV46" s="771">
        <f>CR46</f>
        <v>0</v>
      </c>
      <c r="CW46" s="776"/>
      <c r="CX46" s="776"/>
      <c r="CY46" s="954"/>
      <c r="CZ46" s="954"/>
      <c r="DA46" s="721"/>
      <c r="DB46" s="721"/>
    </row>
    <row r="47" spans="1:106">
      <c r="A47" s="1653"/>
      <c r="B47" s="1540"/>
      <c r="C47" s="1542"/>
      <c r="D47" s="667" t="s">
        <v>551</v>
      </c>
      <c r="E47" s="668">
        <f>SUM(児童数!T18:T19)</f>
        <v>0</v>
      </c>
      <c r="F47" s="668">
        <f>'3月'!H38</f>
        <v>0</v>
      </c>
      <c r="G47" s="669">
        <f>G34</f>
        <v>10478</v>
      </c>
      <c r="H47" s="668">
        <f>H34</f>
        <v>0</v>
      </c>
      <c r="I47" s="668">
        <f>F47-G47-H47</f>
        <v>-10478</v>
      </c>
      <c r="J47" s="668">
        <f t="shared" si="92"/>
        <v>0</v>
      </c>
      <c r="K47" s="668">
        <f t="shared" si="93"/>
        <v>0</v>
      </c>
      <c r="L47" s="706">
        <f t="shared" si="94"/>
        <v>0</v>
      </c>
      <c r="T47" s="682">
        <v>14</v>
      </c>
      <c r="U47" s="918">
        <f>月途中入退所情報!N21</f>
        <v>0</v>
      </c>
      <c r="V47" s="918">
        <f>月途中入退所情報!R21</f>
        <v>0</v>
      </c>
      <c r="W47" s="918">
        <f>月途中入退所情報!Q21</f>
        <v>0</v>
      </c>
      <c r="X47" s="945">
        <f>月途中入退所情報!S21</f>
        <v>0</v>
      </c>
      <c r="Y47" s="918">
        <f>月途中入退所情報!T21</f>
        <v>0</v>
      </c>
      <c r="Z47" s="840">
        <f t="shared" si="86"/>
        <v>0</v>
      </c>
      <c r="AA47" s="976" cm="1">
        <f t="array" ref="AA47">IFERROR(IF(OR($U47=2,$U47=3),
INDEX(単価表!$AY$64:$CC$71,MATCH($V47&amp;$W47,INDEX(単価表!$AY$64:$AY$71&amp;単価表!$AZ$64:$AZ$71,),),MATCH(内訳計算!AA$6,単価表!$AY$63:$CC$63,0)),
INDEX(単価表!$AY$64:$CC$71,MATCH($V47&amp;$W47,INDEX(単価表!$AY$64:$AY$71&amp;単価表!$AZ$64:$AZ$71,),),MATCH(内訳計算!AA$6,単価表!$AY$63:$CC$63,0))),0)</f>
        <v>0</v>
      </c>
      <c r="AB47" s="977" t="e">
        <f t="shared" si="78"/>
        <v>#VALUE!</v>
      </c>
      <c r="AC47" s="977" cm="1">
        <f t="array" ref="AC47">IFERROR(ROUNDUP(IF(OR($U47=2,$U47=3),
INDEX(単価表!$AY$64:$CC$71,MATCH($V47&amp;$W47,INDEX(単価表!$AY$64:$AY$71&amp;単価表!$AZ$64:$AZ$71,),),MATCH(内訳計算!AC$6,単価表!$AY$63:$CC$63,0)),
INDEX(単価表!$AY$64:$CC$71,MATCH($V47&amp;$W47,INDEX(単価表!$AY$64:$AY$71&amp;単価表!$AZ$64:$AZ$71,),),MATCH(内訳計算!AC$6,単価表!$AY$63:$CC$63,0)))*$Y47/25,0),0)</f>
        <v>0</v>
      </c>
      <c r="AD47" s="975" cm="1">
        <f t="array" ref="AD47">IFERROR(ROUNDUP(IF(OR($U47=2,$U47=3),
INDEX(単価表!$AY$64:$CC$71,MATCH($V47&amp;$W47,INDEX(単価表!$AY$64:$AY$71&amp;単価表!$AZ$64:$AZ$71,),),MATCH(内訳計算!AD$6,単価表!$AY$63:$CC$63,0)),
INDEX(単価表!$AY$64:$CC$71,MATCH($V47&amp;$W47,INDEX(単価表!$AY$64:$AY$71&amp;単価表!$AZ$64:$AZ$71,),),MATCH(内訳計算!AD$6,単価表!$AY$63:$CC$63,0)))*$Y47/25,0),0)</f>
        <v>0</v>
      </c>
      <c r="AE47" s="976" cm="1">
        <f t="array" ref="AE47">IFERROR(IF(OR($U47=2,$U47=3),
INDEX(単価表!$AY$64:$CC$71,MATCH($V47&amp;$W47,INDEX(単価表!$AY$64:$AY$71&amp;単価表!$AZ$64:$AZ$71,),),MATCH(内訳計算!AE$6,単価表!$AY$63:$CC$63,0)),
INDEX(単価表!$AY$64:$CC$71,MATCH($V47&amp;$W47,INDEX(単価表!$AY$64:$AY$71&amp;単価表!$AZ$64:$AZ$71,),),MATCH(内訳計算!AE$6,単価表!$AY$63:$CC$63,0))),0)</f>
        <v>0</v>
      </c>
      <c r="AF47" s="977" cm="1">
        <f t="array" ref="AF47">IFERROR(ROUNDUP(IF(OR($U47=2,$U47=3),
INDEX(単価表!$AY$64:$CC$71,MATCH($V47&amp;$W47,INDEX(単価表!$AY$64:$AY$71&amp;単価表!$AZ$64:$AZ$71,),),MATCH(内訳計算!AF$6,単価表!$AY$63:$CC$63,0)),
INDEX(単価表!$AY$64:$CC$71,MATCH($V47&amp;$W47,INDEX(単価表!$AY$64:$AY$71&amp;単価表!$AZ$64:$AZ$71,),),MATCH(内訳計算!AF$6,単価表!$AY$63:$CC$63,0)))*$Y47/25,0),0)</f>
        <v>0</v>
      </c>
      <c r="AG47" s="975" cm="1">
        <f t="array" ref="AG47">IFERROR(ROUNDUP(IF(OR($U47=2,$U47=3),
INDEX(単価表!$AY$64:$CC$71,MATCH($V47&amp;$W47,INDEX(単価表!$AY$64:$AY$71&amp;単価表!$AZ$64:$AZ$71,),),MATCH(内訳計算!AG$6,単価表!$AY$63:$CC$63,0)),
INDEX(単価表!$AY$64:$CC$71,MATCH($V47&amp;$W47,INDEX(単価表!$AY$64:$AY$71&amp;単価表!$AZ$64:$AZ$71,),),MATCH(内訳計算!AG$6,単価表!$AY$63:$CC$63,0)))*$Y47/25,0),0)</f>
        <v>0</v>
      </c>
      <c r="AH47" s="976" cm="1">
        <f t="array" ref="AH47">IFERROR(IF(HLOOKUP($U47,加算と減算!$E$4:$P$10,2,FALSE)="○",IF(OR($U47=2,$U47=3),
INDEX(単価表!$AY$64:$CC$71,MATCH($V47&amp;$W47,INDEX(単価表!$AY$64:$AY$71&amp;単価表!$AZ$64:$AZ$71,),),MATCH(内訳計算!AH$6,単価表!$AY$63:$CC$63,0)),
INDEX(単価表!$AY$64:$CC$71,MATCH($V47&amp;$W47,INDEX(単価表!$AY$64:$AY$71&amp;単価表!$AZ$64:$AZ$71,),),MATCH(内訳計算!AH$6,単価表!$AY$63:$CC$63,0))),0),0)</f>
        <v>0</v>
      </c>
      <c r="AI47" s="978" cm="1">
        <f t="array" ref="AI47">IFERROR(ROUNDUP(IF(HLOOKUP($U47,加算と減算!$E$4:$P$10,2,FALSE)="○",IF(OR($U47=2,$U47=3),
INDEX(単価表!$AY$64:$CC$71,MATCH($V47&amp;$W47,INDEX(単価表!$AY$64:$AY$71&amp;単価表!$AZ$64:$AZ$71,),),MATCH(内訳計算!AI$6,単価表!$AY$63:$CC$63,0)),
INDEX(単価表!$AY$64:$CC$71,MATCH($V47&amp;$W47,INDEX(単価表!$AY$64:$AY$71&amp;単価表!$AZ$64:$AZ$71,),),MATCH(内訳計算!AI$6,単価表!$AY$63:$CC$63,0))),0)*$Y47/25,0),0)</f>
        <v>0</v>
      </c>
      <c r="AJ47" s="977" cm="1">
        <f t="array" ref="AJ47">IFERROR(ROUNDUP(IF(HLOOKUP($U47,加算と減算!$E$4:$P$10,2,FALSE)="○",IF(OR($U47=2,$U47=3),
INDEX(単価表!$AY$64:$CC$71,MATCH($V47&amp;$W47,INDEX(単価表!$AY$64:$AY$71&amp;単価表!$AZ$64:$AZ$71,),),MATCH(内訳計算!AJ$6,単価表!$AY$63:$CC$63,0)),
INDEX(単価表!$AY$64:$CC$71,MATCH($V47&amp;$W47,INDEX(単価表!$AY$64:$AY$71&amp;単価表!$AZ$64:$AZ$71,),),MATCH(内訳計算!AJ$6,単価表!$AY$63:$CC$63,0))),0)*$Y47/25,0),0)</f>
        <v>0</v>
      </c>
      <c r="AK47" s="975" cm="1">
        <f t="array" ref="AK47">IFERROR(ROUNDUP(IF(HLOOKUP($U47,加算と減算!$E$4:$P$10,2,FALSE)="○",IF(OR($U47=2,$U47=3),
INDEX(単価表!$AY$64:$CC$71,MATCH($V47&amp;$W47,INDEX(単価表!$AY$64:$AY$71&amp;単価表!$AZ$64:$AZ$71,),),MATCH(内訳計算!AK$6,単価表!$AY$63:$CC$63,0)),
INDEX(単価表!$AY$64:$CC$71,MATCH($V47&amp;$W47,INDEX(単価表!$AY$64:$AY$71&amp;単価表!$AZ$64:$AZ$71,),),MATCH(内訳計算!AK$6,単価表!$AY$63:$CC$63,0))),0)*$Y47/25,0),0)</f>
        <v>0</v>
      </c>
      <c r="AL47" s="976" cm="1">
        <f t="array" ref="AL47">IFERROR(IF(HLOOKUP($U47,加算と減算!$E$4:$P$10,4,FALSE)="○",IF(OR($U47=2,$U47=3),
INDEX(単価表!$AY$64:$CC$71,MATCH($V47&amp;$W47,INDEX(単価表!$AY$64:$AY$71&amp;単価表!$AZ$64:$AZ$71,),),MATCH(内訳計算!AL$6,単価表!$AY$63:$CC$63,0)),
INDEX(単価表!$AY$64:$CC$71,MATCH($V47&amp;$W47,INDEX(単価表!$AY$64:$AY$71&amp;単価表!$AZ$64:$AZ$71,),),MATCH(内訳計算!AL$6,単価表!$AY$63:$CC$63,0))),0),0)</f>
        <v>0</v>
      </c>
      <c r="AM47" s="977" cm="1">
        <f t="array" ref="AM47">IFERROR(ROUNDUP(IF(HLOOKUP($U47,加算と減算!$E$4:$P$10,4,FALSE)="○",IF(OR($U47=2,$U47=3),
INDEX(単価表!$AY$64:$CC$71,MATCH($V47&amp;$W47,INDEX(単価表!$AY$64:$AY$71&amp;単価表!$AZ$64:$AZ$71,),),MATCH(内訳計算!AM$6,単価表!$AY$63:$CC$63,0)),
INDEX(単価表!$AY$64:$CC$71,MATCH($V47&amp;$W47,INDEX(単価表!$AY$64:$AY$71&amp;単価表!$AZ$64:$AZ$71,),),MATCH(内訳計算!AM$6,単価表!$AY$63:$CC$63,0))),0)*$Y47/25,0),0)</f>
        <v>0</v>
      </c>
      <c r="AN47" s="977" cm="1">
        <f t="array" ref="AN47">IFERROR(ROUNDUP(IF(HLOOKUP($U47,加算と減算!$E$4:$P$10,4,FALSE)="○",IF(OR($U47=2,$U47=3),
INDEX(単価表!$AY$64:$CC$71,MATCH($V47&amp;$W47,INDEX(単価表!$AY$64:$AY$71&amp;単価表!$AZ$64:$AZ$71,),),MATCH(内訳計算!AN$6,単価表!$AY$63:$CC$63,0)),
INDEX(単価表!$AY$64:$CC$71,MATCH($V47&amp;$W47,INDEX(単価表!$AY$64:$AY$71&amp;単価表!$AZ$64:$AZ$71,),),MATCH(内訳計算!AN$6,単価表!$AY$63:$CC$63,0))),0)*$Y47/25,0),0)</f>
        <v>0</v>
      </c>
      <c r="AO47" s="977" cm="1">
        <f t="array" ref="AO47">IFERROR(ROUNDUP(IF(HLOOKUP($U47,加算と減算!$E$4:$P$10,4,FALSE)="○",IF(OR($U47=2,$U47=3),
INDEX(単価表!$AY$64:$CC$71,MATCH($V47&amp;$W47,INDEX(単価表!$AY$64:$AY$71&amp;単価表!$AZ$64:$AZ$71,),),MATCH(内訳計算!AO$6,単価表!$AY$63:$CC$63,0)),
INDEX(単価表!$AY$64:$CC$71,MATCH($V47&amp;$W47,INDEX(単価表!$AY$64:$AY$71&amp;単価表!$AZ$64:$AZ$71,),),MATCH(内訳計算!AO$6,単価表!$AY$63:$CC$63,0))),0)*$Y47/25,0),0)</f>
        <v>0</v>
      </c>
      <c r="AP47" s="977" cm="1">
        <f t="array" ref="AP47">IFERROR(ROUNDUP(IF(HLOOKUP($U47,加算と減算!$E$4:$P$10,4,FALSE)="○",IF(OR($U47=2,$U47=3),
INDEX(単価表!$AY$64:$CC$71,MATCH($V47&amp;$W47,INDEX(単価表!$AY$64:$AY$71&amp;単価表!$AZ$64:$AZ$71,),),MATCH(内訳計算!AP$6,単価表!$AY$63:$CC$63,0)),
INDEX(単価表!$AY$64:$CC$71,MATCH($V47&amp;$W47,INDEX(単価表!$AY$64:$AY$71&amp;単価表!$AZ$64:$AZ$71,),),MATCH(内訳計算!AP$6,単価表!$AY$63:$CC$63,0))),0)*$Y47/25,0),0)</f>
        <v>0</v>
      </c>
      <c r="AQ47" s="975" cm="1">
        <f t="array" ref="AQ47">IFERROR(ROUNDUP(IF(HLOOKUP($U47,加算と減算!$E$4:$P$10,4,FALSE)="○",IF(OR($U47=2,$U47=3),
INDEX(単価表!$AY$64:$CC$71,MATCH($V47&amp;$W47,INDEX(単価表!$AY$64:$AY$71&amp;単価表!$AZ$64:$AZ$71,),),MATCH(内訳計算!AQ$6,単価表!$AY$63:$CC$63,0)),
INDEX(単価表!$AY$64:$CC$71,MATCH($V47&amp;$W47,INDEX(単価表!$AY$64:$AY$71&amp;単価表!$AZ$64:$AZ$71,),),MATCH(内訳計算!AQ$6,単価表!$AY$63:$CC$63,0))),0)*$Y47/25,0),0)</f>
        <v>0</v>
      </c>
      <c r="AR47" s="976" cm="1">
        <f t="array" ref="AR47">IFERROR(IF(HLOOKUP($U47,加算と減算!$E$4:$P$10,5,FALSE)="○",IF(OR($U47=2,$U47=3),
INDEX(単価表!$AY$64:$CC$71,MATCH($V47&amp;$W47,INDEX(単価表!$AY$64:$AY$71&amp;単価表!$AZ$64:$AZ$71,),),MATCH(内訳計算!AR$6,単価表!$AY$63:$CC$63,0)),
INDEX(単価表!$AY$64:$CC$71,MATCH($V47&amp;$W47,INDEX(単価表!$AY$64:$AY$71&amp;単価表!$AZ$64:$AZ$71,),),MATCH(内訳計算!AR$6,単価表!$AY$63:$CC$63,0))),0),0)</f>
        <v>0</v>
      </c>
      <c r="AS47" s="975" cm="1">
        <f t="array" ref="AS47">IFERROR(ROUNDUP(IF(HLOOKUP($U47,加算と減算!$E$4:$P$10,5,FALSE)="○",IF(OR($U47=2,$U47=3),
INDEX(単価表!$AY$64:$CC$71,MATCH($V47&amp;$W47,INDEX(単価表!$AY$64:$AY$71&amp;単価表!$AZ$64:$AZ$71,),),MATCH(内訳計算!AS$6,単価表!$AY$63:$CC$63,0)),
INDEX(単価表!$AY$64:$CC$71,MATCH($V47&amp;$W47,INDEX(単価表!$AY$64:$AY$71&amp;単価表!$AZ$64:$AZ$71,),),MATCH(内訳計算!AS$6,単価表!$AY$63:$CC$63,0))),0)*$Y47/25,0),0)</f>
        <v>0</v>
      </c>
      <c r="AT47" s="976" cm="1">
        <f t="array" ref="AT47">IFERROR(IF(HLOOKUP($U47,加算と減算!$E$4:$P$10,6,FALSE)="○",IF(OR($U47=2,$U47=3),
INDEX(単価表!$AY$64:$CC$71,MATCH($V47&amp;$W47,INDEX(単価表!$AY$64:$AY$71&amp;単価表!$AZ$64:$AZ$71,),),MATCH(内訳計算!AT$6,単価表!$AY$63:$CC$63,0)),
INDEX(単価表!$AY$64:$CC$71,MATCH($V47&amp;$W47,INDEX(単価表!$AY$64:$AY$71&amp;単価表!$AZ$64:$AZ$71,),),MATCH(内訳計算!AT$6,単価表!$AY$63:$CC$63,0))),0),0)</f>
        <v>0</v>
      </c>
      <c r="AU47" s="975" cm="1">
        <f t="array" ref="AU47">IFERROR(ROUNDUP(IF(HLOOKUP($U47,加算と減算!$E$4:$P$10,6,FALSE)="○",IF(OR($U47=2,$U47=3),
INDEX(単価表!$AY$64:$CC$71,MATCH($V47&amp;$W47,INDEX(単価表!$AY$64:$AY$71&amp;単価表!$AZ$64:$AZ$71,),),MATCH(内訳計算!AU$6,単価表!$AY$63:$CC$63,0)),
INDEX(単価表!$AY$64:$CC$71,MATCH($V47&amp;$W47,INDEX(単価表!$AY$64:$AY$71&amp;単価表!$AZ$64:$AZ$71,),),MATCH(内訳計算!AU$6,単価表!$AY$63:$CC$63,0))),0)*$Y47/25,0),0)</f>
        <v>0</v>
      </c>
      <c r="AV47" s="976" cm="1">
        <f t="array" ref="AV47">IFERROR(IF(HLOOKUP($U47,加算と減算!$E$4:$P$10,7,FALSE)="○",IF(OR($U47=2,$U47=3),
INDEX(単価表!$AY$64:$CC$71,MATCH($V47&amp;$W47,INDEX(単価表!$AY$64:$AY$71&amp;単価表!$AZ$64:$AZ$71,),),MATCH(内訳計算!AV$6,単価表!$AY$63:$CC$63,0)),
INDEX(単価表!$AY$64:$CC$71,MATCH($V47&amp;$W47,INDEX(単価表!$AY$64:$AY$71&amp;単価表!$AZ$64:$AZ$71,),),MATCH(内訳計算!AV$6,単価表!$AY$63:$CC$63,0))),0),0)</f>
        <v>0</v>
      </c>
      <c r="AW47" s="977" cm="1">
        <f t="array" ref="AW47">IFERROR(ROUNDUP(IF(HLOOKUP($U47,加算と減算!$E$4:$P$10,7,FALSE)="○",IF(OR($U47=2,$U47=3),
INDEX(単価表!$AY$64:$CC$71,MATCH($V47&amp;$W47,INDEX(単価表!$AY$64:$AY$71&amp;単価表!$AZ$64:$AZ$71,),),MATCH(内訳計算!AW$6,単価表!$AY$63:$CC$63,0)),
INDEX(単価表!$AY$64:$CC$71,MATCH($V47&amp;$W47,INDEX(単価表!$AY$64:$AY$71&amp;単価表!$AZ$64:$AZ$71,),),MATCH(内訳計算!AW$6,単価表!$AY$63:$CC$63,0))),0)*$Y47/25,0),0)</f>
        <v>0</v>
      </c>
      <c r="AX47" s="977" cm="1">
        <f t="array" ref="AX47">IFERROR(ROUNDUP(IF(HLOOKUP($U47,加算と減算!$E$4:$P$10,7,FALSE)="○",IF(OR($U47=2,$U47=3),
INDEX(単価表!$AY$64:$CC$71,MATCH($V47&amp;$W47,INDEX(単価表!$AY$64:$AY$71&amp;単価表!$AZ$64:$AZ$71,),),MATCH(内訳計算!AX$6,単価表!$AY$63:$CC$63,0)),
INDEX(単価表!$AY$64:$CC$71,MATCH($V47&amp;$W47,INDEX(単価表!$AY$64:$AY$71&amp;単価表!$AZ$64:$AZ$71,),),MATCH(内訳計算!AX$6,単価表!$AY$63:$CC$63,0))),0)*$Y47/25,0),0)</f>
        <v>0</v>
      </c>
      <c r="AY47" s="975" cm="1">
        <f t="array" ref="AY47">IFERROR(ROUNDUP(IF(HLOOKUP($U47,加算と減算!$E$4:$P$10,7,FALSE)="○",IF(OR($U47=2,$U47=3),
INDEX(単価表!$AY$64:$CC$71,MATCH($V47&amp;$W47,INDEX(単価表!$AY$64:$AY$71&amp;単価表!$AZ$64:$AZ$71,),),MATCH(内訳計算!AY$6,単価表!$AY$63:$CC$63,0)),
INDEX(単価表!$AY$64:$CC$71,MATCH($V47&amp;$W47,INDEX(単価表!$AY$64:$AY$71&amp;単価表!$AZ$64:$AZ$71,),),MATCH(内訳計算!AY$6,単価表!$AY$63:$CC$63,0))),0)*$Y47/25,0),0)</f>
        <v>0</v>
      </c>
      <c r="AZ47" s="976" cm="1">
        <f t="array" ref="AZ47">IFERROR(IF(X47="○",INDEX(単価表!$AY$64:$CC$71,MATCH($V47&amp;$W47,INDEX(単価表!$AY$64:$AY$71&amp;単価表!$AZ$64:$AZ$71,),),MATCH(内訳計算!AZ$6,単価表!$AY$63:$CC$63,0)),0),0)</f>
        <v>0</v>
      </c>
      <c r="BA47" s="975" cm="1">
        <f t="array" ref="BA47">IFERROR(ROUNDUP(INDEX(単価表!$AY$64:$CC$71,MATCH($V47&amp;$W47,INDEX(単価表!$AY$64:$AY$71&amp;単価表!$AZ$64:$AZ$71,),),MATCH(内訳計算!BA$6,単価表!$AY$63:$CC$63,0))*$Y47/25,0),0)</f>
        <v>0</v>
      </c>
      <c r="BB47" s="976" cm="1">
        <f t="array" ref="BB47">IFERROR(INDEX(単価表!$AY$64:$CC$71,MATCH($V47&amp;$W47,INDEX(単価表!$AY$64:$AY$71&amp;単価表!$AZ$64:$AZ$71,),),MATCH(内訳計算!BB$6,単価表!$AY$63:$CC$63,0)),0)</f>
        <v>0</v>
      </c>
      <c r="BC47" s="975" cm="1">
        <f t="array" ref="BC47">IFERROR(ROUNDUP(INDEX(単価表!$AY$64:$CC$71,MATCH($V47&amp;$W47,INDEX(単価表!$AY$64:$AY$71&amp;単価表!$AZ$64:$AZ$71,),),MATCH(内訳計算!BC$6,単価表!$AY$63:$CC$63,0))*$Y47/25,0),0)</f>
        <v>0</v>
      </c>
      <c r="BD47" s="985">
        <f>IFERROR(IF(HLOOKUP($U47,加算と減算!$E$31:$P$32,2,FALSE)="○",IF(OR($U47=2,$U47=3),-(単価表!$AZ$7+単価表!$BA$7*基本情報!$G$7),-(単価表!$AZ$7+単価表!$BA$7*基本情報!$G$7)),0),0)</f>
        <v>0</v>
      </c>
      <c r="BE47" s="986" t="e">
        <f t="shared" si="70"/>
        <v>#VALUE!</v>
      </c>
      <c r="BF47" s="986" t="e">
        <f t="shared" si="71"/>
        <v>#VALUE!</v>
      </c>
      <c r="BG47" s="987" t="e">
        <f t="shared" si="72"/>
        <v>#N/A</v>
      </c>
      <c r="BH47" s="988">
        <f>IFERROR(IF(基本情報!$E$12&lt;&gt;"",-ROUNDDOWN((AA47+AE47+AH47+AL47)*基本情報!$H$12/100,-1),0),0)</f>
        <v>0</v>
      </c>
      <c r="BI47" s="986" t="e">
        <f t="shared" si="73"/>
        <v>#VALUE!</v>
      </c>
      <c r="BJ47" s="986" t="e">
        <f t="shared" si="74"/>
        <v>#VALUE!</v>
      </c>
      <c r="BK47" s="989" t="e">
        <f t="shared" si="75"/>
        <v>#N/A</v>
      </c>
      <c r="BL47" s="1006">
        <f>IFERROR(-ROUNDUP(SUM(AA47,AE47,AH47,AL47,AR47,AT47,AV47,BD47,BH47)*基本情報!$H$14/100,-1),0)</f>
        <v>0</v>
      </c>
      <c r="BM47" s="1007" t="e">
        <f t="shared" si="79"/>
        <v>#VALUE!</v>
      </c>
      <c r="BN47" s="1007" t="e">
        <f t="shared" si="76"/>
        <v>#VALUE!</v>
      </c>
      <c r="BO47" s="1008" t="e">
        <f t="shared" si="77"/>
        <v>#N/A</v>
      </c>
      <c r="BP47" s="701"/>
      <c r="BQ47" s="701"/>
      <c r="BR47" s="701"/>
      <c r="BS47" s="701"/>
      <c r="BT47" s="721"/>
      <c r="BU47" s="1043" t="e">
        <f t="shared" si="80"/>
        <v>#VALUE!</v>
      </c>
      <c r="BV47" s="1044" t="e">
        <f t="shared" si="81"/>
        <v>#VALUE!</v>
      </c>
      <c r="BW47" s="1044" t="e">
        <f t="shared" si="82"/>
        <v>#N/A</v>
      </c>
      <c r="BX47" s="1051">
        <f t="shared" si="83"/>
        <v>0</v>
      </c>
      <c r="BY47" s="1045">
        <f t="shared" si="84"/>
        <v>0</v>
      </c>
      <c r="CB47" s="1626"/>
      <c r="CC47" s="1600"/>
      <c r="CD47" s="720" t="s">
        <v>42</v>
      </c>
      <c r="CE47" s="741" t="s">
        <v>353</v>
      </c>
      <c r="CF47" s="672">
        <f>'4月'!AQ52</f>
        <v>0</v>
      </c>
      <c r="CG47" s="672">
        <f>'5月'!AQ52</f>
        <v>0</v>
      </c>
      <c r="CH47" s="672">
        <f>'6月'!AQ52</f>
        <v>0</v>
      </c>
      <c r="CI47" s="672">
        <f>'7月'!AQ52</f>
        <v>0</v>
      </c>
      <c r="CJ47" s="672">
        <f>'8月'!AQ52</f>
        <v>0</v>
      </c>
      <c r="CK47" s="672">
        <f>'9月'!AQ52</f>
        <v>0</v>
      </c>
      <c r="CL47" s="672">
        <f>'10月'!AQ52</f>
        <v>0</v>
      </c>
      <c r="CM47" s="672">
        <f>'11月'!AQ52</f>
        <v>0</v>
      </c>
      <c r="CN47" s="672">
        <f>'12月'!AQ52</f>
        <v>0</v>
      </c>
      <c r="CO47" s="672">
        <f>'1月'!AQ52</f>
        <v>0</v>
      </c>
      <c r="CP47" s="672">
        <f>'2月'!AQ52</f>
        <v>0</v>
      </c>
      <c r="CQ47" s="756">
        <f>'3月'!AQ58</f>
        <v>0</v>
      </c>
      <c r="CR47" s="759">
        <f t="shared" si="22"/>
        <v>0</v>
      </c>
      <c r="CS47" s="1600"/>
      <c r="CT47" s="720" t="s">
        <v>42</v>
      </c>
      <c r="CU47" s="958" t="s">
        <v>353</v>
      </c>
      <c r="CV47" s="776"/>
      <c r="CW47" s="776"/>
      <c r="CX47" s="771">
        <f>CR47</f>
        <v>0</v>
      </c>
      <c r="CY47" s="954"/>
      <c r="CZ47" s="954"/>
      <c r="DA47" s="721"/>
      <c r="DB47" s="721"/>
    </row>
    <row r="48" spans="1:106" ht="17.25" thickBot="1">
      <c r="A48" s="1653"/>
      <c r="B48" s="1540"/>
      <c r="C48" s="1542"/>
      <c r="D48" s="708" t="s">
        <v>552</v>
      </c>
      <c r="E48" s="709">
        <f>SUM(児童数!U18:U19)</f>
        <v>0</v>
      </c>
      <c r="F48" s="709">
        <f>'3月'!I38</f>
        <v>0</v>
      </c>
      <c r="G48" s="709">
        <f>G47</f>
        <v>10478</v>
      </c>
      <c r="H48" s="709">
        <f>H35</f>
        <v>0</v>
      </c>
      <c r="I48" s="709">
        <f>F48-G48-H48</f>
        <v>-10478</v>
      </c>
      <c r="J48" s="709">
        <f t="shared" si="92"/>
        <v>0</v>
      </c>
      <c r="K48" s="709">
        <f t="shared" si="93"/>
        <v>0</v>
      </c>
      <c r="L48" s="710">
        <f t="shared" si="94"/>
        <v>0</v>
      </c>
      <c r="T48" s="682">
        <v>15</v>
      </c>
      <c r="U48" s="918">
        <f>月途中入退所情報!N22</f>
        <v>0</v>
      </c>
      <c r="V48" s="918">
        <f>月途中入退所情報!R22</f>
        <v>0</v>
      </c>
      <c r="W48" s="918">
        <f>月途中入退所情報!Q22</f>
        <v>0</v>
      </c>
      <c r="X48" s="945">
        <f>月途中入退所情報!S22</f>
        <v>0</v>
      </c>
      <c r="Y48" s="918">
        <f>月途中入退所情報!T22</f>
        <v>0</v>
      </c>
      <c r="Z48" s="840">
        <f t="shared" si="86"/>
        <v>0</v>
      </c>
      <c r="AA48" s="976" cm="1">
        <f t="array" ref="AA48">IFERROR(IF(OR($U48=2,$U48=3),
INDEX(単価表!$AY$64:$CC$71,MATCH($V48&amp;$W48,INDEX(単価表!$AY$64:$AY$71&amp;単価表!$AZ$64:$AZ$71,),),MATCH(内訳計算!AA$6,単価表!$AY$63:$CC$63,0)),
INDEX(単価表!$AY$64:$CC$71,MATCH($V48&amp;$W48,INDEX(単価表!$AY$64:$AY$71&amp;単価表!$AZ$64:$AZ$71,),),MATCH(内訳計算!AA$6,単価表!$AY$63:$CC$63,0))),0)</f>
        <v>0</v>
      </c>
      <c r="AB48" s="977" t="e">
        <f t="shared" si="78"/>
        <v>#VALUE!</v>
      </c>
      <c r="AC48" s="977" cm="1">
        <f t="array" ref="AC48">IFERROR(ROUNDUP(IF(OR($U48=2,$U48=3),
INDEX(単価表!$AY$64:$CC$71,MATCH($V48&amp;$W48,INDEX(単価表!$AY$64:$AY$71&amp;単価表!$AZ$64:$AZ$71,),),MATCH(内訳計算!AC$6,単価表!$AY$63:$CC$63,0)),
INDEX(単価表!$AY$64:$CC$71,MATCH($V48&amp;$W48,INDEX(単価表!$AY$64:$AY$71&amp;単価表!$AZ$64:$AZ$71,),),MATCH(内訳計算!AC$6,単価表!$AY$63:$CC$63,0)))*$Y48/25,0),0)</f>
        <v>0</v>
      </c>
      <c r="AD48" s="975" cm="1">
        <f t="array" ref="AD48">IFERROR(ROUNDUP(IF(OR($U48=2,$U48=3),
INDEX(単価表!$AY$64:$CC$71,MATCH($V48&amp;$W48,INDEX(単価表!$AY$64:$AY$71&amp;単価表!$AZ$64:$AZ$71,),),MATCH(内訳計算!AD$6,単価表!$AY$63:$CC$63,0)),
INDEX(単価表!$AY$64:$CC$71,MATCH($V48&amp;$W48,INDEX(単価表!$AY$64:$AY$71&amp;単価表!$AZ$64:$AZ$71,),),MATCH(内訳計算!AD$6,単価表!$AY$63:$CC$63,0)))*$Y48/25,0),0)</f>
        <v>0</v>
      </c>
      <c r="AE48" s="976" cm="1">
        <f t="array" ref="AE48">IFERROR(IF(OR($U48=2,$U48=3),
INDEX(単価表!$AY$64:$CC$71,MATCH($V48&amp;$W48,INDEX(単価表!$AY$64:$AY$71&amp;単価表!$AZ$64:$AZ$71,),),MATCH(内訳計算!AE$6,単価表!$AY$63:$CC$63,0)),
INDEX(単価表!$AY$64:$CC$71,MATCH($V48&amp;$W48,INDEX(単価表!$AY$64:$AY$71&amp;単価表!$AZ$64:$AZ$71,),),MATCH(内訳計算!AE$6,単価表!$AY$63:$CC$63,0))),0)</f>
        <v>0</v>
      </c>
      <c r="AF48" s="977" cm="1">
        <f t="array" ref="AF48">IFERROR(ROUNDUP(IF(OR($U48=2,$U48=3),
INDEX(単価表!$AY$64:$CC$71,MATCH($V48&amp;$W48,INDEX(単価表!$AY$64:$AY$71&amp;単価表!$AZ$64:$AZ$71,),),MATCH(内訳計算!AF$6,単価表!$AY$63:$CC$63,0)),
INDEX(単価表!$AY$64:$CC$71,MATCH($V48&amp;$W48,INDEX(単価表!$AY$64:$AY$71&amp;単価表!$AZ$64:$AZ$71,),),MATCH(内訳計算!AF$6,単価表!$AY$63:$CC$63,0)))*$Y48/25,0),0)</f>
        <v>0</v>
      </c>
      <c r="AG48" s="975" cm="1">
        <f t="array" ref="AG48">IFERROR(ROUNDUP(IF(OR($U48=2,$U48=3),
INDEX(単価表!$AY$64:$CC$71,MATCH($V48&amp;$W48,INDEX(単価表!$AY$64:$AY$71&amp;単価表!$AZ$64:$AZ$71,),),MATCH(内訳計算!AG$6,単価表!$AY$63:$CC$63,0)),
INDEX(単価表!$AY$64:$CC$71,MATCH($V48&amp;$W48,INDEX(単価表!$AY$64:$AY$71&amp;単価表!$AZ$64:$AZ$71,),),MATCH(内訳計算!AG$6,単価表!$AY$63:$CC$63,0)))*$Y48/25,0),0)</f>
        <v>0</v>
      </c>
      <c r="AH48" s="976" cm="1">
        <f t="array" ref="AH48">IFERROR(IF(HLOOKUP($U48,加算と減算!$E$4:$P$10,2,FALSE)="○",IF(OR($U48=2,$U48=3),
INDEX(単価表!$AY$64:$CC$71,MATCH($V48&amp;$W48,INDEX(単価表!$AY$64:$AY$71&amp;単価表!$AZ$64:$AZ$71,),),MATCH(内訳計算!AH$6,単価表!$AY$63:$CC$63,0)),
INDEX(単価表!$AY$64:$CC$71,MATCH($V48&amp;$W48,INDEX(単価表!$AY$64:$AY$71&amp;単価表!$AZ$64:$AZ$71,),),MATCH(内訳計算!AH$6,単価表!$AY$63:$CC$63,0))),0),0)</f>
        <v>0</v>
      </c>
      <c r="AI48" s="978" cm="1">
        <f t="array" ref="AI48">IFERROR(ROUNDUP(IF(HLOOKUP($U48,加算と減算!$E$4:$P$10,2,FALSE)="○",IF(OR($U48=2,$U48=3),
INDEX(単価表!$AY$64:$CC$71,MATCH($V48&amp;$W48,INDEX(単価表!$AY$64:$AY$71&amp;単価表!$AZ$64:$AZ$71,),),MATCH(内訳計算!AI$6,単価表!$AY$63:$CC$63,0)),
INDEX(単価表!$AY$64:$CC$71,MATCH($V48&amp;$W48,INDEX(単価表!$AY$64:$AY$71&amp;単価表!$AZ$64:$AZ$71,),),MATCH(内訳計算!AI$6,単価表!$AY$63:$CC$63,0))),0)*$Y48/25,0),0)</f>
        <v>0</v>
      </c>
      <c r="AJ48" s="977" cm="1">
        <f t="array" ref="AJ48">IFERROR(ROUNDUP(IF(HLOOKUP($U48,加算と減算!$E$4:$P$10,2,FALSE)="○",IF(OR($U48=2,$U48=3),
INDEX(単価表!$AY$64:$CC$71,MATCH($V48&amp;$W48,INDEX(単価表!$AY$64:$AY$71&amp;単価表!$AZ$64:$AZ$71,),),MATCH(内訳計算!AJ$6,単価表!$AY$63:$CC$63,0)),
INDEX(単価表!$AY$64:$CC$71,MATCH($V48&amp;$W48,INDEX(単価表!$AY$64:$AY$71&amp;単価表!$AZ$64:$AZ$71,),),MATCH(内訳計算!AJ$6,単価表!$AY$63:$CC$63,0))),0)*$Y48/25,0),0)</f>
        <v>0</v>
      </c>
      <c r="AK48" s="975" cm="1">
        <f t="array" ref="AK48">IFERROR(ROUNDUP(IF(HLOOKUP($U48,加算と減算!$E$4:$P$10,2,FALSE)="○",IF(OR($U48=2,$U48=3),
INDEX(単価表!$AY$64:$CC$71,MATCH($V48&amp;$W48,INDEX(単価表!$AY$64:$AY$71&amp;単価表!$AZ$64:$AZ$71,),),MATCH(内訳計算!AK$6,単価表!$AY$63:$CC$63,0)),
INDEX(単価表!$AY$64:$CC$71,MATCH($V48&amp;$W48,INDEX(単価表!$AY$64:$AY$71&amp;単価表!$AZ$64:$AZ$71,),),MATCH(内訳計算!AK$6,単価表!$AY$63:$CC$63,0))),0)*$Y48/25,0),0)</f>
        <v>0</v>
      </c>
      <c r="AL48" s="976" cm="1">
        <f t="array" ref="AL48">IFERROR(IF(HLOOKUP($U48,加算と減算!$E$4:$P$10,4,FALSE)="○",IF(OR($U48=2,$U48=3),
INDEX(単価表!$AY$64:$CC$71,MATCH($V48&amp;$W48,INDEX(単価表!$AY$64:$AY$71&amp;単価表!$AZ$64:$AZ$71,),),MATCH(内訳計算!AL$6,単価表!$AY$63:$CC$63,0)),
INDEX(単価表!$AY$64:$CC$71,MATCH($V48&amp;$W48,INDEX(単価表!$AY$64:$AY$71&amp;単価表!$AZ$64:$AZ$71,),),MATCH(内訳計算!AL$6,単価表!$AY$63:$CC$63,0))),0),0)</f>
        <v>0</v>
      </c>
      <c r="AM48" s="977" cm="1">
        <f t="array" ref="AM48">IFERROR(ROUNDUP(IF(HLOOKUP($U48,加算と減算!$E$4:$P$10,4,FALSE)="○",IF(OR($U48=2,$U48=3),
INDEX(単価表!$AY$64:$CC$71,MATCH($V48&amp;$W48,INDEX(単価表!$AY$64:$AY$71&amp;単価表!$AZ$64:$AZ$71,),),MATCH(内訳計算!AM$6,単価表!$AY$63:$CC$63,0)),
INDEX(単価表!$AY$64:$CC$71,MATCH($V48&amp;$W48,INDEX(単価表!$AY$64:$AY$71&amp;単価表!$AZ$64:$AZ$71,),),MATCH(内訳計算!AM$6,単価表!$AY$63:$CC$63,0))),0)*$Y48/25,0),0)</f>
        <v>0</v>
      </c>
      <c r="AN48" s="977" cm="1">
        <f t="array" ref="AN48">IFERROR(ROUNDUP(IF(HLOOKUP($U48,加算と減算!$E$4:$P$10,4,FALSE)="○",IF(OR($U48=2,$U48=3),
INDEX(単価表!$AY$64:$CC$71,MATCH($V48&amp;$W48,INDEX(単価表!$AY$64:$AY$71&amp;単価表!$AZ$64:$AZ$71,),),MATCH(内訳計算!AN$6,単価表!$AY$63:$CC$63,0)),
INDEX(単価表!$AY$64:$CC$71,MATCH($V48&amp;$W48,INDEX(単価表!$AY$64:$AY$71&amp;単価表!$AZ$64:$AZ$71,),),MATCH(内訳計算!AN$6,単価表!$AY$63:$CC$63,0))),0)*$Y48/25,0),0)</f>
        <v>0</v>
      </c>
      <c r="AO48" s="977" cm="1">
        <f t="array" ref="AO48">IFERROR(ROUNDUP(IF(HLOOKUP($U48,加算と減算!$E$4:$P$10,4,FALSE)="○",IF(OR($U48=2,$U48=3),
INDEX(単価表!$AY$64:$CC$71,MATCH($V48&amp;$W48,INDEX(単価表!$AY$64:$AY$71&amp;単価表!$AZ$64:$AZ$71,),),MATCH(内訳計算!AO$6,単価表!$AY$63:$CC$63,0)),
INDEX(単価表!$AY$64:$CC$71,MATCH($V48&amp;$W48,INDEX(単価表!$AY$64:$AY$71&amp;単価表!$AZ$64:$AZ$71,),),MATCH(内訳計算!AO$6,単価表!$AY$63:$CC$63,0))),0)*$Y48/25,0),0)</f>
        <v>0</v>
      </c>
      <c r="AP48" s="977" cm="1">
        <f t="array" ref="AP48">IFERROR(ROUNDUP(IF(HLOOKUP($U48,加算と減算!$E$4:$P$10,4,FALSE)="○",IF(OR($U48=2,$U48=3),
INDEX(単価表!$AY$64:$CC$71,MATCH($V48&amp;$W48,INDEX(単価表!$AY$64:$AY$71&amp;単価表!$AZ$64:$AZ$71,),),MATCH(内訳計算!AP$6,単価表!$AY$63:$CC$63,0)),
INDEX(単価表!$AY$64:$CC$71,MATCH($V48&amp;$W48,INDEX(単価表!$AY$64:$AY$71&amp;単価表!$AZ$64:$AZ$71,),),MATCH(内訳計算!AP$6,単価表!$AY$63:$CC$63,0))),0)*$Y48/25,0),0)</f>
        <v>0</v>
      </c>
      <c r="AQ48" s="975" cm="1">
        <f t="array" ref="AQ48">IFERROR(ROUNDUP(IF(HLOOKUP($U48,加算と減算!$E$4:$P$10,4,FALSE)="○",IF(OR($U48=2,$U48=3),
INDEX(単価表!$AY$64:$CC$71,MATCH($V48&amp;$W48,INDEX(単価表!$AY$64:$AY$71&amp;単価表!$AZ$64:$AZ$71,),),MATCH(内訳計算!AQ$6,単価表!$AY$63:$CC$63,0)),
INDEX(単価表!$AY$64:$CC$71,MATCH($V48&amp;$W48,INDEX(単価表!$AY$64:$AY$71&amp;単価表!$AZ$64:$AZ$71,),),MATCH(内訳計算!AQ$6,単価表!$AY$63:$CC$63,0))),0)*$Y48/25,0),0)</f>
        <v>0</v>
      </c>
      <c r="AR48" s="976" cm="1">
        <f t="array" ref="AR48">IFERROR(IF(HLOOKUP($U48,加算と減算!$E$4:$P$10,5,FALSE)="○",IF(OR($U48=2,$U48=3),
INDEX(単価表!$AY$64:$CC$71,MATCH($V48&amp;$W48,INDEX(単価表!$AY$64:$AY$71&amp;単価表!$AZ$64:$AZ$71,),),MATCH(内訳計算!AR$6,単価表!$AY$63:$CC$63,0)),
INDEX(単価表!$AY$64:$CC$71,MATCH($V48&amp;$W48,INDEX(単価表!$AY$64:$AY$71&amp;単価表!$AZ$64:$AZ$71,),),MATCH(内訳計算!AR$6,単価表!$AY$63:$CC$63,0))),0),0)</f>
        <v>0</v>
      </c>
      <c r="AS48" s="975" cm="1">
        <f t="array" ref="AS48">IFERROR(ROUNDUP(IF(HLOOKUP($U48,加算と減算!$E$4:$P$10,5,FALSE)="○",IF(OR($U48=2,$U48=3),
INDEX(単価表!$AY$64:$CC$71,MATCH($V48&amp;$W48,INDEX(単価表!$AY$64:$AY$71&amp;単価表!$AZ$64:$AZ$71,),),MATCH(内訳計算!AS$6,単価表!$AY$63:$CC$63,0)),
INDEX(単価表!$AY$64:$CC$71,MATCH($V48&amp;$W48,INDEX(単価表!$AY$64:$AY$71&amp;単価表!$AZ$64:$AZ$71,),),MATCH(内訳計算!AS$6,単価表!$AY$63:$CC$63,0))),0)*$Y48/25,0),0)</f>
        <v>0</v>
      </c>
      <c r="AT48" s="976" cm="1">
        <f t="array" ref="AT48">IFERROR(IF(HLOOKUP($U48,加算と減算!$E$4:$P$10,6,FALSE)="○",IF(OR($U48=2,$U48=3),
INDEX(単価表!$AY$64:$CC$71,MATCH($V48&amp;$W48,INDEX(単価表!$AY$64:$AY$71&amp;単価表!$AZ$64:$AZ$71,),),MATCH(内訳計算!AT$6,単価表!$AY$63:$CC$63,0)),
INDEX(単価表!$AY$64:$CC$71,MATCH($V48&amp;$W48,INDEX(単価表!$AY$64:$AY$71&amp;単価表!$AZ$64:$AZ$71,),),MATCH(内訳計算!AT$6,単価表!$AY$63:$CC$63,0))),0),0)</f>
        <v>0</v>
      </c>
      <c r="AU48" s="975" cm="1">
        <f t="array" ref="AU48">IFERROR(ROUNDUP(IF(HLOOKUP($U48,加算と減算!$E$4:$P$10,6,FALSE)="○",IF(OR($U48=2,$U48=3),
INDEX(単価表!$AY$64:$CC$71,MATCH($V48&amp;$W48,INDEX(単価表!$AY$64:$AY$71&amp;単価表!$AZ$64:$AZ$71,),),MATCH(内訳計算!AU$6,単価表!$AY$63:$CC$63,0)),
INDEX(単価表!$AY$64:$CC$71,MATCH($V48&amp;$W48,INDEX(単価表!$AY$64:$AY$71&amp;単価表!$AZ$64:$AZ$71,),),MATCH(内訳計算!AU$6,単価表!$AY$63:$CC$63,0))),0)*$Y48/25,0),0)</f>
        <v>0</v>
      </c>
      <c r="AV48" s="976" cm="1">
        <f t="array" ref="AV48">IFERROR(IF(HLOOKUP($U48,加算と減算!$E$4:$P$10,7,FALSE)="○",IF(OR($U48=2,$U48=3),
INDEX(単価表!$AY$64:$CC$71,MATCH($V48&amp;$W48,INDEX(単価表!$AY$64:$AY$71&amp;単価表!$AZ$64:$AZ$71,),),MATCH(内訳計算!AV$6,単価表!$AY$63:$CC$63,0)),
INDEX(単価表!$AY$64:$CC$71,MATCH($V48&amp;$W48,INDEX(単価表!$AY$64:$AY$71&amp;単価表!$AZ$64:$AZ$71,),),MATCH(内訳計算!AV$6,単価表!$AY$63:$CC$63,0))),0),0)</f>
        <v>0</v>
      </c>
      <c r="AW48" s="977" cm="1">
        <f t="array" ref="AW48">IFERROR(ROUNDUP(IF(HLOOKUP($U48,加算と減算!$E$4:$P$10,7,FALSE)="○",IF(OR($U48=2,$U48=3),
INDEX(単価表!$AY$64:$CC$71,MATCH($V48&amp;$W48,INDEX(単価表!$AY$64:$AY$71&amp;単価表!$AZ$64:$AZ$71,),),MATCH(内訳計算!AW$6,単価表!$AY$63:$CC$63,0)),
INDEX(単価表!$AY$64:$CC$71,MATCH($V48&amp;$W48,INDEX(単価表!$AY$64:$AY$71&amp;単価表!$AZ$64:$AZ$71,),),MATCH(内訳計算!AW$6,単価表!$AY$63:$CC$63,0))),0)*$Y48/25,0),0)</f>
        <v>0</v>
      </c>
      <c r="AX48" s="977" cm="1">
        <f t="array" ref="AX48">IFERROR(ROUNDUP(IF(HLOOKUP($U48,加算と減算!$E$4:$P$10,7,FALSE)="○",IF(OR($U48=2,$U48=3),
INDEX(単価表!$AY$64:$CC$71,MATCH($V48&amp;$W48,INDEX(単価表!$AY$64:$AY$71&amp;単価表!$AZ$64:$AZ$71,),),MATCH(内訳計算!AX$6,単価表!$AY$63:$CC$63,0)),
INDEX(単価表!$AY$64:$CC$71,MATCH($V48&amp;$W48,INDEX(単価表!$AY$64:$AY$71&amp;単価表!$AZ$64:$AZ$71,),),MATCH(内訳計算!AX$6,単価表!$AY$63:$CC$63,0))),0)*$Y48/25,0),0)</f>
        <v>0</v>
      </c>
      <c r="AY48" s="975" cm="1">
        <f t="array" ref="AY48">IFERROR(ROUNDUP(IF(HLOOKUP($U48,加算と減算!$E$4:$P$10,7,FALSE)="○",IF(OR($U48=2,$U48=3),
INDEX(単価表!$AY$64:$CC$71,MATCH($V48&amp;$W48,INDEX(単価表!$AY$64:$AY$71&amp;単価表!$AZ$64:$AZ$71,),),MATCH(内訳計算!AY$6,単価表!$AY$63:$CC$63,0)),
INDEX(単価表!$AY$64:$CC$71,MATCH($V48&amp;$W48,INDEX(単価表!$AY$64:$AY$71&amp;単価表!$AZ$64:$AZ$71,),),MATCH(内訳計算!AY$6,単価表!$AY$63:$CC$63,0))),0)*$Y48/25,0),0)</f>
        <v>0</v>
      </c>
      <c r="AZ48" s="976" cm="1">
        <f t="array" ref="AZ48">IFERROR(IF(X48="○",INDEX(単価表!$AY$64:$CC$71,MATCH($V48&amp;$W48,INDEX(単価表!$AY$64:$AY$71&amp;単価表!$AZ$64:$AZ$71,),),MATCH(内訳計算!AZ$6,単価表!$AY$63:$CC$63,0)),0),0)</f>
        <v>0</v>
      </c>
      <c r="BA48" s="975" cm="1">
        <f t="array" ref="BA48">IFERROR(ROUNDUP(INDEX(単価表!$AY$64:$CC$71,MATCH($V48&amp;$W48,INDEX(単価表!$AY$64:$AY$71&amp;単価表!$AZ$64:$AZ$71,),),MATCH(内訳計算!BA$6,単価表!$AY$63:$CC$63,0))*$Y48/25,0),0)</f>
        <v>0</v>
      </c>
      <c r="BB48" s="976" cm="1">
        <f t="array" ref="BB48">IFERROR(INDEX(単価表!$AY$64:$CC$71,MATCH($V48&amp;$W48,INDEX(単価表!$AY$64:$AY$71&amp;単価表!$AZ$64:$AZ$71,),),MATCH(内訳計算!BB$6,単価表!$AY$63:$CC$63,0)),0)</f>
        <v>0</v>
      </c>
      <c r="BC48" s="975" cm="1">
        <f t="array" ref="BC48">IFERROR(ROUNDUP(INDEX(単価表!$AY$64:$CC$71,MATCH($V48&amp;$W48,INDEX(単価表!$AY$64:$AY$71&amp;単価表!$AZ$64:$AZ$71,),),MATCH(内訳計算!BC$6,単価表!$AY$63:$CC$63,0))*$Y48/25,0),0)</f>
        <v>0</v>
      </c>
      <c r="BD48" s="985">
        <f>IFERROR(IF(HLOOKUP($U48,加算と減算!$E$31:$P$32,2,FALSE)="○",IF(OR($U48=2,$U48=3),-(単価表!$AZ$7+単価表!$BA$7*基本情報!$G$7),-(単価表!$AZ$7+単価表!$BA$7*基本情報!$G$7)),0),0)</f>
        <v>0</v>
      </c>
      <c r="BE48" s="986" t="e">
        <f t="shared" si="70"/>
        <v>#VALUE!</v>
      </c>
      <c r="BF48" s="986" t="e">
        <f t="shared" si="71"/>
        <v>#VALUE!</v>
      </c>
      <c r="BG48" s="987" t="e">
        <f t="shared" si="72"/>
        <v>#N/A</v>
      </c>
      <c r="BH48" s="988">
        <f>IFERROR(IF(基本情報!$E$12&lt;&gt;"",-ROUNDDOWN((AA48+AE48+AH48+AL48)*基本情報!$H$12/100,-1),0),0)</f>
        <v>0</v>
      </c>
      <c r="BI48" s="986" t="e">
        <f t="shared" si="73"/>
        <v>#VALUE!</v>
      </c>
      <c r="BJ48" s="986" t="e">
        <f t="shared" si="74"/>
        <v>#VALUE!</v>
      </c>
      <c r="BK48" s="989" t="e">
        <f t="shared" si="75"/>
        <v>#N/A</v>
      </c>
      <c r="BL48" s="1006">
        <f>IFERROR(-ROUNDUP(SUM(AA48,AE48,AH48,AL48,AR48,AT48,AV48,BD48,BH48)*基本情報!$H$14/100,-1),0)</f>
        <v>0</v>
      </c>
      <c r="BM48" s="1007" t="e">
        <f t="shared" si="79"/>
        <v>#VALUE!</v>
      </c>
      <c r="BN48" s="1007" t="e">
        <f t="shared" si="76"/>
        <v>#VALUE!</v>
      </c>
      <c r="BO48" s="1008" t="e">
        <f t="shared" si="77"/>
        <v>#N/A</v>
      </c>
      <c r="BP48" s="701"/>
      <c r="BQ48" s="701"/>
      <c r="BR48" s="701"/>
      <c r="BS48" s="701"/>
      <c r="BT48" s="721"/>
      <c r="BU48" s="1043" t="e">
        <f t="shared" si="80"/>
        <v>#VALUE!</v>
      </c>
      <c r="BV48" s="1044" t="e">
        <f t="shared" si="81"/>
        <v>#VALUE!</v>
      </c>
      <c r="BW48" s="1044" t="e">
        <f t="shared" si="82"/>
        <v>#N/A</v>
      </c>
      <c r="BX48" s="1051">
        <f t="shared" si="83"/>
        <v>0</v>
      </c>
      <c r="BY48" s="1045">
        <f t="shared" si="84"/>
        <v>0</v>
      </c>
      <c r="CB48" s="1626"/>
      <c r="CC48" s="1600"/>
      <c r="CD48" s="720" t="s">
        <v>80</v>
      </c>
      <c r="CE48" s="741" t="s">
        <v>353</v>
      </c>
      <c r="CF48" s="672">
        <f>'4月'!AQ53</f>
        <v>0</v>
      </c>
      <c r="CG48" s="672">
        <f>'5月'!AQ53</f>
        <v>0</v>
      </c>
      <c r="CH48" s="672">
        <f>'6月'!AQ53</f>
        <v>0</v>
      </c>
      <c r="CI48" s="672">
        <f>'7月'!AQ53</f>
        <v>0</v>
      </c>
      <c r="CJ48" s="672">
        <f>'8月'!AQ53</f>
        <v>0</v>
      </c>
      <c r="CK48" s="672">
        <f>'9月'!AQ53</f>
        <v>0</v>
      </c>
      <c r="CL48" s="672">
        <f>'10月'!AQ53</f>
        <v>0</v>
      </c>
      <c r="CM48" s="672">
        <f>'11月'!AQ53</f>
        <v>0</v>
      </c>
      <c r="CN48" s="672">
        <f>'12月'!AQ53</f>
        <v>0</v>
      </c>
      <c r="CO48" s="672">
        <f>'1月'!AQ53</f>
        <v>0</v>
      </c>
      <c r="CP48" s="672">
        <f>'2月'!AQ53</f>
        <v>0</v>
      </c>
      <c r="CQ48" s="756">
        <f>'3月'!AQ59</f>
        <v>0</v>
      </c>
      <c r="CR48" s="759">
        <f t="shared" si="22"/>
        <v>0</v>
      </c>
      <c r="CS48" s="1600"/>
      <c r="CT48" s="720" t="s">
        <v>80</v>
      </c>
      <c r="CU48" s="958" t="s">
        <v>353</v>
      </c>
      <c r="CV48" s="776"/>
      <c r="CW48" s="776"/>
      <c r="CX48" s="771" t="e">
        <f>CR48-CY48-CZ48</f>
        <v>#DIV/0!</v>
      </c>
      <c r="CY48" s="1055" t="e">
        <f>SUMPRODUCT($CF$2:$CQ$2,処遇Ⅰ計算用!$AA$21:$AL$21)+SUMPRODUCT($CF$2:$CQ$2,処遇Ⅰ計算用!$AA$22:$AL$22)</f>
        <v>#DIV/0!</v>
      </c>
      <c r="CZ48" s="1055" t="e">
        <f>SUMPRODUCT($CF$2:$CQ$2,処遇Ⅰ計算用!$AA$31:$AL$31)+SUMPRODUCT($CF$2:$CQ$2,処遇Ⅰ計算用!$AA$32:$AL$32)</f>
        <v>#DIV/0!</v>
      </c>
      <c r="DA48" s="721"/>
      <c r="DB48" s="721"/>
    </row>
    <row r="49" spans="1:114" ht="18" thickTop="1" thickBot="1">
      <c r="A49" s="1653"/>
      <c r="B49" s="1540"/>
      <c r="C49" s="1543"/>
      <c r="D49" s="711" t="s">
        <v>36</v>
      </c>
      <c r="E49" s="712">
        <f>SUM(E45:E48)</f>
        <v>0</v>
      </c>
      <c r="F49" s="714"/>
      <c r="G49" s="714"/>
      <c r="H49" s="714"/>
      <c r="I49" s="714"/>
      <c r="J49" s="712">
        <f>SUM(J45:J48)</f>
        <v>0</v>
      </c>
      <c r="K49" s="712">
        <f t="shared" ref="K49:L49" si="95">SUM(K45:K48)</f>
        <v>0</v>
      </c>
      <c r="L49" s="713">
        <f t="shared" si="95"/>
        <v>0</v>
      </c>
      <c r="T49" s="682">
        <v>16</v>
      </c>
      <c r="U49" s="918">
        <f>月途中入退所情報!N23</f>
        <v>0</v>
      </c>
      <c r="V49" s="918">
        <f>月途中入退所情報!R23</f>
        <v>0</v>
      </c>
      <c r="W49" s="918">
        <f>月途中入退所情報!Q23</f>
        <v>0</v>
      </c>
      <c r="X49" s="945">
        <f>月途中入退所情報!S23</f>
        <v>0</v>
      </c>
      <c r="Y49" s="918">
        <f>月途中入退所情報!T23</f>
        <v>0</v>
      </c>
      <c r="Z49" s="840">
        <f t="shared" si="86"/>
        <v>0</v>
      </c>
      <c r="AA49" s="976" cm="1">
        <f t="array" ref="AA49">IFERROR(IF(OR($U49=2,$U49=3),
INDEX(単価表!$AY$64:$CC$71,MATCH($V49&amp;$W49,INDEX(単価表!$AY$64:$AY$71&amp;単価表!$AZ$64:$AZ$71,),),MATCH(内訳計算!AA$6,単価表!$AY$63:$CC$63,0)),
INDEX(単価表!$AY$64:$CC$71,MATCH($V49&amp;$W49,INDEX(単価表!$AY$64:$AY$71&amp;単価表!$AZ$64:$AZ$71,),),MATCH(内訳計算!AA$6,単価表!$AY$63:$CC$63,0))),0)</f>
        <v>0</v>
      </c>
      <c r="AB49" s="977" t="e">
        <f t="shared" si="78"/>
        <v>#VALUE!</v>
      </c>
      <c r="AC49" s="977" cm="1">
        <f t="array" ref="AC49">IFERROR(ROUNDUP(IF(OR($U49=2,$U49=3),
INDEX(単価表!$AY$64:$CC$71,MATCH($V49&amp;$W49,INDEX(単価表!$AY$64:$AY$71&amp;単価表!$AZ$64:$AZ$71,),),MATCH(内訳計算!AC$6,単価表!$AY$63:$CC$63,0)),
INDEX(単価表!$AY$64:$CC$71,MATCH($V49&amp;$W49,INDEX(単価表!$AY$64:$AY$71&amp;単価表!$AZ$64:$AZ$71,),),MATCH(内訳計算!AC$6,単価表!$AY$63:$CC$63,0)))*$Y49/25,0),0)</f>
        <v>0</v>
      </c>
      <c r="AD49" s="975" cm="1">
        <f t="array" ref="AD49">IFERROR(ROUNDUP(IF(OR($U49=2,$U49=3),
INDEX(単価表!$AY$64:$CC$71,MATCH($V49&amp;$W49,INDEX(単価表!$AY$64:$AY$71&amp;単価表!$AZ$64:$AZ$71,),),MATCH(内訳計算!AD$6,単価表!$AY$63:$CC$63,0)),
INDEX(単価表!$AY$64:$CC$71,MATCH($V49&amp;$W49,INDEX(単価表!$AY$64:$AY$71&amp;単価表!$AZ$64:$AZ$71,),),MATCH(内訳計算!AD$6,単価表!$AY$63:$CC$63,0)))*$Y49/25,0),0)</f>
        <v>0</v>
      </c>
      <c r="AE49" s="976" cm="1">
        <f t="array" ref="AE49">IFERROR(IF(OR($U49=2,$U49=3),
INDEX(単価表!$AY$64:$CC$71,MATCH($V49&amp;$W49,INDEX(単価表!$AY$64:$AY$71&amp;単価表!$AZ$64:$AZ$71,),),MATCH(内訳計算!AE$6,単価表!$AY$63:$CC$63,0)),
INDEX(単価表!$AY$64:$CC$71,MATCH($V49&amp;$W49,INDEX(単価表!$AY$64:$AY$71&amp;単価表!$AZ$64:$AZ$71,),),MATCH(内訳計算!AE$6,単価表!$AY$63:$CC$63,0))),0)</f>
        <v>0</v>
      </c>
      <c r="AF49" s="977" cm="1">
        <f t="array" ref="AF49">IFERROR(ROUNDUP(IF(OR($U49=2,$U49=3),
INDEX(単価表!$AY$64:$CC$71,MATCH($V49&amp;$W49,INDEX(単価表!$AY$64:$AY$71&amp;単価表!$AZ$64:$AZ$71,),),MATCH(内訳計算!AF$6,単価表!$AY$63:$CC$63,0)),
INDEX(単価表!$AY$64:$CC$71,MATCH($V49&amp;$W49,INDEX(単価表!$AY$64:$AY$71&amp;単価表!$AZ$64:$AZ$71,),),MATCH(内訳計算!AF$6,単価表!$AY$63:$CC$63,0)))*$Y49/25,0),0)</f>
        <v>0</v>
      </c>
      <c r="AG49" s="975" cm="1">
        <f t="array" ref="AG49">IFERROR(ROUNDUP(IF(OR($U49=2,$U49=3),
INDEX(単価表!$AY$64:$CC$71,MATCH($V49&amp;$W49,INDEX(単価表!$AY$64:$AY$71&amp;単価表!$AZ$64:$AZ$71,),),MATCH(内訳計算!AG$6,単価表!$AY$63:$CC$63,0)),
INDEX(単価表!$AY$64:$CC$71,MATCH($V49&amp;$W49,INDEX(単価表!$AY$64:$AY$71&amp;単価表!$AZ$64:$AZ$71,),),MATCH(内訳計算!AG$6,単価表!$AY$63:$CC$63,0)))*$Y49/25,0),0)</f>
        <v>0</v>
      </c>
      <c r="AH49" s="976" cm="1">
        <f t="array" ref="AH49">IFERROR(IF(HLOOKUP($U49,加算と減算!$E$4:$P$10,2,FALSE)="○",IF(OR($U49=2,$U49=3),
INDEX(単価表!$AY$64:$CC$71,MATCH($V49&amp;$W49,INDEX(単価表!$AY$64:$AY$71&amp;単価表!$AZ$64:$AZ$71,),),MATCH(内訳計算!AH$6,単価表!$AY$63:$CC$63,0)),
INDEX(単価表!$AY$64:$CC$71,MATCH($V49&amp;$W49,INDEX(単価表!$AY$64:$AY$71&amp;単価表!$AZ$64:$AZ$71,),),MATCH(内訳計算!AH$6,単価表!$AY$63:$CC$63,0))),0),0)</f>
        <v>0</v>
      </c>
      <c r="AI49" s="978" cm="1">
        <f t="array" ref="AI49">IFERROR(ROUNDUP(IF(HLOOKUP($U49,加算と減算!$E$4:$P$10,2,FALSE)="○",IF(OR($U49=2,$U49=3),
INDEX(単価表!$AY$64:$CC$71,MATCH($V49&amp;$W49,INDEX(単価表!$AY$64:$AY$71&amp;単価表!$AZ$64:$AZ$71,),),MATCH(内訳計算!AI$6,単価表!$AY$63:$CC$63,0)),
INDEX(単価表!$AY$64:$CC$71,MATCH($V49&amp;$W49,INDEX(単価表!$AY$64:$AY$71&amp;単価表!$AZ$64:$AZ$71,),),MATCH(内訳計算!AI$6,単価表!$AY$63:$CC$63,0))),0)*$Y49/25,0),0)</f>
        <v>0</v>
      </c>
      <c r="AJ49" s="977" cm="1">
        <f t="array" ref="AJ49">IFERROR(ROUNDUP(IF(HLOOKUP($U49,加算と減算!$E$4:$P$10,2,FALSE)="○",IF(OR($U49=2,$U49=3),
INDEX(単価表!$AY$64:$CC$71,MATCH($V49&amp;$W49,INDEX(単価表!$AY$64:$AY$71&amp;単価表!$AZ$64:$AZ$71,),),MATCH(内訳計算!AJ$6,単価表!$AY$63:$CC$63,0)),
INDEX(単価表!$AY$64:$CC$71,MATCH($V49&amp;$W49,INDEX(単価表!$AY$64:$AY$71&amp;単価表!$AZ$64:$AZ$71,),),MATCH(内訳計算!AJ$6,単価表!$AY$63:$CC$63,0))),0)*$Y49/25,0),0)</f>
        <v>0</v>
      </c>
      <c r="AK49" s="975" cm="1">
        <f t="array" ref="AK49">IFERROR(ROUNDUP(IF(HLOOKUP($U49,加算と減算!$E$4:$P$10,2,FALSE)="○",IF(OR($U49=2,$U49=3),
INDEX(単価表!$AY$64:$CC$71,MATCH($V49&amp;$W49,INDEX(単価表!$AY$64:$AY$71&amp;単価表!$AZ$64:$AZ$71,),),MATCH(内訳計算!AK$6,単価表!$AY$63:$CC$63,0)),
INDEX(単価表!$AY$64:$CC$71,MATCH($V49&amp;$W49,INDEX(単価表!$AY$64:$AY$71&amp;単価表!$AZ$64:$AZ$71,),),MATCH(内訳計算!AK$6,単価表!$AY$63:$CC$63,0))),0)*$Y49/25,0),0)</f>
        <v>0</v>
      </c>
      <c r="AL49" s="976" cm="1">
        <f t="array" ref="AL49">IFERROR(IF(HLOOKUP($U49,加算と減算!$E$4:$P$10,4,FALSE)="○",IF(OR($U49=2,$U49=3),
INDEX(単価表!$AY$64:$CC$71,MATCH($V49&amp;$W49,INDEX(単価表!$AY$64:$AY$71&amp;単価表!$AZ$64:$AZ$71,),),MATCH(内訳計算!AL$6,単価表!$AY$63:$CC$63,0)),
INDEX(単価表!$AY$64:$CC$71,MATCH($V49&amp;$W49,INDEX(単価表!$AY$64:$AY$71&amp;単価表!$AZ$64:$AZ$71,),),MATCH(内訳計算!AL$6,単価表!$AY$63:$CC$63,0))),0),0)</f>
        <v>0</v>
      </c>
      <c r="AM49" s="977" cm="1">
        <f t="array" ref="AM49">IFERROR(ROUNDUP(IF(HLOOKUP($U49,加算と減算!$E$4:$P$10,4,FALSE)="○",IF(OR($U49=2,$U49=3),
INDEX(単価表!$AY$64:$CC$71,MATCH($V49&amp;$W49,INDEX(単価表!$AY$64:$AY$71&amp;単価表!$AZ$64:$AZ$71,),),MATCH(内訳計算!AM$6,単価表!$AY$63:$CC$63,0)),
INDEX(単価表!$AY$64:$CC$71,MATCH($V49&amp;$W49,INDEX(単価表!$AY$64:$AY$71&amp;単価表!$AZ$64:$AZ$71,),),MATCH(内訳計算!AM$6,単価表!$AY$63:$CC$63,0))),0)*$Y49/25,0),0)</f>
        <v>0</v>
      </c>
      <c r="AN49" s="977" cm="1">
        <f t="array" ref="AN49">IFERROR(ROUNDUP(IF(HLOOKUP($U49,加算と減算!$E$4:$P$10,4,FALSE)="○",IF(OR($U49=2,$U49=3),
INDEX(単価表!$AY$64:$CC$71,MATCH($V49&amp;$W49,INDEX(単価表!$AY$64:$AY$71&amp;単価表!$AZ$64:$AZ$71,),),MATCH(内訳計算!AN$6,単価表!$AY$63:$CC$63,0)),
INDEX(単価表!$AY$64:$CC$71,MATCH($V49&amp;$W49,INDEX(単価表!$AY$64:$AY$71&amp;単価表!$AZ$64:$AZ$71,),),MATCH(内訳計算!AN$6,単価表!$AY$63:$CC$63,0))),0)*$Y49/25,0),0)</f>
        <v>0</v>
      </c>
      <c r="AO49" s="977" cm="1">
        <f t="array" ref="AO49">IFERROR(ROUNDUP(IF(HLOOKUP($U49,加算と減算!$E$4:$P$10,4,FALSE)="○",IF(OR($U49=2,$U49=3),
INDEX(単価表!$AY$64:$CC$71,MATCH($V49&amp;$W49,INDEX(単価表!$AY$64:$AY$71&amp;単価表!$AZ$64:$AZ$71,),),MATCH(内訳計算!AO$6,単価表!$AY$63:$CC$63,0)),
INDEX(単価表!$AY$64:$CC$71,MATCH($V49&amp;$W49,INDEX(単価表!$AY$64:$AY$71&amp;単価表!$AZ$64:$AZ$71,),),MATCH(内訳計算!AO$6,単価表!$AY$63:$CC$63,0))),0)*$Y49/25,0),0)</f>
        <v>0</v>
      </c>
      <c r="AP49" s="977" cm="1">
        <f t="array" ref="AP49">IFERROR(ROUNDUP(IF(HLOOKUP($U49,加算と減算!$E$4:$P$10,4,FALSE)="○",IF(OR($U49=2,$U49=3),
INDEX(単価表!$AY$64:$CC$71,MATCH($V49&amp;$W49,INDEX(単価表!$AY$64:$AY$71&amp;単価表!$AZ$64:$AZ$71,),),MATCH(内訳計算!AP$6,単価表!$AY$63:$CC$63,0)),
INDEX(単価表!$AY$64:$CC$71,MATCH($V49&amp;$W49,INDEX(単価表!$AY$64:$AY$71&amp;単価表!$AZ$64:$AZ$71,),),MATCH(内訳計算!AP$6,単価表!$AY$63:$CC$63,0))),0)*$Y49/25,0),0)</f>
        <v>0</v>
      </c>
      <c r="AQ49" s="975" cm="1">
        <f t="array" ref="AQ49">IFERROR(ROUNDUP(IF(HLOOKUP($U49,加算と減算!$E$4:$P$10,4,FALSE)="○",IF(OR($U49=2,$U49=3),
INDEX(単価表!$AY$64:$CC$71,MATCH($V49&amp;$W49,INDEX(単価表!$AY$64:$AY$71&amp;単価表!$AZ$64:$AZ$71,),),MATCH(内訳計算!AQ$6,単価表!$AY$63:$CC$63,0)),
INDEX(単価表!$AY$64:$CC$71,MATCH($V49&amp;$W49,INDEX(単価表!$AY$64:$AY$71&amp;単価表!$AZ$64:$AZ$71,),),MATCH(内訳計算!AQ$6,単価表!$AY$63:$CC$63,0))),0)*$Y49/25,0),0)</f>
        <v>0</v>
      </c>
      <c r="AR49" s="976" cm="1">
        <f t="array" ref="AR49">IFERROR(IF(HLOOKUP($U49,加算と減算!$E$4:$P$10,5,FALSE)="○",IF(OR($U49=2,$U49=3),
INDEX(単価表!$AY$64:$CC$71,MATCH($V49&amp;$W49,INDEX(単価表!$AY$64:$AY$71&amp;単価表!$AZ$64:$AZ$71,),),MATCH(内訳計算!AR$6,単価表!$AY$63:$CC$63,0)),
INDEX(単価表!$AY$64:$CC$71,MATCH($V49&amp;$W49,INDEX(単価表!$AY$64:$AY$71&amp;単価表!$AZ$64:$AZ$71,),),MATCH(内訳計算!AR$6,単価表!$AY$63:$CC$63,0))),0),0)</f>
        <v>0</v>
      </c>
      <c r="AS49" s="975" cm="1">
        <f t="array" ref="AS49">IFERROR(ROUNDUP(IF(HLOOKUP($U49,加算と減算!$E$4:$P$10,5,FALSE)="○",IF(OR($U49=2,$U49=3),
INDEX(単価表!$AY$64:$CC$71,MATCH($V49&amp;$W49,INDEX(単価表!$AY$64:$AY$71&amp;単価表!$AZ$64:$AZ$71,),),MATCH(内訳計算!AS$6,単価表!$AY$63:$CC$63,0)),
INDEX(単価表!$AY$64:$CC$71,MATCH($V49&amp;$W49,INDEX(単価表!$AY$64:$AY$71&amp;単価表!$AZ$64:$AZ$71,),),MATCH(内訳計算!AS$6,単価表!$AY$63:$CC$63,0))),0)*$Y49/25,0),0)</f>
        <v>0</v>
      </c>
      <c r="AT49" s="976" cm="1">
        <f t="array" ref="AT49">IFERROR(IF(HLOOKUP($U49,加算と減算!$E$4:$P$10,6,FALSE)="○",IF(OR($U49=2,$U49=3),
INDEX(単価表!$AY$64:$CC$71,MATCH($V49&amp;$W49,INDEX(単価表!$AY$64:$AY$71&amp;単価表!$AZ$64:$AZ$71,),),MATCH(内訳計算!AT$6,単価表!$AY$63:$CC$63,0)),
INDEX(単価表!$AY$64:$CC$71,MATCH($V49&amp;$W49,INDEX(単価表!$AY$64:$AY$71&amp;単価表!$AZ$64:$AZ$71,),),MATCH(内訳計算!AT$6,単価表!$AY$63:$CC$63,0))),0),0)</f>
        <v>0</v>
      </c>
      <c r="AU49" s="975" cm="1">
        <f t="array" ref="AU49">IFERROR(ROUNDUP(IF(HLOOKUP($U49,加算と減算!$E$4:$P$10,6,FALSE)="○",IF(OR($U49=2,$U49=3),
INDEX(単価表!$AY$64:$CC$71,MATCH($V49&amp;$W49,INDEX(単価表!$AY$64:$AY$71&amp;単価表!$AZ$64:$AZ$71,),),MATCH(内訳計算!AU$6,単価表!$AY$63:$CC$63,0)),
INDEX(単価表!$AY$64:$CC$71,MATCH($V49&amp;$W49,INDEX(単価表!$AY$64:$AY$71&amp;単価表!$AZ$64:$AZ$71,),),MATCH(内訳計算!AU$6,単価表!$AY$63:$CC$63,0))),0)*$Y49/25,0),0)</f>
        <v>0</v>
      </c>
      <c r="AV49" s="976" cm="1">
        <f t="array" ref="AV49">IFERROR(IF(HLOOKUP($U49,加算と減算!$E$4:$P$10,7,FALSE)="○",IF(OR($U49=2,$U49=3),
INDEX(単価表!$AY$64:$CC$71,MATCH($V49&amp;$W49,INDEX(単価表!$AY$64:$AY$71&amp;単価表!$AZ$64:$AZ$71,),),MATCH(内訳計算!AV$6,単価表!$AY$63:$CC$63,0)),
INDEX(単価表!$AY$64:$CC$71,MATCH($V49&amp;$W49,INDEX(単価表!$AY$64:$AY$71&amp;単価表!$AZ$64:$AZ$71,),),MATCH(内訳計算!AV$6,単価表!$AY$63:$CC$63,0))),0),0)</f>
        <v>0</v>
      </c>
      <c r="AW49" s="977" cm="1">
        <f t="array" ref="AW49">IFERROR(ROUNDUP(IF(HLOOKUP($U49,加算と減算!$E$4:$P$10,7,FALSE)="○",IF(OR($U49=2,$U49=3),
INDEX(単価表!$AY$64:$CC$71,MATCH($V49&amp;$W49,INDEX(単価表!$AY$64:$AY$71&amp;単価表!$AZ$64:$AZ$71,),),MATCH(内訳計算!AW$6,単価表!$AY$63:$CC$63,0)),
INDEX(単価表!$AY$64:$CC$71,MATCH($V49&amp;$W49,INDEX(単価表!$AY$64:$AY$71&amp;単価表!$AZ$64:$AZ$71,),),MATCH(内訳計算!AW$6,単価表!$AY$63:$CC$63,0))),0)*$Y49/25,0),0)</f>
        <v>0</v>
      </c>
      <c r="AX49" s="977" cm="1">
        <f t="array" ref="AX49">IFERROR(ROUNDUP(IF(HLOOKUP($U49,加算と減算!$E$4:$P$10,7,FALSE)="○",IF(OR($U49=2,$U49=3),
INDEX(単価表!$AY$64:$CC$71,MATCH($V49&amp;$W49,INDEX(単価表!$AY$64:$AY$71&amp;単価表!$AZ$64:$AZ$71,),),MATCH(内訳計算!AX$6,単価表!$AY$63:$CC$63,0)),
INDEX(単価表!$AY$64:$CC$71,MATCH($V49&amp;$W49,INDEX(単価表!$AY$64:$AY$71&amp;単価表!$AZ$64:$AZ$71,),),MATCH(内訳計算!AX$6,単価表!$AY$63:$CC$63,0))),0)*$Y49/25,0),0)</f>
        <v>0</v>
      </c>
      <c r="AY49" s="975" cm="1">
        <f t="array" ref="AY49">IFERROR(ROUNDUP(IF(HLOOKUP($U49,加算と減算!$E$4:$P$10,7,FALSE)="○",IF(OR($U49=2,$U49=3),
INDEX(単価表!$AY$64:$CC$71,MATCH($V49&amp;$W49,INDEX(単価表!$AY$64:$AY$71&amp;単価表!$AZ$64:$AZ$71,),),MATCH(内訳計算!AY$6,単価表!$AY$63:$CC$63,0)),
INDEX(単価表!$AY$64:$CC$71,MATCH($V49&amp;$W49,INDEX(単価表!$AY$64:$AY$71&amp;単価表!$AZ$64:$AZ$71,),),MATCH(内訳計算!AY$6,単価表!$AY$63:$CC$63,0))),0)*$Y49/25,0),0)</f>
        <v>0</v>
      </c>
      <c r="AZ49" s="976" cm="1">
        <f t="array" ref="AZ49">IFERROR(IF(X49="○",INDEX(単価表!$AY$64:$CC$71,MATCH($V49&amp;$W49,INDEX(単価表!$AY$64:$AY$71&amp;単価表!$AZ$64:$AZ$71,),),MATCH(内訳計算!AZ$6,単価表!$AY$63:$CC$63,0)),0),0)</f>
        <v>0</v>
      </c>
      <c r="BA49" s="975" cm="1">
        <f t="array" ref="BA49">IFERROR(ROUNDUP(INDEX(単価表!$AY$64:$CC$71,MATCH($V49&amp;$W49,INDEX(単価表!$AY$64:$AY$71&amp;単価表!$AZ$64:$AZ$71,),),MATCH(内訳計算!BA$6,単価表!$AY$63:$CC$63,0))*$Y49/25,0),0)</f>
        <v>0</v>
      </c>
      <c r="BB49" s="976" cm="1">
        <f t="array" ref="BB49">IFERROR(INDEX(単価表!$AY$64:$CC$71,MATCH($V49&amp;$W49,INDEX(単価表!$AY$64:$AY$71&amp;単価表!$AZ$64:$AZ$71,),),MATCH(内訳計算!BB$6,単価表!$AY$63:$CC$63,0)),0)</f>
        <v>0</v>
      </c>
      <c r="BC49" s="975" cm="1">
        <f t="array" ref="BC49">IFERROR(ROUNDUP(INDEX(単価表!$AY$64:$CC$71,MATCH($V49&amp;$W49,INDEX(単価表!$AY$64:$AY$71&amp;単価表!$AZ$64:$AZ$71,),),MATCH(内訳計算!BC$6,単価表!$AY$63:$CC$63,0))*$Y49/25,0),0)</f>
        <v>0</v>
      </c>
      <c r="BD49" s="985">
        <f>IFERROR(IF(HLOOKUP($U49,加算と減算!$E$31:$P$32,2,FALSE)="○",IF(OR($U49=2,$U49=3),-(単価表!$AZ$7+単価表!$BA$7*基本情報!$G$7),-(単価表!$AZ$7+単価表!$BA$7*基本情報!$G$7)),0),0)</f>
        <v>0</v>
      </c>
      <c r="BE49" s="986" t="e">
        <f t="shared" si="70"/>
        <v>#VALUE!</v>
      </c>
      <c r="BF49" s="986" t="e">
        <f t="shared" si="71"/>
        <v>#VALUE!</v>
      </c>
      <c r="BG49" s="987" t="e">
        <f t="shared" si="72"/>
        <v>#N/A</v>
      </c>
      <c r="BH49" s="988">
        <f>IFERROR(IF(基本情報!$E$12&lt;&gt;"",-ROUNDDOWN((AA49+AE49+AH49+AL49)*基本情報!$H$12/100,-1),0),0)</f>
        <v>0</v>
      </c>
      <c r="BI49" s="986" t="e">
        <f t="shared" si="73"/>
        <v>#VALUE!</v>
      </c>
      <c r="BJ49" s="986" t="e">
        <f t="shared" si="74"/>
        <v>#VALUE!</v>
      </c>
      <c r="BK49" s="989" t="e">
        <f t="shared" si="75"/>
        <v>#N/A</v>
      </c>
      <c r="BL49" s="1006">
        <f>IFERROR(-ROUNDUP(SUM(AA49,AE49,AH49,AL49,AR49,AT49,AV49,BD49,BH49)*基本情報!$H$14/100,-1),0)</f>
        <v>0</v>
      </c>
      <c r="BM49" s="1007" t="e">
        <f t="shared" si="79"/>
        <v>#VALUE!</v>
      </c>
      <c r="BN49" s="1007" t="e">
        <f t="shared" si="76"/>
        <v>#VALUE!</v>
      </c>
      <c r="BO49" s="1008" t="e">
        <f t="shared" si="77"/>
        <v>#N/A</v>
      </c>
      <c r="BP49" s="701"/>
      <c r="BQ49" s="701"/>
      <c r="BR49" s="701"/>
      <c r="BS49" s="701"/>
      <c r="BT49" s="721"/>
      <c r="BU49" s="1043" t="e">
        <f t="shared" si="80"/>
        <v>#VALUE!</v>
      </c>
      <c r="BV49" s="1044" t="e">
        <f t="shared" si="81"/>
        <v>#VALUE!</v>
      </c>
      <c r="BW49" s="1044" t="e">
        <f t="shared" si="82"/>
        <v>#N/A</v>
      </c>
      <c r="BX49" s="1051">
        <f t="shared" si="83"/>
        <v>0</v>
      </c>
      <c r="BY49" s="1046">
        <f t="shared" si="84"/>
        <v>0</v>
      </c>
      <c r="CB49" s="1626"/>
      <c r="CC49" s="1600"/>
      <c r="CD49" s="719" t="s">
        <v>78</v>
      </c>
      <c r="CE49" s="741" t="s">
        <v>353</v>
      </c>
      <c r="CF49" s="742"/>
      <c r="CG49" s="742"/>
      <c r="CH49" s="742"/>
      <c r="CI49" s="742"/>
      <c r="CJ49" s="742"/>
      <c r="CK49" s="742"/>
      <c r="CL49" s="742"/>
      <c r="CM49" s="742"/>
      <c r="CN49" s="742"/>
      <c r="CO49" s="742"/>
      <c r="CP49" s="742"/>
      <c r="CQ49" s="756">
        <f>'3月'!AQ60</f>
        <v>0</v>
      </c>
      <c r="CR49" s="759">
        <f t="shared" si="22"/>
        <v>0</v>
      </c>
      <c r="CS49" s="1600"/>
      <c r="CT49" s="719" t="s">
        <v>78</v>
      </c>
      <c r="CU49" s="958" t="s">
        <v>353</v>
      </c>
      <c r="CV49" s="776"/>
      <c r="CW49" s="776"/>
      <c r="CX49" s="771">
        <f t="shared" ref="CX49:CX54" si="96">CR49</f>
        <v>0</v>
      </c>
      <c r="CY49" s="954"/>
      <c r="CZ49" s="954"/>
      <c r="DA49" s="721"/>
      <c r="DB49" s="721"/>
    </row>
    <row r="50" spans="1:114">
      <c r="A50" s="1653"/>
      <c r="B50" s="1540"/>
      <c r="C50" s="1527"/>
      <c r="D50" s="1528"/>
      <c r="E50" s="697" t="s">
        <v>535</v>
      </c>
      <c r="F50" s="697" t="s">
        <v>71</v>
      </c>
      <c r="G50" s="697" t="s">
        <v>536</v>
      </c>
      <c r="H50" s="697" t="s">
        <v>537</v>
      </c>
      <c r="I50" s="697" t="s">
        <v>538</v>
      </c>
      <c r="J50" s="703" t="s">
        <v>539</v>
      </c>
      <c r="K50" s="704" t="s">
        <v>540</v>
      </c>
      <c r="L50" s="705" t="s">
        <v>541</v>
      </c>
      <c r="T50" s="682">
        <v>17</v>
      </c>
      <c r="U50" s="918">
        <f>月途中入退所情報!N24</f>
        <v>0</v>
      </c>
      <c r="V50" s="918">
        <f>月途中入退所情報!R24</f>
        <v>0</v>
      </c>
      <c r="W50" s="918">
        <f>月途中入退所情報!Q24</f>
        <v>0</v>
      </c>
      <c r="X50" s="945">
        <f>月途中入退所情報!S24</f>
        <v>0</v>
      </c>
      <c r="Y50" s="918">
        <f>月途中入退所情報!T24</f>
        <v>0</v>
      </c>
      <c r="Z50" s="840">
        <f t="shared" si="86"/>
        <v>0</v>
      </c>
      <c r="AA50" s="976" cm="1">
        <f t="array" ref="AA50">IFERROR(IF(OR($U50=2,$U50=3),
INDEX(単価表!$AY$64:$CC$71,MATCH($V50&amp;$W50,INDEX(単価表!$AY$64:$AY$71&amp;単価表!$AZ$64:$AZ$71,),),MATCH(内訳計算!AA$6,単価表!$AY$63:$CC$63,0)),
INDEX(単価表!$AY$64:$CC$71,MATCH($V50&amp;$W50,INDEX(単価表!$AY$64:$AY$71&amp;単価表!$AZ$64:$AZ$71,),),MATCH(内訳計算!AA$6,単価表!$AY$63:$CC$63,0))),0)</f>
        <v>0</v>
      </c>
      <c r="AB50" s="977" t="e">
        <f t="shared" si="78"/>
        <v>#VALUE!</v>
      </c>
      <c r="AC50" s="977" cm="1">
        <f t="array" ref="AC50">IFERROR(ROUNDUP(IF(OR($U50=2,$U50=3),
INDEX(単価表!$AY$64:$CC$71,MATCH($V50&amp;$W50,INDEX(単価表!$AY$64:$AY$71&amp;単価表!$AZ$64:$AZ$71,),),MATCH(内訳計算!AC$6,単価表!$AY$63:$CC$63,0)),
INDEX(単価表!$AY$64:$CC$71,MATCH($V50&amp;$W50,INDEX(単価表!$AY$64:$AY$71&amp;単価表!$AZ$64:$AZ$71,),),MATCH(内訳計算!AC$6,単価表!$AY$63:$CC$63,0)))*$Y50/25,0),0)</f>
        <v>0</v>
      </c>
      <c r="AD50" s="975" cm="1">
        <f t="array" ref="AD50">IFERROR(ROUNDUP(IF(OR($U50=2,$U50=3),
INDEX(単価表!$AY$64:$CC$71,MATCH($V50&amp;$W50,INDEX(単価表!$AY$64:$AY$71&amp;単価表!$AZ$64:$AZ$71,),),MATCH(内訳計算!AD$6,単価表!$AY$63:$CC$63,0)),
INDEX(単価表!$AY$64:$CC$71,MATCH($V50&amp;$W50,INDEX(単価表!$AY$64:$AY$71&amp;単価表!$AZ$64:$AZ$71,),),MATCH(内訳計算!AD$6,単価表!$AY$63:$CC$63,0)))*$Y50/25,0),0)</f>
        <v>0</v>
      </c>
      <c r="AE50" s="976" cm="1">
        <f t="array" ref="AE50">IFERROR(IF(OR($U50=2,$U50=3),
INDEX(単価表!$AY$64:$CC$71,MATCH($V50&amp;$W50,INDEX(単価表!$AY$64:$AY$71&amp;単価表!$AZ$64:$AZ$71,),),MATCH(内訳計算!AE$6,単価表!$AY$63:$CC$63,0)),
INDEX(単価表!$AY$64:$CC$71,MATCH($V50&amp;$W50,INDEX(単価表!$AY$64:$AY$71&amp;単価表!$AZ$64:$AZ$71,),),MATCH(内訳計算!AE$6,単価表!$AY$63:$CC$63,0))),0)</f>
        <v>0</v>
      </c>
      <c r="AF50" s="977" cm="1">
        <f t="array" ref="AF50">IFERROR(ROUNDUP(IF(OR($U50=2,$U50=3),
INDEX(単価表!$AY$64:$CC$71,MATCH($V50&amp;$W50,INDEX(単価表!$AY$64:$AY$71&amp;単価表!$AZ$64:$AZ$71,),),MATCH(内訳計算!AF$6,単価表!$AY$63:$CC$63,0)),
INDEX(単価表!$AY$64:$CC$71,MATCH($V50&amp;$W50,INDEX(単価表!$AY$64:$AY$71&amp;単価表!$AZ$64:$AZ$71,),),MATCH(内訳計算!AF$6,単価表!$AY$63:$CC$63,0)))*$Y50/25,0),0)</f>
        <v>0</v>
      </c>
      <c r="AG50" s="975" cm="1">
        <f t="array" ref="AG50">IFERROR(ROUNDUP(IF(OR($U50=2,$U50=3),
INDEX(単価表!$AY$64:$CC$71,MATCH($V50&amp;$W50,INDEX(単価表!$AY$64:$AY$71&amp;単価表!$AZ$64:$AZ$71,),),MATCH(内訳計算!AG$6,単価表!$AY$63:$CC$63,0)),
INDEX(単価表!$AY$64:$CC$71,MATCH($V50&amp;$W50,INDEX(単価表!$AY$64:$AY$71&amp;単価表!$AZ$64:$AZ$71,),),MATCH(内訳計算!AG$6,単価表!$AY$63:$CC$63,0)))*$Y50/25,0),0)</f>
        <v>0</v>
      </c>
      <c r="AH50" s="976" cm="1">
        <f t="array" ref="AH50">IFERROR(IF(HLOOKUP($U50,加算と減算!$E$4:$P$10,2,FALSE)="○",IF(OR($U50=2,$U50=3),
INDEX(単価表!$AY$64:$CC$71,MATCH($V50&amp;$W50,INDEX(単価表!$AY$64:$AY$71&amp;単価表!$AZ$64:$AZ$71,),),MATCH(内訳計算!AH$6,単価表!$AY$63:$CC$63,0)),
INDEX(単価表!$AY$64:$CC$71,MATCH($V50&amp;$W50,INDEX(単価表!$AY$64:$AY$71&amp;単価表!$AZ$64:$AZ$71,),),MATCH(内訳計算!AH$6,単価表!$AY$63:$CC$63,0))),0),0)</f>
        <v>0</v>
      </c>
      <c r="AI50" s="978" cm="1">
        <f t="array" ref="AI50">IFERROR(ROUNDUP(IF(HLOOKUP($U50,加算と減算!$E$4:$P$10,2,FALSE)="○",IF(OR($U50=2,$U50=3),
INDEX(単価表!$AY$64:$CC$71,MATCH($V50&amp;$W50,INDEX(単価表!$AY$64:$AY$71&amp;単価表!$AZ$64:$AZ$71,),),MATCH(内訳計算!AI$6,単価表!$AY$63:$CC$63,0)),
INDEX(単価表!$AY$64:$CC$71,MATCH($V50&amp;$W50,INDEX(単価表!$AY$64:$AY$71&amp;単価表!$AZ$64:$AZ$71,),),MATCH(内訳計算!AI$6,単価表!$AY$63:$CC$63,0))),0)*$Y50/25,0),0)</f>
        <v>0</v>
      </c>
      <c r="AJ50" s="977" cm="1">
        <f t="array" ref="AJ50">IFERROR(ROUNDUP(IF(HLOOKUP($U50,加算と減算!$E$4:$P$10,2,FALSE)="○",IF(OR($U50=2,$U50=3),
INDEX(単価表!$AY$64:$CC$71,MATCH($V50&amp;$W50,INDEX(単価表!$AY$64:$AY$71&amp;単価表!$AZ$64:$AZ$71,),),MATCH(内訳計算!AJ$6,単価表!$AY$63:$CC$63,0)),
INDEX(単価表!$AY$64:$CC$71,MATCH($V50&amp;$W50,INDEX(単価表!$AY$64:$AY$71&amp;単価表!$AZ$64:$AZ$71,),),MATCH(内訳計算!AJ$6,単価表!$AY$63:$CC$63,0))),0)*$Y50/25,0),0)</f>
        <v>0</v>
      </c>
      <c r="AK50" s="975" cm="1">
        <f t="array" ref="AK50">IFERROR(ROUNDUP(IF(HLOOKUP($U50,加算と減算!$E$4:$P$10,2,FALSE)="○",IF(OR($U50=2,$U50=3),
INDEX(単価表!$AY$64:$CC$71,MATCH($V50&amp;$W50,INDEX(単価表!$AY$64:$AY$71&amp;単価表!$AZ$64:$AZ$71,),),MATCH(内訳計算!AK$6,単価表!$AY$63:$CC$63,0)),
INDEX(単価表!$AY$64:$CC$71,MATCH($V50&amp;$W50,INDEX(単価表!$AY$64:$AY$71&amp;単価表!$AZ$64:$AZ$71,),),MATCH(内訳計算!AK$6,単価表!$AY$63:$CC$63,0))),0)*$Y50/25,0),0)</f>
        <v>0</v>
      </c>
      <c r="AL50" s="976" cm="1">
        <f t="array" ref="AL50">IFERROR(IF(HLOOKUP($U50,加算と減算!$E$4:$P$10,4,FALSE)="○",IF(OR($U50=2,$U50=3),
INDEX(単価表!$AY$64:$CC$71,MATCH($V50&amp;$W50,INDEX(単価表!$AY$64:$AY$71&amp;単価表!$AZ$64:$AZ$71,),),MATCH(内訳計算!AL$6,単価表!$AY$63:$CC$63,0)),
INDEX(単価表!$AY$64:$CC$71,MATCH($V50&amp;$W50,INDEX(単価表!$AY$64:$AY$71&amp;単価表!$AZ$64:$AZ$71,),),MATCH(内訳計算!AL$6,単価表!$AY$63:$CC$63,0))),0),0)</f>
        <v>0</v>
      </c>
      <c r="AM50" s="977" cm="1">
        <f t="array" ref="AM50">IFERROR(ROUNDUP(IF(HLOOKUP($U50,加算と減算!$E$4:$P$10,4,FALSE)="○",IF(OR($U50=2,$U50=3),
INDEX(単価表!$AY$64:$CC$71,MATCH($V50&amp;$W50,INDEX(単価表!$AY$64:$AY$71&amp;単価表!$AZ$64:$AZ$71,),),MATCH(内訳計算!AM$6,単価表!$AY$63:$CC$63,0)),
INDEX(単価表!$AY$64:$CC$71,MATCH($V50&amp;$W50,INDEX(単価表!$AY$64:$AY$71&amp;単価表!$AZ$64:$AZ$71,),),MATCH(内訳計算!AM$6,単価表!$AY$63:$CC$63,0))),0)*$Y50/25,0),0)</f>
        <v>0</v>
      </c>
      <c r="AN50" s="977" cm="1">
        <f t="array" ref="AN50">IFERROR(ROUNDUP(IF(HLOOKUP($U50,加算と減算!$E$4:$P$10,4,FALSE)="○",IF(OR($U50=2,$U50=3),
INDEX(単価表!$AY$64:$CC$71,MATCH($V50&amp;$W50,INDEX(単価表!$AY$64:$AY$71&amp;単価表!$AZ$64:$AZ$71,),),MATCH(内訳計算!AN$6,単価表!$AY$63:$CC$63,0)),
INDEX(単価表!$AY$64:$CC$71,MATCH($V50&amp;$W50,INDEX(単価表!$AY$64:$AY$71&amp;単価表!$AZ$64:$AZ$71,),),MATCH(内訳計算!AN$6,単価表!$AY$63:$CC$63,0))),0)*$Y50/25,0),0)</f>
        <v>0</v>
      </c>
      <c r="AO50" s="977" cm="1">
        <f t="array" ref="AO50">IFERROR(ROUNDUP(IF(HLOOKUP($U50,加算と減算!$E$4:$P$10,4,FALSE)="○",IF(OR($U50=2,$U50=3),
INDEX(単価表!$AY$64:$CC$71,MATCH($V50&amp;$W50,INDEX(単価表!$AY$64:$AY$71&amp;単価表!$AZ$64:$AZ$71,),),MATCH(内訳計算!AO$6,単価表!$AY$63:$CC$63,0)),
INDEX(単価表!$AY$64:$CC$71,MATCH($V50&amp;$W50,INDEX(単価表!$AY$64:$AY$71&amp;単価表!$AZ$64:$AZ$71,),),MATCH(内訳計算!AO$6,単価表!$AY$63:$CC$63,0))),0)*$Y50/25,0),0)</f>
        <v>0</v>
      </c>
      <c r="AP50" s="977" cm="1">
        <f t="array" ref="AP50">IFERROR(ROUNDUP(IF(HLOOKUP($U50,加算と減算!$E$4:$P$10,4,FALSE)="○",IF(OR($U50=2,$U50=3),
INDEX(単価表!$AY$64:$CC$71,MATCH($V50&amp;$W50,INDEX(単価表!$AY$64:$AY$71&amp;単価表!$AZ$64:$AZ$71,),),MATCH(内訳計算!AP$6,単価表!$AY$63:$CC$63,0)),
INDEX(単価表!$AY$64:$CC$71,MATCH($V50&amp;$W50,INDEX(単価表!$AY$64:$AY$71&amp;単価表!$AZ$64:$AZ$71,),),MATCH(内訳計算!AP$6,単価表!$AY$63:$CC$63,0))),0)*$Y50/25,0),0)</f>
        <v>0</v>
      </c>
      <c r="AQ50" s="975" cm="1">
        <f t="array" ref="AQ50">IFERROR(ROUNDUP(IF(HLOOKUP($U50,加算と減算!$E$4:$P$10,4,FALSE)="○",IF(OR($U50=2,$U50=3),
INDEX(単価表!$AY$64:$CC$71,MATCH($V50&amp;$W50,INDEX(単価表!$AY$64:$AY$71&amp;単価表!$AZ$64:$AZ$71,),),MATCH(内訳計算!AQ$6,単価表!$AY$63:$CC$63,0)),
INDEX(単価表!$AY$64:$CC$71,MATCH($V50&amp;$W50,INDEX(単価表!$AY$64:$AY$71&amp;単価表!$AZ$64:$AZ$71,),),MATCH(内訳計算!AQ$6,単価表!$AY$63:$CC$63,0))),0)*$Y50/25,0),0)</f>
        <v>0</v>
      </c>
      <c r="AR50" s="976" cm="1">
        <f t="array" ref="AR50">IFERROR(IF(HLOOKUP($U50,加算と減算!$E$4:$P$10,5,FALSE)="○",IF(OR($U50=2,$U50=3),
INDEX(単価表!$AY$64:$CC$71,MATCH($V50&amp;$W50,INDEX(単価表!$AY$64:$AY$71&amp;単価表!$AZ$64:$AZ$71,),),MATCH(内訳計算!AR$6,単価表!$AY$63:$CC$63,0)),
INDEX(単価表!$AY$64:$CC$71,MATCH($V50&amp;$W50,INDEX(単価表!$AY$64:$AY$71&amp;単価表!$AZ$64:$AZ$71,),),MATCH(内訳計算!AR$6,単価表!$AY$63:$CC$63,0))),0),0)</f>
        <v>0</v>
      </c>
      <c r="AS50" s="975" cm="1">
        <f t="array" ref="AS50">IFERROR(ROUNDUP(IF(HLOOKUP($U50,加算と減算!$E$4:$P$10,5,FALSE)="○",IF(OR($U50=2,$U50=3),
INDEX(単価表!$AY$64:$CC$71,MATCH($V50&amp;$W50,INDEX(単価表!$AY$64:$AY$71&amp;単価表!$AZ$64:$AZ$71,),),MATCH(内訳計算!AS$6,単価表!$AY$63:$CC$63,0)),
INDEX(単価表!$AY$64:$CC$71,MATCH($V50&amp;$W50,INDEX(単価表!$AY$64:$AY$71&amp;単価表!$AZ$64:$AZ$71,),),MATCH(内訳計算!AS$6,単価表!$AY$63:$CC$63,0))),0)*$Y50/25,0),0)</f>
        <v>0</v>
      </c>
      <c r="AT50" s="976" cm="1">
        <f t="array" ref="AT50">IFERROR(IF(HLOOKUP($U50,加算と減算!$E$4:$P$10,6,FALSE)="○",IF(OR($U50=2,$U50=3),
INDEX(単価表!$AY$64:$CC$71,MATCH($V50&amp;$W50,INDEX(単価表!$AY$64:$AY$71&amp;単価表!$AZ$64:$AZ$71,),),MATCH(内訳計算!AT$6,単価表!$AY$63:$CC$63,0)),
INDEX(単価表!$AY$64:$CC$71,MATCH($V50&amp;$W50,INDEX(単価表!$AY$64:$AY$71&amp;単価表!$AZ$64:$AZ$71,),),MATCH(内訳計算!AT$6,単価表!$AY$63:$CC$63,0))),0),0)</f>
        <v>0</v>
      </c>
      <c r="AU50" s="975" cm="1">
        <f t="array" ref="AU50">IFERROR(ROUNDUP(IF(HLOOKUP($U50,加算と減算!$E$4:$P$10,6,FALSE)="○",IF(OR($U50=2,$U50=3),
INDEX(単価表!$AY$64:$CC$71,MATCH($V50&amp;$W50,INDEX(単価表!$AY$64:$AY$71&amp;単価表!$AZ$64:$AZ$71,),),MATCH(内訳計算!AU$6,単価表!$AY$63:$CC$63,0)),
INDEX(単価表!$AY$64:$CC$71,MATCH($V50&amp;$W50,INDEX(単価表!$AY$64:$AY$71&amp;単価表!$AZ$64:$AZ$71,),),MATCH(内訳計算!AU$6,単価表!$AY$63:$CC$63,0))),0)*$Y50/25,0),0)</f>
        <v>0</v>
      </c>
      <c r="AV50" s="976" cm="1">
        <f t="array" ref="AV50">IFERROR(IF(HLOOKUP($U50,加算と減算!$E$4:$P$10,7,FALSE)="○",IF(OR($U50=2,$U50=3),
INDEX(単価表!$AY$64:$CC$71,MATCH($V50&amp;$W50,INDEX(単価表!$AY$64:$AY$71&amp;単価表!$AZ$64:$AZ$71,),),MATCH(内訳計算!AV$6,単価表!$AY$63:$CC$63,0)),
INDEX(単価表!$AY$64:$CC$71,MATCH($V50&amp;$W50,INDEX(単価表!$AY$64:$AY$71&amp;単価表!$AZ$64:$AZ$71,),),MATCH(内訳計算!AV$6,単価表!$AY$63:$CC$63,0))),0),0)</f>
        <v>0</v>
      </c>
      <c r="AW50" s="977" cm="1">
        <f t="array" ref="AW50">IFERROR(ROUNDUP(IF(HLOOKUP($U50,加算と減算!$E$4:$P$10,7,FALSE)="○",IF(OR($U50=2,$U50=3),
INDEX(単価表!$AY$64:$CC$71,MATCH($V50&amp;$W50,INDEX(単価表!$AY$64:$AY$71&amp;単価表!$AZ$64:$AZ$71,),),MATCH(内訳計算!AW$6,単価表!$AY$63:$CC$63,0)),
INDEX(単価表!$AY$64:$CC$71,MATCH($V50&amp;$W50,INDEX(単価表!$AY$64:$AY$71&amp;単価表!$AZ$64:$AZ$71,),),MATCH(内訳計算!AW$6,単価表!$AY$63:$CC$63,0))),0)*$Y50/25,0),0)</f>
        <v>0</v>
      </c>
      <c r="AX50" s="977" cm="1">
        <f t="array" ref="AX50">IFERROR(ROUNDUP(IF(HLOOKUP($U50,加算と減算!$E$4:$P$10,7,FALSE)="○",IF(OR($U50=2,$U50=3),
INDEX(単価表!$AY$64:$CC$71,MATCH($V50&amp;$W50,INDEX(単価表!$AY$64:$AY$71&amp;単価表!$AZ$64:$AZ$71,),),MATCH(内訳計算!AX$6,単価表!$AY$63:$CC$63,0)),
INDEX(単価表!$AY$64:$CC$71,MATCH($V50&amp;$W50,INDEX(単価表!$AY$64:$AY$71&amp;単価表!$AZ$64:$AZ$71,),),MATCH(内訳計算!AX$6,単価表!$AY$63:$CC$63,0))),0)*$Y50/25,0),0)</f>
        <v>0</v>
      </c>
      <c r="AY50" s="975" cm="1">
        <f t="array" ref="AY50">IFERROR(ROUNDUP(IF(HLOOKUP($U50,加算と減算!$E$4:$P$10,7,FALSE)="○",IF(OR($U50=2,$U50=3),
INDEX(単価表!$AY$64:$CC$71,MATCH($V50&amp;$W50,INDEX(単価表!$AY$64:$AY$71&amp;単価表!$AZ$64:$AZ$71,),),MATCH(内訳計算!AY$6,単価表!$AY$63:$CC$63,0)),
INDEX(単価表!$AY$64:$CC$71,MATCH($V50&amp;$W50,INDEX(単価表!$AY$64:$AY$71&amp;単価表!$AZ$64:$AZ$71,),),MATCH(内訳計算!AY$6,単価表!$AY$63:$CC$63,0))),0)*$Y50/25,0),0)</f>
        <v>0</v>
      </c>
      <c r="AZ50" s="976" cm="1">
        <f t="array" ref="AZ50">IFERROR(IF(X50="○",INDEX(単価表!$AY$64:$CC$71,MATCH($V50&amp;$W50,INDEX(単価表!$AY$64:$AY$71&amp;単価表!$AZ$64:$AZ$71,),),MATCH(内訳計算!AZ$6,単価表!$AY$63:$CC$63,0)),0),0)</f>
        <v>0</v>
      </c>
      <c r="BA50" s="975" cm="1">
        <f t="array" ref="BA50">IFERROR(ROUNDUP(INDEX(単価表!$AY$64:$CC$71,MATCH($V50&amp;$W50,INDEX(単価表!$AY$64:$AY$71&amp;単価表!$AZ$64:$AZ$71,),),MATCH(内訳計算!BA$6,単価表!$AY$63:$CC$63,0))*$Y50/25,0),0)</f>
        <v>0</v>
      </c>
      <c r="BB50" s="976" cm="1">
        <f t="array" ref="BB50">IFERROR(INDEX(単価表!$AY$64:$CC$71,MATCH($V50&amp;$W50,INDEX(単価表!$AY$64:$AY$71&amp;単価表!$AZ$64:$AZ$71,),),MATCH(内訳計算!BB$6,単価表!$AY$63:$CC$63,0)),0)</f>
        <v>0</v>
      </c>
      <c r="BC50" s="975" cm="1">
        <f t="array" ref="BC50">IFERROR(ROUNDUP(INDEX(単価表!$AY$64:$CC$71,MATCH($V50&amp;$W50,INDEX(単価表!$AY$64:$AY$71&amp;単価表!$AZ$64:$AZ$71,),),MATCH(内訳計算!BC$6,単価表!$AY$63:$CC$63,0))*$Y50/25,0),0)</f>
        <v>0</v>
      </c>
      <c r="BD50" s="985">
        <f>IFERROR(IF(HLOOKUP($U50,加算と減算!$E$31:$P$32,2,FALSE)="○",IF(OR($U50=2,$U50=3),-(単価表!$AZ$7+単価表!$BA$7*基本情報!$G$7),-(単価表!$AZ$7+単価表!$BA$7*基本情報!$G$7)),0),0)</f>
        <v>0</v>
      </c>
      <c r="BE50" s="986" t="e">
        <f t="shared" si="70"/>
        <v>#VALUE!</v>
      </c>
      <c r="BF50" s="986" t="e">
        <f t="shared" si="71"/>
        <v>#VALUE!</v>
      </c>
      <c r="BG50" s="987" t="e">
        <f t="shared" si="72"/>
        <v>#N/A</v>
      </c>
      <c r="BH50" s="988">
        <f>IFERROR(IF(基本情報!$E$12&lt;&gt;"",-ROUNDDOWN((AA50+AE50+AH50+AL50)*基本情報!$H$12/100,-1),0),0)</f>
        <v>0</v>
      </c>
      <c r="BI50" s="986" t="e">
        <f t="shared" si="73"/>
        <v>#VALUE!</v>
      </c>
      <c r="BJ50" s="986" t="e">
        <f t="shared" si="74"/>
        <v>#VALUE!</v>
      </c>
      <c r="BK50" s="989" t="e">
        <f t="shared" si="75"/>
        <v>#N/A</v>
      </c>
      <c r="BL50" s="1009">
        <f>IFERROR(-ROUNDUP(SUM(AA50,AE50,AH50,AL50,AR50,AT50,AV50,BD50,BH50)*基本情報!$H$14/100,-1),0)</f>
        <v>0</v>
      </c>
      <c r="BM50" s="1010" t="e">
        <f t="shared" si="79"/>
        <v>#VALUE!</v>
      </c>
      <c r="BN50" s="1010" t="e">
        <f t="shared" si="76"/>
        <v>#VALUE!</v>
      </c>
      <c r="BO50" s="1011" t="e">
        <f t="shared" si="77"/>
        <v>#N/A</v>
      </c>
      <c r="BP50" s="784"/>
      <c r="BQ50" s="784"/>
      <c r="BR50" s="784"/>
      <c r="BS50" s="784"/>
      <c r="BT50" s="721"/>
      <c r="BU50" s="1043" t="e">
        <f t="shared" si="80"/>
        <v>#VALUE!</v>
      </c>
      <c r="BV50" s="1044" t="e">
        <f t="shared" si="81"/>
        <v>#VALUE!</v>
      </c>
      <c r="BW50" s="1044" t="e">
        <f t="shared" si="82"/>
        <v>#N/A</v>
      </c>
      <c r="BX50" s="1051">
        <f t="shared" si="83"/>
        <v>0</v>
      </c>
      <c r="BY50" s="1045">
        <f t="shared" si="84"/>
        <v>0</v>
      </c>
      <c r="CB50" s="1626"/>
      <c r="CC50" s="1600"/>
      <c r="CD50" s="719" t="s">
        <v>432</v>
      </c>
      <c r="CE50" s="741" t="s">
        <v>353</v>
      </c>
      <c r="CF50" s="742"/>
      <c r="CG50" s="742"/>
      <c r="CH50" s="742"/>
      <c r="CI50" s="742"/>
      <c r="CJ50" s="742"/>
      <c r="CK50" s="742"/>
      <c r="CL50" s="742"/>
      <c r="CM50" s="742"/>
      <c r="CN50" s="742"/>
      <c r="CO50" s="742"/>
      <c r="CP50" s="742"/>
      <c r="CQ50" s="756">
        <f>'3月'!AQ61</f>
        <v>0</v>
      </c>
      <c r="CR50" s="759">
        <f t="shared" si="22"/>
        <v>0</v>
      </c>
      <c r="CS50" s="1600"/>
      <c r="CT50" s="719" t="s">
        <v>432</v>
      </c>
      <c r="CU50" s="958" t="s">
        <v>353</v>
      </c>
      <c r="CV50" s="776"/>
      <c r="CW50" s="776"/>
      <c r="CX50" s="771">
        <f t="shared" si="96"/>
        <v>0</v>
      </c>
      <c r="CY50" s="954"/>
      <c r="CZ50" s="954"/>
      <c r="DA50" s="721"/>
      <c r="DB50" s="721"/>
    </row>
    <row r="51" spans="1:114" ht="16.5" customHeight="1">
      <c r="A51" s="1653"/>
      <c r="B51" s="1540"/>
      <c r="C51" s="1542" t="s">
        <v>16</v>
      </c>
      <c r="D51" s="667" t="s">
        <v>546</v>
      </c>
      <c r="E51" s="668">
        <f>SUM(児童数!W18:W19)</f>
        <v>0</v>
      </c>
      <c r="F51" s="668">
        <f>'3月'!J38</f>
        <v>0</v>
      </c>
      <c r="G51" s="668">
        <f>G45</f>
        <v>1809</v>
      </c>
      <c r="H51" s="668">
        <f>H38</f>
        <v>0</v>
      </c>
      <c r="I51" s="668">
        <f>F51-G51-H51</f>
        <v>-1809</v>
      </c>
      <c r="J51" s="668">
        <f>E51*I51</f>
        <v>0</v>
      </c>
      <c r="K51" s="668">
        <f>E51*G51</f>
        <v>0</v>
      </c>
      <c r="L51" s="706">
        <f>E51*H51</f>
        <v>0</v>
      </c>
      <c r="T51" s="682">
        <v>18</v>
      </c>
      <c r="U51" s="918">
        <f>月途中入退所情報!N25</f>
        <v>0</v>
      </c>
      <c r="V51" s="918">
        <f>月途中入退所情報!R25</f>
        <v>0</v>
      </c>
      <c r="W51" s="918">
        <f>月途中入退所情報!Q25</f>
        <v>0</v>
      </c>
      <c r="X51" s="945">
        <f>月途中入退所情報!S25</f>
        <v>0</v>
      </c>
      <c r="Y51" s="918">
        <f>月途中入退所情報!T25</f>
        <v>0</v>
      </c>
      <c r="Z51" s="840">
        <f t="shared" si="86"/>
        <v>0</v>
      </c>
      <c r="AA51" s="976" cm="1">
        <f t="array" ref="AA51">IFERROR(IF(OR($U51=2,$U51=3),
INDEX(単価表!$AY$64:$CC$71,MATCH($V51&amp;$W51,INDEX(単価表!$AY$64:$AY$71&amp;単価表!$AZ$64:$AZ$71,),),MATCH(内訳計算!AA$6,単価表!$AY$63:$CC$63,0)),
INDEX(単価表!$AY$64:$CC$71,MATCH($V51&amp;$W51,INDEX(単価表!$AY$64:$AY$71&amp;単価表!$AZ$64:$AZ$71,),),MATCH(内訳計算!AA$6,単価表!$AY$63:$CC$63,0))),0)</f>
        <v>0</v>
      </c>
      <c r="AB51" s="977" t="e">
        <f t="shared" si="78"/>
        <v>#VALUE!</v>
      </c>
      <c r="AC51" s="977" cm="1">
        <f t="array" ref="AC51">IFERROR(ROUNDUP(IF(OR($U51=2,$U51=3),
INDEX(単価表!$AY$64:$CC$71,MATCH($V51&amp;$W51,INDEX(単価表!$AY$64:$AY$71&amp;単価表!$AZ$64:$AZ$71,),),MATCH(内訳計算!AC$6,単価表!$AY$63:$CC$63,0)),
INDEX(単価表!$AY$64:$CC$71,MATCH($V51&amp;$W51,INDEX(単価表!$AY$64:$AY$71&amp;単価表!$AZ$64:$AZ$71,),),MATCH(内訳計算!AC$6,単価表!$AY$63:$CC$63,0)))*$Y51/25,0),0)</f>
        <v>0</v>
      </c>
      <c r="AD51" s="975" cm="1">
        <f t="array" ref="AD51">IFERROR(ROUNDUP(IF(OR($U51=2,$U51=3),
INDEX(単価表!$AY$64:$CC$71,MATCH($V51&amp;$W51,INDEX(単価表!$AY$64:$AY$71&amp;単価表!$AZ$64:$AZ$71,),),MATCH(内訳計算!AD$6,単価表!$AY$63:$CC$63,0)),
INDEX(単価表!$AY$64:$CC$71,MATCH($V51&amp;$W51,INDEX(単価表!$AY$64:$AY$71&amp;単価表!$AZ$64:$AZ$71,),),MATCH(内訳計算!AD$6,単価表!$AY$63:$CC$63,0)))*$Y51/25,0),0)</f>
        <v>0</v>
      </c>
      <c r="AE51" s="976" cm="1">
        <f t="array" ref="AE51">IFERROR(IF(OR($U51=2,$U51=3),
INDEX(単価表!$AY$64:$CC$71,MATCH($V51&amp;$W51,INDEX(単価表!$AY$64:$AY$71&amp;単価表!$AZ$64:$AZ$71,),),MATCH(内訳計算!AE$6,単価表!$AY$63:$CC$63,0)),
INDEX(単価表!$AY$64:$CC$71,MATCH($V51&amp;$W51,INDEX(単価表!$AY$64:$AY$71&amp;単価表!$AZ$64:$AZ$71,),),MATCH(内訳計算!AE$6,単価表!$AY$63:$CC$63,0))),0)</f>
        <v>0</v>
      </c>
      <c r="AF51" s="977" cm="1">
        <f t="array" ref="AF51">IFERROR(ROUNDUP(IF(OR($U51=2,$U51=3),
INDEX(単価表!$AY$64:$CC$71,MATCH($V51&amp;$W51,INDEX(単価表!$AY$64:$AY$71&amp;単価表!$AZ$64:$AZ$71,),),MATCH(内訳計算!AF$6,単価表!$AY$63:$CC$63,0)),
INDEX(単価表!$AY$64:$CC$71,MATCH($V51&amp;$W51,INDEX(単価表!$AY$64:$AY$71&amp;単価表!$AZ$64:$AZ$71,),),MATCH(内訳計算!AF$6,単価表!$AY$63:$CC$63,0)))*$Y51/25,0),0)</f>
        <v>0</v>
      </c>
      <c r="AG51" s="975" cm="1">
        <f t="array" ref="AG51">IFERROR(ROUNDUP(IF(OR($U51=2,$U51=3),
INDEX(単価表!$AY$64:$CC$71,MATCH($V51&amp;$W51,INDEX(単価表!$AY$64:$AY$71&amp;単価表!$AZ$64:$AZ$71,),),MATCH(内訳計算!AG$6,単価表!$AY$63:$CC$63,0)),
INDEX(単価表!$AY$64:$CC$71,MATCH($V51&amp;$W51,INDEX(単価表!$AY$64:$AY$71&amp;単価表!$AZ$64:$AZ$71,),),MATCH(内訳計算!AG$6,単価表!$AY$63:$CC$63,0)))*$Y51/25,0),0)</f>
        <v>0</v>
      </c>
      <c r="AH51" s="976" cm="1">
        <f t="array" ref="AH51">IFERROR(IF(HLOOKUP($U51,加算と減算!$E$4:$P$10,2,FALSE)="○",IF(OR($U51=2,$U51=3),
INDEX(単価表!$AY$64:$CC$71,MATCH($V51&amp;$W51,INDEX(単価表!$AY$64:$AY$71&amp;単価表!$AZ$64:$AZ$71,),),MATCH(内訳計算!AH$6,単価表!$AY$63:$CC$63,0)),
INDEX(単価表!$AY$64:$CC$71,MATCH($V51&amp;$W51,INDEX(単価表!$AY$64:$AY$71&amp;単価表!$AZ$64:$AZ$71,),),MATCH(内訳計算!AH$6,単価表!$AY$63:$CC$63,0))),0),0)</f>
        <v>0</v>
      </c>
      <c r="AI51" s="978" cm="1">
        <f t="array" ref="AI51">IFERROR(ROUNDUP(IF(HLOOKUP($U51,加算と減算!$E$4:$P$10,2,FALSE)="○",IF(OR($U51=2,$U51=3),
INDEX(単価表!$AY$64:$CC$71,MATCH($V51&amp;$W51,INDEX(単価表!$AY$64:$AY$71&amp;単価表!$AZ$64:$AZ$71,),),MATCH(内訳計算!AI$6,単価表!$AY$63:$CC$63,0)),
INDEX(単価表!$AY$64:$CC$71,MATCH($V51&amp;$W51,INDEX(単価表!$AY$64:$AY$71&amp;単価表!$AZ$64:$AZ$71,),),MATCH(内訳計算!AI$6,単価表!$AY$63:$CC$63,0))),0)*$Y51/25,0),0)</f>
        <v>0</v>
      </c>
      <c r="AJ51" s="977" cm="1">
        <f t="array" ref="AJ51">IFERROR(ROUNDUP(IF(HLOOKUP($U51,加算と減算!$E$4:$P$10,2,FALSE)="○",IF(OR($U51=2,$U51=3),
INDEX(単価表!$AY$64:$CC$71,MATCH($V51&amp;$W51,INDEX(単価表!$AY$64:$AY$71&amp;単価表!$AZ$64:$AZ$71,),),MATCH(内訳計算!AJ$6,単価表!$AY$63:$CC$63,0)),
INDEX(単価表!$AY$64:$CC$71,MATCH($V51&amp;$W51,INDEX(単価表!$AY$64:$AY$71&amp;単価表!$AZ$64:$AZ$71,),),MATCH(内訳計算!AJ$6,単価表!$AY$63:$CC$63,0))),0)*$Y51/25,0),0)</f>
        <v>0</v>
      </c>
      <c r="AK51" s="975" cm="1">
        <f t="array" ref="AK51">IFERROR(ROUNDUP(IF(HLOOKUP($U51,加算と減算!$E$4:$P$10,2,FALSE)="○",IF(OR($U51=2,$U51=3),
INDEX(単価表!$AY$64:$CC$71,MATCH($V51&amp;$W51,INDEX(単価表!$AY$64:$AY$71&amp;単価表!$AZ$64:$AZ$71,),),MATCH(内訳計算!AK$6,単価表!$AY$63:$CC$63,0)),
INDEX(単価表!$AY$64:$CC$71,MATCH($V51&amp;$W51,INDEX(単価表!$AY$64:$AY$71&amp;単価表!$AZ$64:$AZ$71,),),MATCH(内訳計算!AK$6,単価表!$AY$63:$CC$63,0))),0)*$Y51/25,0),0)</f>
        <v>0</v>
      </c>
      <c r="AL51" s="976" cm="1">
        <f t="array" ref="AL51">IFERROR(IF(HLOOKUP($U51,加算と減算!$E$4:$P$10,4,FALSE)="○",IF(OR($U51=2,$U51=3),
INDEX(単価表!$AY$64:$CC$71,MATCH($V51&amp;$W51,INDEX(単価表!$AY$64:$AY$71&amp;単価表!$AZ$64:$AZ$71,),),MATCH(内訳計算!AL$6,単価表!$AY$63:$CC$63,0)),
INDEX(単価表!$AY$64:$CC$71,MATCH($V51&amp;$W51,INDEX(単価表!$AY$64:$AY$71&amp;単価表!$AZ$64:$AZ$71,),),MATCH(内訳計算!AL$6,単価表!$AY$63:$CC$63,0))),0),0)</f>
        <v>0</v>
      </c>
      <c r="AM51" s="977" cm="1">
        <f t="array" ref="AM51">IFERROR(ROUNDUP(IF(HLOOKUP($U51,加算と減算!$E$4:$P$10,4,FALSE)="○",IF(OR($U51=2,$U51=3),
INDEX(単価表!$AY$64:$CC$71,MATCH($V51&amp;$W51,INDEX(単価表!$AY$64:$AY$71&amp;単価表!$AZ$64:$AZ$71,),),MATCH(内訳計算!AM$6,単価表!$AY$63:$CC$63,0)),
INDEX(単価表!$AY$64:$CC$71,MATCH($V51&amp;$W51,INDEX(単価表!$AY$64:$AY$71&amp;単価表!$AZ$64:$AZ$71,),),MATCH(内訳計算!AM$6,単価表!$AY$63:$CC$63,0))),0)*$Y51/25,0),0)</f>
        <v>0</v>
      </c>
      <c r="AN51" s="977" cm="1">
        <f t="array" ref="AN51">IFERROR(ROUNDUP(IF(HLOOKUP($U51,加算と減算!$E$4:$P$10,4,FALSE)="○",IF(OR($U51=2,$U51=3),
INDEX(単価表!$AY$64:$CC$71,MATCH($V51&amp;$W51,INDEX(単価表!$AY$64:$AY$71&amp;単価表!$AZ$64:$AZ$71,),),MATCH(内訳計算!AN$6,単価表!$AY$63:$CC$63,0)),
INDEX(単価表!$AY$64:$CC$71,MATCH($V51&amp;$W51,INDEX(単価表!$AY$64:$AY$71&amp;単価表!$AZ$64:$AZ$71,),),MATCH(内訳計算!AN$6,単価表!$AY$63:$CC$63,0))),0)*$Y51/25,0),0)</f>
        <v>0</v>
      </c>
      <c r="AO51" s="977" cm="1">
        <f t="array" ref="AO51">IFERROR(ROUNDUP(IF(HLOOKUP($U51,加算と減算!$E$4:$P$10,4,FALSE)="○",IF(OR($U51=2,$U51=3),
INDEX(単価表!$AY$64:$CC$71,MATCH($V51&amp;$W51,INDEX(単価表!$AY$64:$AY$71&amp;単価表!$AZ$64:$AZ$71,),),MATCH(内訳計算!AO$6,単価表!$AY$63:$CC$63,0)),
INDEX(単価表!$AY$64:$CC$71,MATCH($V51&amp;$W51,INDEX(単価表!$AY$64:$AY$71&amp;単価表!$AZ$64:$AZ$71,),),MATCH(内訳計算!AO$6,単価表!$AY$63:$CC$63,0))),0)*$Y51/25,0),0)</f>
        <v>0</v>
      </c>
      <c r="AP51" s="977" cm="1">
        <f t="array" ref="AP51">IFERROR(ROUNDUP(IF(HLOOKUP($U51,加算と減算!$E$4:$P$10,4,FALSE)="○",IF(OR($U51=2,$U51=3),
INDEX(単価表!$AY$64:$CC$71,MATCH($V51&amp;$W51,INDEX(単価表!$AY$64:$AY$71&amp;単価表!$AZ$64:$AZ$71,),),MATCH(内訳計算!AP$6,単価表!$AY$63:$CC$63,0)),
INDEX(単価表!$AY$64:$CC$71,MATCH($V51&amp;$W51,INDEX(単価表!$AY$64:$AY$71&amp;単価表!$AZ$64:$AZ$71,),),MATCH(内訳計算!AP$6,単価表!$AY$63:$CC$63,0))),0)*$Y51/25,0),0)</f>
        <v>0</v>
      </c>
      <c r="AQ51" s="975" cm="1">
        <f t="array" ref="AQ51">IFERROR(ROUNDUP(IF(HLOOKUP($U51,加算と減算!$E$4:$P$10,4,FALSE)="○",IF(OR($U51=2,$U51=3),
INDEX(単価表!$AY$64:$CC$71,MATCH($V51&amp;$W51,INDEX(単価表!$AY$64:$AY$71&amp;単価表!$AZ$64:$AZ$71,),),MATCH(内訳計算!AQ$6,単価表!$AY$63:$CC$63,0)),
INDEX(単価表!$AY$64:$CC$71,MATCH($V51&amp;$W51,INDEX(単価表!$AY$64:$AY$71&amp;単価表!$AZ$64:$AZ$71,),),MATCH(内訳計算!AQ$6,単価表!$AY$63:$CC$63,0))),0)*$Y51/25,0),0)</f>
        <v>0</v>
      </c>
      <c r="AR51" s="976" cm="1">
        <f t="array" ref="AR51">IFERROR(IF(HLOOKUP($U51,加算と減算!$E$4:$P$10,5,FALSE)="○",IF(OR($U51=2,$U51=3),
INDEX(単価表!$AY$64:$CC$71,MATCH($V51&amp;$W51,INDEX(単価表!$AY$64:$AY$71&amp;単価表!$AZ$64:$AZ$71,),),MATCH(内訳計算!AR$6,単価表!$AY$63:$CC$63,0)),
INDEX(単価表!$AY$64:$CC$71,MATCH($V51&amp;$W51,INDEX(単価表!$AY$64:$AY$71&amp;単価表!$AZ$64:$AZ$71,),),MATCH(内訳計算!AR$6,単価表!$AY$63:$CC$63,0))),0),0)</f>
        <v>0</v>
      </c>
      <c r="AS51" s="975" cm="1">
        <f t="array" ref="AS51">IFERROR(ROUNDUP(IF(HLOOKUP($U51,加算と減算!$E$4:$P$10,5,FALSE)="○",IF(OR($U51=2,$U51=3),
INDEX(単価表!$AY$64:$CC$71,MATCH($V51&amp;$W51,INDEX(単価表!$AY$64:$AY$71&amp;単価表!$AZ$64:$AZ$71,),),MATCH(内訳計算!AS$6,単価表!$AY$63:$CC$63,0)),
INDEX(単価表!$AY$64:$CC$71,MATCH($V51&amp;$W51,INDEX(単価表!$AY$64:$AY$71&amp;単価表!$AZ$64:$AZ$71,),),MATCH(内訳計算!AS$6,単価表!$AY$63:$CC$63,0))),0)*$Y51/25,0),0)</f>
        <v>0</v>
      </c>
      <c r="AT51" s="976" cm="1">
        <f t="array" ref="AT51">IFERROR(IF(HLOOKUP($U51,加算と減算!$E$4:$P$10,6,FALSE)="○",IF(OR($U51=2,$U51=3),
INDEX(単価表!$AY$64:$CC$71,MATCH($V51&amp;$W51,INDEX(単価表!$AY$64:$AY$71&amp;単価表!$AZ$64:$AZ$71,),),MATCH(内訳計算!AT$6,単価表!$AY$63:$CC$63,0)),
INDEX(単価表!$AY$64:$CC$71,MATCH($V51&amp;$W51,INDEX(単価表!$AY$64:$AY$71&amp;単価表!$AZ$64:$AZ$71,),),MATCH(内訳計算!AT$6,単価表!$AY$63:$CC$63,0))),0),0)</f>
        <v>0</v>
      </c>
      <c r="AU51" s="975" cm="1">
        <f t="array" ref="AU51">IFERROR(ROUNDUP(IF(HLOOKUP($U51,加算と減算!$E$4:$P$10,6,FALSE)="○",IF(OR($U51=2,$U51=3),
INDEX(単価表!$AY$64:$CC$71,MATCH($V51&amp;$W51,INDEX(単価表!$AY$64:$AY$71&amp;単価表!$AZ$64:$AZ$71,),),MATCH(内訳計算!AU$6,単価表!$AY$63:$CC$63,0)),
INDEX(単価表!$AY$64:$CC$71,MATCH($V51&amp;$W51,INDEX(単価表!$AY$64:$AY$71&amp;単価表!$AZ$64:$AZ$71,),),MATCH(内訳計算!AU$6,単価表!$AY$63:$CC$63,0))),0)*$Y51/25,0),0)</f>
        <v>0</v>
      </c>
      <c r="AV51" s="976" cm="1">
        <f t="array" ref="AV51">IFERROR(IF(HLOOKUP($U51,加算と減算!$E$4:$P$10,7,FALSE)="○",IF(OR($U51=2,$U51=3),
INDEX(単価表!$AY$64:$CC$71,MATCH($V51&amp;$W51,INDEX(単価表!$AY$64:$AY$71&amp;単価表!$AZ$64:$AZ$71,),),MATCH(内訳計算!AV$6,単価表!$AY$63:$CC$63,0)),
INDEX(単価表!$AY$64:$CC$71,MATCH($V51&amp;$W51,INDEX(単価表!$AY$64:$AY$71&amp;単価表!$AZ$64:$AZ$71,),),MATCH(内訳計算!AV$6,単価表!$AY$63:$CC$63,0))),0),0)</f>
        <v>0</v>
      </c>
      <c r="AW51" s="977" cm="1">
        <f t="array" ref="AW51">IFERROR(ROUNDUP(IF(HLOOKUP($U51,加算と減算!$E$4:$P$10,7,FALSE)="○",IF(OR($U51=2,$U51=3),
INDEX(単価表!$AY$64:$CC$71,MATCH($V51&amp;$W51,INDEX(単価表!$AY$64:$AY$71&amp;単価表!$AZ$64:$AZ$71,),),MATCH(内訳計算!AW$6,単価表!$AY$63:$CC$63,0)),
INDEX(単価表!$AY$64:$CC$71,MATCH($V51&amp;$W51,INDEX(単価表!$AY$64:$AY$71&amp;単価表!$AZ$64:$AZ$71,),),MATCH(内訳計算!AW$6,単価表!$AY$63:$CC$63,0))),0)*$Y51/25,0),0)</f>
        <v>0</v>
      </c>
      <c r="AX51" s="977" cm="1">
        <f t="array" ref="AX51">IFERROR(ROUNDUP(IF(HLOOKUP($U51,加算と減算!$E$4:$P$10,7,FALSE)="○",IF(OR($U51=2,$U51=3),
INDEX(単価表!$AY$64:$CC$71,MATCH($V51&amp;$W51,INDEX(単価表!$AY$64:$AY$71&amp;単価表!$AZ$64:$AZ$71,),),MATCH(内訳計算!AX$6,単価表!$AY$63:$CC$63,0)),
INDEX(単価表!$AY$64:$CC$71,MATCH($V51&amp;$W51,INDEX(単価表!$AY$64:$AY$71&amp;単価表!$AZ$64:$AZ$71,),),MATCH(内訳計算!AX$6,単価表!$AY$63:$CC$63,0))),0)*$Y51/25,0),0)</f>
        <v>0</v>
      </c>
      <c r="AY51" s="975" cm="1">
        <f t="array" ref="AY51">IFERROR(ROUNDUP(IF(HLOOKUP($U51,加算と減算!$E$4:$P$10,7,FALSE)="○",IF(OR($U51=2,$U51=3),
INDEX(単価表!$AY$64:$CC$71,MATCH($V51&amp;$W51,INDEX(単価表!$AY$64:$AY$71&amp;単価表!$AZ$64:$AZ$71,),),MATCH(内訳計算!AY$6,単価表!$AY$63:$CC$63,0)),
INDEX(単価表!$AY$64:$CC$71,MATCH($V51&amp;$W51,INDEX(単価表!$AY$64:$AY$71&amp;単価表!$AZ$64:$AZ$71,),),MATCH(内訳計算!AY$6,単価表!$AY$63:$CC$63,0))),0)*$Y51/25,0),0)</f>
        <v>0</v>
      </c>
      <c r="AZ51" s="976" cm="1">
        <f t="array" ref="AZ51">IFERROR(IF(X51="○",INDEX(単価表!$AY$64:$CC$71,MATCH($V51&amp;$W51,INDEX(単価表!$AY$64:$AY$71&amp;単価表!$AZ$64:$AZ$71,),),MATCH(内訳計算!AZ$6,単価表!$AY$63:$CC$63,0)),0),0)</f>
        <v>0</v>
      </c>
      <c r="BA51" s="975" cm="1">
        <f t="array" ref="BA51">IFERROR(ROUNDUP(INDEX(単価表!$AY$64:$CC$71,MATCH($V51&amp;$W51,INDEX(単価表!$AY$64:$AY$71&amp;単価表!$AZ$64:$AZ$71,),),MATCH(内訳計算!BA$6,単価表!$AY$63:$CC$63,0))*$Y51/25,0),0)</f>
        <v>0</v>
      </c>
      <c r="BB51" s="976" cm="1">
        <f t="array" ref="BB51">IFERROR(INDEX(単価表!$AY$64:$CC$71,MATCH($V51&amp;$W51,INDEX(単価表!$AY$64:$AY$71&amp;単価表!$AZ$64:$AZ$71,),),MATCH(内訳計算!BB$6,単価表!$AY$63:$CC$63,0)),0)</f>
        <v>0</v>
      </c>
      <c r="BC51" s="975" cm="1">
        <f t="array" ref="BC51">IFERROR(ROUNDUP(INDEX(単価表!$AY$64:$CC$71,MATCH($V51&amp;$W51,INDEX(単価表!$AY$64:$AY$71&amp;単価表!$AZ$64:$AZ$71,),),MATCH(内訳計算!BC$6,単価表!$AY$63:$CC$63,0))*$Y51/25,0),0)</f>
        <v>0</v>
      </c>
      <c r="BD51" s="985">
        <f>IFERROR(IF(HLOOKUP($U51,加算と減算!$E$31:$P$32,2,FALSE)="○",IF(OR($U51=2,$U51=3),-(単価表!$AZ$7+単価表!$BA$7*基本情報!$G$7),-(単価表!$AZ$7+単価表!$BA$7*基本情報!$G$7)),0),0)</f>
        <v>0</v>
      </c>
      <c r="BE51" s="986" t="e">
        <f t="shared" si="70"/>
        <v>#VALUE!</v>
      </c>
      <c r="BF51" s="986" t="e">
        <f t="shared" si="71"/>
        <v>#VALUE!</v>
      </c>
      <c r="BG51" s="987" t="e">
        <f t="shared" si="72"/>
        <v>#N/A</v>
      </c>
      <c r="BH51" s="988">
        <f>IFERROR(IF(基本情報!$E$12&lt;&gt;"",-ROUNDDOWN((AA51+AE51+AH51+AL51)*基本情報!$H$12/100,-1),0),0)</f>
        <v>0</v>
      </c>
      <c r="BI51" s="986" t="e">
        <f t="shared" si="73"/>
        <v>#VALUE!</v>
      </c>
      <c r="BJ51" s="986" t="e">
        <f t="shared" si="74"/>
        <v>#VALUE!</v>
      </c>
      <c r="BK51" s="989" t="e">
        <f t="shared" si="75"/>
        <v>#N/A</v>
      </c>
      <c r="BL51" s="1006">
        <f>IFERROR(-ROUNDUP(SUM(AA51,AE51,AH51,AL51,AR51,AT51,AV51,BD51,BH51)*基本情報!$H$14/100,-1),0)</f>
        <v>0</v>
      </c>
      <c r="BM51" s="1007" t="e">
        <f t="shared" si="79"/>
        <v>#VALUE!</v>
      </c>
      <c r="BN51" s="1007" t="e">
        <f t="shared" si="76"/>
        <v>#VALUE!</v>
      </c>
      <c r="BO51" s="1008" t="e">
        <f t="shared" si="77"/>
        <v>#N/A</v>
      </c>
      <c r="BP51" s="701"/>
      <c r="BQ51" s="701"/>
      <c r="BR51" s="701"/>
      <c r="BS51" s="701"/>
      <c r="BT51" s="721"/>
      <c r="BU51" s="1043" t="e">
        <f t="shared" si="80"/>
        <v>#VALUE!</v>
      </c>
      <c r="BV51" s="1044" t="e">
        <f t="shared" si="81"/>
        <v>#VALUE!</v>
      </c>
      <c r="BW51" s="1044" t="e">
        <f t="shared" si="82"/>
        <v>#N/A</v>
      </c>
      <c r="BX51" s="1051">
        <f t="shared" si="83"/>
        <v>0</v>
      </c>
      <c r="BY51" s="1045">
        <f t="shared" si="84"/>
        <v>0</v>
      </c>
      <c r="CB51" s="1626"/>
      <c r="CC51" s="1600"/>
      <c r="CD51" s="719" t="s">
        <v>433</v>
      </c>
      <c r="CE51" s="741" t="s">
        <v>353</v>
      </c>
      <c r="CF51" s="742"/>
      <c r="CG51" s="742"/>
      <c r="CH51" s="742"/>
      <c r="CI51" s="742"/>
      <c r="CJ51" s="742"/>
      <c r="CK51" s="742"/>
      <c r="CL51" s="742"/>
      <c r="CM51" s="742"/>
      <c r="CN51" s="742"/>
      <c r="CO51" s="742"/>
      <c r="CP51" s="742"/>
      <c r="CQ51" s="756">
        <f>'3月'!AQ62</f>
        <v>0</v>
      </c>
      <c r="CR51" s="759">
        <f t="shared" si="22"/>
        <v>0</v>
      </c>
      <c r="CS51" s="1600"/>
      <c r="CT51" s="719" t="s">
        <v>433</v>
      </c>
      <c r="CU51" s="958" t="s">
        <v>353</v>
      </c>
      <c r="CV51" s="776"/>
      <c r="CW51" s="776"/>
      <c r="CX51" s="771">
        <f t="shared" si="96"/>
        <v>0</v>
      </c>
      <c r="CY51" s="954"/>
      <c r="CZ51" s="954"/>
      <c r="DA51" s="721"/>
      <c r="DB51" s="721"/>
    </row>
    <row r="52" spans="1:114">
      <c r="A52" s="1653"/>
      <c r="B52" s="1540"/>
      <c r="C52" s="1542"/>
      <c r="D52" s="667" t="s">
        <v>549</v>
      </c>
      <c r="E52" s="668">
        <f>SUM(児童数!X18:X19)</f>
        <v>0</v>
      </c>
      <c r="F52" s="707">
        <f>'3月'!K38</f>
        <v>0</v>
      </c>
      <c r="G52" s="668">
        <f>G46</f>
        <v>1809</v>
      </c>
      <c r="H52" s="668">
        <f>H39</f>
        <v>0</v>
      </c>
      <c r="I52" s="668">
        <f>F52-G52-H52</f>
        <v>-1809</v>
      </c>
      <c r="J52" s="668">
        <f t="shared" ref="J52:J54" si="97">E52*I52</f>
        <v>0</v>
      </c>
      <c r="K52" s="668">
        <f t="shared" ref="K52:K54" si="98">E52*G52</f>
        <v>0</v>
      </c>
      <c r="L52" s="706">
        <f t="shared" ref="L52:L54" si="99">E52*H52</f>
        <v>0</v>
      </c>
      <c r="T52" s="682">
        <v>19</v>
      </c>
      <c r="U52" s="918">
        <f>月途中入退所情報!N26</f>
        <v>0</v>
      </c>
      <c r="V52" s="918">
        <f>月途中入退所情報!R26</f>
        <v>0</v>
      </c>
      <c r="W52" s="918">
        <f>月途中入退所情報!Q26</f>
        <v>0</v>
      </c>
      <c r="X52" s="945">
        <f>月途中入退所情報!S26</f>
        <v>0</v>
      </c>
      <c r="Y52" s="918">
        <f>月途中入退所情報!T26</f>
        <v>0</v>
      </c>
      <c r="Z52" s="993">
        <f t="shared" si="86"/>
        <v>0</v>
      </c>
      <c r="AA52" s="976" cm="1">
        <f t="array" ref="AA52">IFERROR(IF(OR($U52=2,$U52=3),
INDEX(単価表!$AY$64:$CC$71,MATCH($V52&amp;$W52,INDEX(単価表!$AY$64:$AY$71&amp;単価表!$AZ$64:$AZ$71,),),MATCH(内訳計算!AA$6,単価表!$AY$63:$CC$63,0)),
INDEX(単価表!$AY$64:$CC$71,MATCH($V52&amp;$W52,INDEX(単価表!$AY$64:$AY$71&amp;単価表!$AZ$64:$AZ$71,),),MATCH(内訳計算!AA$6,単価表!$AY$63:$CC$63,0))),0)</f>
        <v>0</v>
      </c>
      <c r="AB52" s="977" t="e">
        <f t="shared" si="78"/>
        <v>#VALUE!</v>
      </c>
      <c r="AC52" s="977" cm="1">
        <f t="array" ref="AC52">IFERROR(ROUNDUP(IF(OR($U52=2,$U52=3),
INDEX(単価表!$AY$64:$CC$71,MATCH($V52&amp;$W52,INDEX(単価表!$AY$64:$AY$71&amp;単価表!$AZ$64:$AZ$71,),),MATCH(内訳計算!AC$6,単価表!$AY$63:$CC$63,0)),
INDEX(単価表!$AY$64:$CC$71,MATCH($V52&amp;$W52,INDEX(単価表!$AY$64:$AY$71&amp;単価表!$AZ$64:$AZ$71,),),MATCH(内訳計算!AC$6,単価表!$AY$63:$CC$63,0)))*$Y52/25,0),0)</f>
        <v>0</v>
      </c>
      <c r="AD52" s="975" cm="1">
        <f t="array" ref="AD52">IFERROR(ROUNDUP(IF(OR($U52=2,$U52=3),
INDEX(単価表!$AY$64:$CC$71,MATCH($V52&amp;$W52,INDEX(単価表!$AY$64:$AY$71&amp;単価表!$AZ$64:$AZ$71,),),MATCH(内訳計算!AD$6,単価表!$AY$63:$CC$63,0)),
INDEX(単価表!$AY$64:$CC$71,MATCH($V52&amp;$W52,INDEX(単価表!$AY$64:$AY$71&amp;単価表!$AZ$64:$AZ$71,),),MATCH(内訳計算!AD$6,単価表!$AY$63:$CC$63,0)))*$Y52/25,0),0)</f>
        <v>0</v>
      </c>
      <c r="AE52" s="976" cm="1">
        <f t="array" ref="AE52">IFERROR(IF(OR($U52=2,$U52=3),
INDEX(単価表!$AY$64:$CC$71,MATCH($V52&amp;$W52,INDEX(単価表!$AY$64:$AY$71&amp;単価表!$AZ$64:$AZ$71,),),MATCH(内訳計算!AE$6,単価表!$AY$63:$CC$63,0)),
INDEX(単価表!$AY$64:$CC$71,MATCH($V52&amp;$W52,INDEX(単価表!$AY$64:$AY$71&amp;単価表!$AZ$64:$AZ$71,),),MATCH(内訳計算!AE$6,単価表!$AY$63:$CC$63,0))),0)</f>
        <v>0</v>
      </c>
      <c r="AF52" s="977" cm="1">
        <f t="array" ref="AF52">IFERROR(ROUNDUP(IF(OR($U52=2,$U52=3),
INDEX(単価表!$AY$64:$CC$71,MATCH($V52&amp;$W52,INDEX(単価表!$AY$64:$AY$71&amp;単価表!$AZ$64:$AZ$71,),),MATCH(内訳計算!AF$6,単価表!$AY$63:$CC$63,0)),
INDEX(単価表!$AY$64:$CC$71,MATCH($V52&amp;$W52,INDEX(単価表!$AY$64:$AY$71&amp;単価表!$AZ$64:$AZ$71,),),MATCH(内訳計算!AF$6,単価表!$AY$63:$CC$63,0)))*$Y52/25,0),0)</f>
        <v>0</v>
      </c>
      <c r="AG52" s="975" cm="1">
        <f t="array" ref="AG52">IFERROR(ROUNDUP(IF(OR($U52=2,$U52=3),
INDEX(単価表!$AY$64:$CC$71,MATCH($V52&amp;$W52,INDEX(単価表!$AY$64:$AY$71&amp;単価表!$AZ$64:$AZ$71,),),MATCH(内訳計算!AG$6,単価表!$AY$63:$CC$63,0)),
INDEX(単価表!$AY$64:$CC$71,MATCH($V52&amp;$W52,INDEX(単価表!$AY$64:$AY$71&amp;単価表!$AZ$64:$AZ$71,),),MATCH(内訳計算!AG$6,単価表!$AY$63:$CC$63,0)))*$Y52/25,0),0)</f>
        <v>0</v>
      </c>
      <c r="AH52" s="976" cm="1">
        <f t="array" ref="AH52">IFERROR(IF(HLOOKUP($U52,加算と減算!$E$4:$P$10,2,FALSE)="○",IF(OR($U52=2,$U52=3),
INDEX(単価表!$AY$64:$CC$71,MATCH($V52&amp;$W52,INDEX(単価表!$AY$64:$AY$71&amp;単価表!$AZ$64:$AZ$71,),),MATCH(内訳計算!AH$6,単価表!$AY$63:$CC$63,0)),
INDEX(単価表!$AY$64:$CC$71,MATCH($V52&amp;$W52,INDEX(単価表!$AY$64:$AY$71&amp;単価表!$AZ$64:$AZ$71,),),MATCH(内訳計算!AH$6,単価表!$AY$63:$CC$63,0))),0),0)</f>
        <v>0</v>
      </c>
      <c r="AI52" s="978" cm="1">
        <f t="array" ref="AI52">IFERROR(ROUNDUP(IF(HLOOKUP($U52,加算と減算!$E$4:$P$10,2,FALSE)="○",IF(OR($U52=2,$U52=3),
INDEX(単価表!$AY$64:$CC$71,MATCH($V52&amp;$W52,INDEX(単価表!$AY$64:$AY$71&amp;単価表!$AZ$64:$AZ$71,),),MATCH(内訳計算!AI$6,単価表!$AY$63:$CC$63,0)),
INDEX(単価表!$AY$64:$CC$71,MATCH($V52&amp;$W52,INDEX(単価表!$AY$64:$AY$71&amp;単価表!$AZ$64:$AZ$71,),),MATCH(内訳計算!AI$6,単価表!$AY$63:$CC$63,0))),0)*$Y52/25,0),0)</f>
        <v>0</v>
      </c>
      <c r="AJ52" s="977" cm="1">
        <f t="array" ref="AJ52">IFERROR(ROUNDUP(IF(HLOOKUP($U52,加算と減算!$E$4:$P$10,2,FALSE)="○",IF(OR($U52=2,$U52=3),
INDEX(単価表!$AY$64:$CC$71,MATCH($V52&amp;$W52,INDEX(単価表!$AY$64:$AY$71&amp;単価表!$AZ$64:$AZ$71,),),MATCH(内訳計算!AJ$6,単価表!$AY$63:$CC$63,0)),
INDEX(単価表!$AY$64:$CC$71,MATCH($V52&amp;$W52,INDEX(単価表!$AY$64:$AY$71&amp;単価表!$AZ$64:$AZ$71,),),MATCH(内訳計算!AJ$6,単価表!$AY$63:$CC$63,0))),0)*$Y52/25,0),0)</f>
        <v>0</v>
      </c>
      <c r="AK52" s="975" cm="1">
        <f t="array" ref="AK52">IFERROR(ROUNDUP(IF(HLOOKUP($U52,加算と減算!$E$4:$P$10,2,FALSE)="○",IF(OR($U52=2,$U52=3),
INDEX(単価表!$AY$64:$CC$71,MATCH($V52&amp;$W52,INDEX(単価表!$AY$64:$AY$71&amp;単価表!$AZ$64:$AZ$71,),),MATCH(内訳計算!AK$6,単価表!$AY$63:$CC$63,0)),
INDEX(単価表!$AY$64:$CC$71,MATCH($V52&amp;$W52,INDEX(単価表!$AY$64:$AY$71&amp;単価表!$AZ$64:$AZ$71,),),MATCH(内訳計算!AK$6,単価表!$AY$63:$CC$63,0))),0)*$Y52/25,0),0)</f>
        <v>0</v>
      </c>
      <c r="AL52" s="976" cm="1">
        <f t="array" ref="AL52">IFERROR(IF(HLOOKUP($U52,加算と減算!$E$4:$P$10,4,FALSE)="○",IF(OR($U52=2,$U52=3),
INDEX(単価表!$AY$64:$CC$71,MATCH($V52&amp;$W52,INDEX(単価表!$AY$64:$AY$71&amp;単価表!$AZ$64:$AZ$71,),),MATCH(内訳計算!AL$6,単価表!$AY$63:$CC$63,0)),
INDEX(単価表!$AY$64:$CC$71,MATCH($V52&amp;$W52,INDEX(単価表!$AY$64:$AY$71&amp;単価表!$AZ$64:$AZ$71,),),MATCH(内訳計算!AL$6,単価表!$AY$63:$CC$63,0))),0),0)</f>
        <v>0</v>
      </c>
      <c r="AM52" s="977" cm="1">
        <f t="array" ref="AM52">IFERROR(ROUNDUP(IF(HLOOKUP($U52,加算と減算!$E$4:$P$10,4,FALSE)="○",IF(OR($U52=2,$U52=3),
INDEX(単価表!$AY$64:$CC$71,MATCH($V52&amp;$W52,INDEX(単価表!$AY$64:$AY$71&amp;単価表!$AZ$64:$AZ$71,),),MATCH(内訳計算!AM$6,単価表!$AY$63:$CC$63,0)),
INDEX(単価表!$AY$64:$CC$71,MATCH($V52&amp;$W52,INDEX(単価表!$AY$64:$AY$71&amp;単価表!$AZ$64:$AZ$71,),),MATCH(内訳計算!AM$6,単価表!$AY$63:$CC$63,0))),0)*$Y52/25,0),0)</f>
        <v>0</v>
      </c>
      <c r="AN52" s="977" cm="1">
        <f t="array" ref="AN52">IFERROR(ROUNDUP(IF(HLOOKUP($U52,加算と減算!$E$4:$P$10,4,FALSE)="○",IF(OR($U52=2,$U52=3),
INDEX(単価表!$AY$64:$CC$71,MATCH($V52&amp;$W52,INDEX(単価表!$AY$64:$AY$71&amp;単価表!$AZ$64:$AZ$71,),),MATCH(内訳計算!AN$6,単価表!$AY$63:$CC$63,0)),
INDEX(単価表!$AY$64:$CC$71,MATCH($V52&amp;$W52,INDEX(単価表!$AY$64:$AY$71&amp;単価表!$AZ$64:$AZ$71,),),MATCH(内訳計算!AN$6,単価表!$AY$63:$CC$63,0))),0)*$Y52/25,0),0)</f>
        <v>0</v>
      </c>
      <c r="AO52" s="977" cm="1">
        <f t="array" ref="AO52">IFERROR(ROUNDUP(IF(HLOOKUP($U52,加算と減算!$E$4:$P$10,4,FALSE)="○",IF(OR($U52=2,$U52=3),
INDEX(単価表!$AY$64:$CC$71,MATCH($V52&amp;$W52,INDEX(単価表!$AY$64:$AY$71&amp;単価表!$AZ$64:$AZ$71,),),MATCH(内訳計算!AO$6,単価表!$AY$63:$CC$63,0)),
INDEX(単価表!$AY$64:$CC$71,MATCH($V52&amp;$W52,INDEX(単価表!$AY$64:$AY$71&amp;単価表!$AZ$64:$AZ$71,),),MATCH(内訳計算!AO$6,単価表!$AY$63:$CC$63,0))),0)*$Y52/25,0),0)</f>
        <v>0</v>
      </c>
      <c r="AP52" s="977" cm="1">
        <f t="array" ref="AP52">IFERROR(ROUNDUP(IF(HLOOKUP($U52,加算と減算!$E$4:$P$10,4,FALSE)="○",IF(OR($U52=2,$U52=3),
INDEX(単価表!$AY$64:$CC$71,MATCH($V52&amp;$W52,INDEX(単価表!$AY$64:$AY$71&amp;単価表!$AZ$64:$AZ$71,),),MATCH(内訳計算!AP$6,単価表!$AY$63:$CC$63,0)),
INDEX(単価表!$AY$64:$CC$71,MATCH($V52&amp;$W52,INDEX(単価表!$AY$64:$AY$71&amp;単価表!$AZ$64:$AZ$71,),),MATCH(内訳計算!AP$6,単価表!$AY$63:$CC$63,0))),0)*$Y52/25,0),0)</f>
        <v>0</v>
      </c>
      <c r="AQ52" s="975" cm="1">
        <f t="array" ref="AQ52">IFERROR(ROUNDUP(IF(HLOOKUP($U52,加算と減算!$E$4:$P$10,4,FALSE)="○",IF(OR($U52=2,$U52=3),
INDEX(単価表!$AY$64:$CC$71,MATCH($V52&amp;$W52,INDEX(単価表!$AY$64:$AY$71&amp;単価表!$AZ$64:$AZ$71,),),MATCH(内訳計算!AQ$6,単価表!$AY$63:$CC$63,0)),
INDEX(単価表!$AY$64:$CC$71,MATCH($V52&amp;$W52,INDEX(単価表!$AY$64:$AY$71&amp;単価表!$AZ$64:$AZ$71,),),MATCH(内訳計算!AQ$6,単価表!$AY$63:$CC$63,0))),0)*$Y52/25,0),0)</f>
        <v>0</v>
      </c>
      <c r="AR52" s="976" cm="1">
        <f t="array" ref="AR52">IFERROR(IF(HLOOKUP($U52,加算と減算!$E$4:$P$10,5,FALSE)="○",IF(OR($U52=2,$U52=3),
INDEX(単価表!$AY$64:$CC$71,MATCH($V52&amp;$W52,INDEX(単価表!$AY$64:$AY$71&amp;単価表!$AZ$64:$AZ$71,),),MATCH(内訳計算!AR$6,単価表!$AY$63:$CC$63,0)),
INDEX(単価表!$AY$64:$CC$71,MATCH($V52&amp;$W52,INDEX(単価表!$AY$64:$AY$71&amp;単価表!$AZ$64:$AZ$71,),),MATCH(内訳計算!AR$6,単価表!$AY$63:$CC$63,0))),0),0)</f>
        <v>0</v>
      </c>
      <c r="AS52" s="975" cm="1">
        <f t="array" ref="AS52">IFERROR(ROUNDUP(IF(HLOOKUP($U52,加算と減算!$E$4:$P$10,5,FALSE)="○",IF(OR($U52=2,$U52=3),
INDEX(単価表!$AY$64:$CC$71,MATCH($V52&amp;$W52,INDEX(単価表!$AY$64:$AY$71&amp;単価表!$AZ$64:$AZ$71,),),MATCH(内訳計算!AS$6,単価表!$AY$63:$CC$63,0)),
INDEX(単価表!$AY$64:$CC$71,MATCH($V52&amp;$W52,INDEX(単価表!$AY$64:$AY$71&amp;単価表!$AZ$64:$AZ$71,),),MATCH(内訳計算!AS$6,単価表!$AY$63:$CC$63,0))),0)*$Y52/25,0),0)</f>
        <v>0</v>
      </c>
      <c r="AT52" s="976" cm="1">
        <f t="array" ref="AT52">IFERROR(IF(HLOOKUP($U52,加算と減算!$E$4:$P$10,6,FALSE)="○",IF(OR($U52=2,$U52=3),
INDEX(単価表!$AY$64:$CC$71,MATCH($V52&amp;$W52,INDEX(単価表!$AY$64:$AY$71&amp;単価表!$AZ$64:$AZ$71,),),MATCH(内訳計算!AT$6,単価表!$AY$63:$CC$63,0)),
INDEX(単価表!$AY$64:$CC$71,MATCH($V52&amp;$W52,INDEX(単価表!$AY$64:$AY$71&amp;単価表!$AZ$64:$AZ$71,),),MATCH(内訳計算!AT$6,単価表!$AY$63:$CC$63,0))),0),0)</f>
        <v>0</v>
      </c>
      <c r="AU52" s="975" cm="1">
        <f t="array" ref="AU52">IFERROR(ROUNDUP(IF(HLOOKUP($U52,加算と減算!$E$4:$P$10,6,FALSE)="○",IF(OR($U52=2,$U52=3),
INDEX(単価表!$AY$64:$CC$71,MATCH($V52&amp;$W52,INDEX(単価表!$AY$64:$AY$71&amp;単価表!$AZ$64:$AZ$71,),),MATCH(内訳計算!AU$6,単価表!$AY$63:$CC$63,0)),
INDEX(単価表!$AY$64:$CC$71,MATCH($V52&amp;$W52,INDEX(単価表!$AY$64:$AY$71&amp;単価表!$AZ$64:$AZ$71,),),MATCH(内訳計算!AU$6,単価表!$AY$63:$CC$63,0))),0)*$Y52/25,0),0)</f>
        <v>0</v>
      </c>
      <c r="AV52" s="976" cm="1">
        <f t="array" ref="AV52">IFERROR(IF(HLOOKUP($U52,加算と減算!$E$4:$P$10,7,FALSE)="○",IF(OR($U52=2,$U52=3),
INDEX(単価表!$AY$64:$CC$71,MATCH($V52&amp;$W52,INDEX(単価表!$AY$64:$AY$71&amp;単価表!$AZ$64:$AZ$71,),),MATCH(内訳計算!AV$6,単価表!$AY$63:$CC$63,0)),
INDEX(単価表!$AY$64:$CC$71,MATCH($V52&amp;$W52,INDEX(単価表!$AY$64:$AY$71&amp;単価表!$AZ$64:$AZ$71,),),MATCH(内訳計算!AV$6,単価表!$AY$63:$CC$63,0))),0),0)</f>
        <v>0</v>
      </c>
      <c r="AW52" s="977" cm="1">
        <f t="array" ref="AW52">IFERROR(ROUNDUP(IF(HLOOKUP($U52,加算と減算!$E$4:$P$10,7,FALSE)="○",IF(OR($U52=2,$U52=3),
INDEX(単価表!$AY$64:$CC$71,MATCH($V52&amp;$W52,INDEX(単価表!$AY$64:$AY$71&amp;単価表!$AZ$64:$AZ$71,),),MATCH(内訳計算!AW$6,単価表!$AY$63:$CC$63,0)),
INDEX(単価表!$AY$64:$CC$71,MATCH($V52&amp;$W52,INDEX(単価表!$AY$64:$AY$71&amp;単価表!$AZ$64:$AZ$71,),),MATCH(内訳計算!AW$6,単価表!$AY$63:$CC$63,0))),0)*$Y52/25,0),0)</f>
        <v>0</v>
      </c>
      <c r="AX52" s="977" cm="1">
        <f t="array" ref="AX52">IFERROR(ROUNDUP(IF(HLOOKUP($U52,加算と減算!$E$4:$P$10,7,FALSE)="○",IF(OR($U52=2,$U52=3),
INDEX(単価表!$AY$64:$CC$71,MATCH($V52&amp;$W52,INDEX(単価表!$AY$64:$AY$71&amp;単価表!$AZ$64:$AZ$71,),),MATCH(内訳計算!AX$6,単価表!$AY$63:$CC$63,0)),
INDEX(単価表!$AY$64:$CC$71,MATCH($V52&amp;$W52,INDEX(単価表!$AY$64:$AY$71&amp;単価表!$AZ$64:$AZ$71,),),MATCH(内訳計算!AX$6,単価表!$AY$63:$CC$63,0))),0)*$Y52/25,0),0)</f>
        <v>0</v>
      </c>
      <c r="AY52" s="975" cm="1">
        <f t="array" ref="AY52">IFERROR(ROUNDUP(IF(HLOOKUP($U52,加算と減算!$E$4:$P$10,7,FALSE)="○",IF(OR($U52=2,$U52=3),
INDEX(単価表!$AY$64:$CC$71,MATCH($V52&amp;$W52,INDEX(単価表!$AY$64:$AY$71&amp;単価表!$AZ$64:$AZ$71,),),MATCH(内訳計算!AY$6,単価表!$AY$63:$CC$63,0)),
INDEX(単価表!$AY$64:$CC$71,MATCH($V52&amp;$W52,INDEX(単価表!$AY$64:$AY$71&amp;単価表!$AZ$64:$AZ$71,),),MATCH(内訳計算!AY$6,単価表!$AY$63:$CC$63,0))),0)*$Y52/25,0),0)</f>
        <v>0</v>
      </c>
      <c r="AZ52" s="976" cm="1">
        <f t="array" ref="AZ52">IFERROR(IF(X52="○",INDEX(単価表!$AY$64:$CC$71,MATCH($V52&amp;$W52,INDEX(単価表!$AY$64:$AY$71&amp;単価表!$AZ$64:$AZ$71,),),MATCH(内訳計算!AZ$6,単価表!$AY$63:$CC$63,0)),0),0)</f>
        <v>0</v>
      </c>
      <c r="BA52" s="975" cm="1">
        <f t="array" ref="BA52">IFERROR(ROUNDUP(INDEX(単価表!$AY$64:$CC$71,MATCH($V52&amp;$W52,INDEX(単価表!$AY$64:$AY$71&amp;単価表!$AZ$64:$AZ$71,),),MATCH(内訳計算!BA$6,単価表!$AY$63:$CC$63,0))*$Y52/25,0),0)</f>
        <v>0</v>
      </c>
      <c r="BB52" s="976" cm="1">
        <f t="array" ref="BB52">IFERROR(INDEX(単価表!$AY$64:$CC$71,MATCH($V52&amp;$W52,INDEX(単価表!$AY$64:$AY$71&amp;単価表!$AZ$64:$AZ$71,),),MATCH(内訳計算!BB$6,単価表!$AY$63:$CC$63,0)),0)</f>
        <v>0</v>
      </c>
      <c r="BC52" s="975" cm="1">
        <f t="array" ref="BC52">IFERROR(ROUNDUP(INDEX(単価表!$AY$64:$CC$71,MATCH($V52&amp;$W52,INDEX(単価表!$AY$64:$AY$71&amp;単価表!$AZ$64:$AZ$71,),),MATCH(内訳計算!BC$6,単価表!$AY$63:$CC$63,0))*$Y52/25,0),0)</f>
        <v>0</v>
      </c>
      <c r="BD52" s="985">
        <f>IFERROR(IF(HLOOKUP($U52,加算と減算!$E$31:$P$32,2,FALSE)="○",IF(OR($U52=2,$U52=3),-(単価表!$AZ$7+単価表!$BA$7*基本情報!$G$7),-(単価表!$AZ$7+単価表!$BA$7*基本情報!$G$7)),0),0)</f>
        <v>0</v>
      </c>
      <c r="BE52" s="986" t="e">
        <f t="shared" si="70"/>
        <v>#VALUE!</v>
      </c>
      <c r="BF52" s="986" t="e">
        <f t="shared" si="71"/>
        <v>#VALUE!</v>
      </c>
      <c r="BG52" s="987" t="e">
        <f t="shared" si="72"/>
        <v>#N/A</v>
      </c>
      <c r="BH52" s="988">
        <f>IFERROR(IF(基本情報!$E$12&lt;&gt;"",-ROUNDDOWN((AA52+AE52+AH52+AL52)*基本情報!$H$12/100,-1),0),0)</f>
        <v>0</v>
      </c>
      <c r="BI52" s="986" t="e">
        <f t="shared" si="73"/>
        <v>#VALUE!</v>
      </c>
      <c r="BJ52" s="986" t="e">
        <f t="shared" si="74"/>
        <v>#VALUE!</v>
      </c>
      <c r="BK52" s="989" t="e">
        <f t="shared" si="75"/>
        <v>#N/A</v>
      </c>
      <c r="BL52" s="1006">
        <f>IFERROR(-ROUNDUP(SUM(AA52,AE52,AH52,AL52,AR52,AT52,AV52,BD52,BH52)*基本情報!$H$14/100,-1),0)</f>
        <v>0</v>
      </c>
      <c r="BM52" s="1007" t="e">
        <f t="shared" si="79"/>
        <v>#VALUE!</v>
      </c>
      <c r="BN52" s="1007" t="e">
        <f t="shared" si="76"/>
        <v>#VALUE!</v>
      </c>
      <c r="BO52" s="1008" t="e">
        <f t="shared" si="77"/>
        <v>#N/A</v>
      </c>
      <c r="BP52" s="701"/>
      <c r="BQ52" s="701"/>
      <c r="BR52" s="701"/>
      <c r="BS52" s="701"/>
      <c r="BT52" s="721"/>
      <c r="BU52" s="1043" t="e">
        <f t="shared" si="80"/>
        <v>#VALUE!</v>
      </c>
      <c r="BV52" s="1044" t="e">
        <f t="shared" si="81"/>
        <v>#VALUE!</v>
      </c>
      <c r="BW52" s="1044" t="e">
        <f t="shared" si="82"/>
        <v>#N/A</v>
      </c>
      <c r="BX52" s="1051">
        <f t="shared" si="83"/>
        <v>0</v>
      </c>
      <c r="BY52" s="1045">
        <f t="shared" si="84"/>
        <v>0</v>
      </c>
      <c r="CB52" s="1626"/>
      <c r="CC52" s="1600"/>
      <c r="CD52" s="719" t="s">
        <v>434</v>
      </c>
      <c r="CE52" s="741" t="s">
        <v>353</v>
      </c>
      <c r="CF52" s="742"/>
      <c r="CG52" s="742"/>
      <c r="CH52" s="742"/>
      <c r="CI52" s="742"/>
      <c r="CJ52" s="742"/>
      <c r="CK52" s="742"/>
      <c r="CL52" s="742"/>
      <c r="CM52" s="742"/>
      <c r="CN52" s="742"/>
      <c r="CO52" s="742"/>
      <c r="CP52" s="742"/>
      <c r="CQ52" s="756">
        <f>'3月'!AQ63</f>
        <v>0</v>
      </c>
      <c r="CR52" s="759">
        <f t="shared" si="22"/>
        <v>0</v>
      </c>
      <c r="CS52" s="1600"/>
      <c r="CT52" s="719" t="s">
        <v>434</v>
      </c>
      <c r="CU52" s="958" t="s">
        <v>353</v>
      </c>
      <c r="CV52" s="776"/>
      <c r="CW52" s="776"/>
      <c r="CX52" s="771">
        <f t="shared" si="96"/>
        <v>0</v>
      </c>
      <c r="CY52" s="954"/>
      <c r="CZ52" s="954"/>
      <c r="DA52" s="721"/>
      <c r="DB52" s="721"/>
    </row>
    <row r="53" spans="1:114" ht="17.25" thickBot="1">
      <c r="A53" s="1653"/>
      <c r="B53" s="1540"/>
      <c r="C53" s="1542"/>
      <c r="D53" s="667" t="s">
        <v>551</v>
      </c>
      <c r="E53" s="668">
        <f>SUM(児童数!Y18:Y19)</f>
        <v>0</v>
      </c>
      <c r="F53" s="668">
        <f>'3月'!L38</f>
        <v>0</v>
      </c>
      <c r="G53" s="668">
        <f>G47</f>
        <v>10478</v>
      </c>
      <c r="H53" s="668">
        <f>H40</f>
        <v>0</v>
      </c>
      <c r="I53" s="668">
        <f>F53-G53-H53</f>
        <v>-10478</v>
      </c>
      <c r="J53" s="668">
        <f t="shared" si="97"/>
        <v>0</v>
      </c>
      <c r="K53" s="668">
        <f t="shared" si="98"/>
        <v>0</v>
      </c>
      <c r="L53" s="706">
        <f t="shared" si="99"/>
        <v>0</v>
      </c>
      <c r="T53" s="683">
        <v>20</v>
      </c>
      <c r="U53" s="946">
        <f>月途中入退所情報!N27</f>
        <v>0</v>
      </c>
      <c r="V53" s="946">
        <f>月途中入退所情報!R27</f>
        <v>0</v>
      </c>
      <c r="W53" s="946">
        <f>月途中入退所情報!Q27</f>
        <v>0</v>
      </c>
      <c r="X53" s="947">
        <f>月途中入退所情報!S27</f>
        <v>0</v>
      </c>
      <c r="Y53" s="946">
        <f>月途中入退所情報!T27</f>
        <v>0</v>
      </c>
      <c r="Z53" s="869">
        <f t="shared" si="86"/>
        <v>0</v>
      </c>
      <c r="AA53" s="876" cm="1">
        <f t="array" ref="AA53">IFERROR(IF(OR($U53=2,$U53=3),
INDEX(単価表!$AY$64:$CC$71,MATCH($V53&amp;$W53,INDEX(単価表!$AY$64:$AY$71&amp;単価表!$AZ$64:$AZ$71,),),MATCH(内訳計算!AA$6,単価表!$AY$63:$CC$63,0)),
INDEX(単価表!$AY$64:$CC$71,MATCH($V53&amp;$W53,INDEX(単価表!$AY$64:$AY$71&amp;単価表!$AZ$64:$AZ$71,),),MATCH(内訳計算!AA$6,単価表!$AY$63:$CC$63,0))),0)</f>
        <v>0</v>
      </c>
      <c r="AB53" s="754" t="e">
        <f t="shared" si="78"/>
        <v>#VALUE!</v>
      </c>
      <c r="AC53" s="754" cm="1">
        <f t="array" ref="AC53">IFERROR(ROUNDUP(IF(OR($U53=2,$U53=3),
INDEX(単価表!$AY$64:$CC$71,MATCH($V53&amp;$W53,INDEX(単価表!$AY$64:$AY$71&amp;単価表!$AZ$64:$AZ$71,),),MATCH(内訳計算!AC$6,単価表!$AY$63:$CC$63,0)),
INDEX(単価表!$AY$64:$CC$71,MATCH($V53&amp;$W53,INDEX(単価表!$AY$64:$AY$71&amp;単価表!$AZ$64:$AZ$71,),),MATCH(内訳計算!AC$6,単価表!$AY$63:$CC$63,0)))*$Y53/25,0),0)</f>
        <v>0</v>
      </c>
      <c r="AD53" s="871" cm="1">
        <f t="array" ref="AD53">IFERROR(ROUNDUP(IF(OR($U53=2,$U53=3),
INDEX(単価表!$AY$64:$CC$71,MATCH($V53&amp;$W53,INDEX(単価表!$AY$64:$AY$71&amp;単価表!$AZ$64:$AZ$71,),),MATCH(内訳計算!AD$6,単価表!$AY$63:$CC$63,0)),
INDEX(単価表!$AY$64:$CC$71,MATCH($V53&amp;$W53,INDEX(単価表!$AY$64:$AY$71&amp;単価表!$AZ$64:$AZ$71,),),MATCH(内訳計算!AD$6,単価表!$AY$63:$CC$63,0)))*$Y53/25,0),0)</f>
        <v>0</v>
      </c>
      <c r="AE53" s="876" cm="1">
        <f t="array" ref="AE53">IFERROR(IF(OR($U53=2,$U53=3),
INDEX(単価表!$AY$64:$CC$71,MATCH($V53&amp;$W53,INDEX(単価表!$AY$64:$AY$71&amp;単価表!$AZ$64:$AZ$71,),),MATCH(内訳計算!AE$6,単価表!$AY$63:$CC$63,0)),
INDEX(単価表!$AY$64:$CC$71,MATCH($V53&amp;$W53,INDEX(単価表!$AY$64:$AY$71&amp;単価表!$AZ$64:$AZ$71,),),MATCH(内訳計算!AE$6,単価表!$AY$63:$CC$63,0))),0)</f>
        <v>0</v>
      </c>
      <c r="AF53" s="754" cm="1">
        <f t="array" ref="AF53">IFERROR(ROUNDUP(IF(OR($U53=2,$U53=3),
INDEX(単価表!$AY$64:$CC$71,MATCH($V53&amp;$W53,INDEX(単価表!$AY$64:$AY$71&amp;単価表!$AZ$64:$AZ$71,),),MATCH(内訳計算!AF$6,単価表!$AY$63:$CC$63,0)),
INDEX(単価表!$AY$64:$CC$71,MATCH($V53&amp;$W53,INDEX(単価表!$AY$64:$AY$71&amp;単価表!$AZ$64:$AZ$71,),),MATCH(内訳計算!AF$6,単価表!$AY$63:$CC$63,0)))*$Y53/25,0),0)</f>
        <v>0</v>
      </c>
      <c r="AG53" s="871" cm="1">
        <f t="array" ref="AG53">IFERROR(ROUNDUP(IF(OR($U53=2,$U53=3),
INDEX(単価表!$AY$64:$CC$71,MATCH($V53&amp;$W53,INDEX(単価表!$AY$64:$AY$71&amp;単価表!$AZ$64:$AZ$71,),),MATCH(内訳計算!AG$6,単価表!$AY$63:$CC$63,0)),
INDEX(単価表!$AY$64:$CC$71,MATCH($V53&amp;$W53,INDEX(単価表!$AY$64:$AY$71&amp;単価表!$AZ$64:$AZ$71,),),MATCH(内訳計算!AG$6,単価表!$AY$63:$CC$63,0)))*$Y53/25,0),0)</f>
        <v>0</v>
      </c>
      <c r="AH53" s="876" cm="1">
        <f t="array" ref="AH53">IFERROR(IF(HLOOKUP($U53,加算と減算!$E$4:$P$10,2,FALSE)="○",IF(OR($U53=2,$U53=3),
INDEX(単価表!$AY$64:$CC$71,MATCH($V53&amp;$W53,INDEX(単価表!$AY$64:$AY$71&amp;単価表!$AZ$64:$AZ$71,),),MATCH(内訳計算!AH$6,単価表!$AY$63:$CC$63,0)),
INDEX(単価表!$AY$64:$CC$71,MATCH($V53&amp;$W53,INDEX(単価表!$AY$64:$AY$71&amp;単価表!$AZ$64:$AZ$71,),),MATCH(内訳計算!AH$6,単価表!$AY$63:$CC$63,0))),0),0)</f>
        <v>0</v>
      </c>
      <c r="AI53" s="994" cm="1">
        <f t="array" ref="AI53">IFERROR(ROUNDUP(IF(HLOOKUP($U53,加算と減算!$E$4:$P$10,2,FALSE)="○",IF(OR($U53=2,$U53=3),
INDEX(単価表!$AY$64:$CC$71,MATCH($V53&amp;$W53,INDEX(単価表!$AY$64:$AY$71&amp;単価表!$AZ$64:$AZ$71,),),MATCH(内訳計算!AI$6,単価表!$AY$63:$CC$63,0)),
INDEX(単価表!$AY$64:$CC$71,MATCH($V53&amp;$W53,INDEX(単価表!$AY$64:$AY$71&amp;単価表!$AZ$64:$AZ$71,),),MATCH(内訳計算!AI$6,単価表!$AY$63:$CC$63,0))),0)*$Y53/25,0),0)</f>
        <v>0</v>
      </c>
      <c r="AJ53" s="754" cm="1">
        <f t="array" ref="AJ53">IFERROR(ROUNDUP(IF(HLOOKUP($U53,加算と減算!$E$4:$P$10,2,FALSE)="○",IF(OR($U53=2,$U53=3),
INDEX(単価表!$AY$64:$CC$71,MATCH($V53&amp;$W53,INDEX(単価表!$AY$64:$AY$71&amp;単価表!$AZ$64:$AZ$71,),),MATCH(内訳計算!AJ$6,単価表!$AY$63:$CC$63,0)),
INDEX(単価表!$AY$64:$CC$71,MATCH($V53&amp;$W53,INDEX(単価表!$AY$64:$AY$71&amp;単価表!$AZ$64:$AZ$71,),),MATCH(内訳計算!AJ$6,単価表!$AY$63:$CC$63,0))),0)*$Y53/25,0),0)</f>
        <v>0</v>
      </c>
      <c r="AK53" s="871" cm="1">
        <f t="array" ref="AK53">IFERROR(ROUNDUP(IF(HLOOKUP($U53,加算と減算!$E$4:$P$10,2,FALSE)="○",IF(OR($U53=2,$U53=3),
INDEX(単価表!$AY$64:$CC$71,MATCH($V53&amp;$W53,INDEX(単価表!$AY$64:$AY$71&amp;単価表!$AZ$64:$AZ$71,),),MATCH(内訳計算!AK$6,単価表!$AY$63:$CC$63,0)),
INDEX(単価表!$AY$64:$CC$71,MATCH($V53&amp;$W53,INDEX(単価表!$AY$64:$AY$71&amp;単価表!$AZ$64:$AZ$71,),),MATCH(内訳計算!AK$6,単価表!$AY$63:$CC$63,0))),0)*$Y53/25,0),0)</f>
        <v>0</v>
      </c>
      <c r="AL53" s="876" cm="1">
        <f t="array" ref="AL53">IFERROR(IF(HLOOKUP($U53,加算と減算!$E$4:$P$10,4,FALSE)="○",IF(OR($U53=2,$U53=3),
INDEX(単価表!$AY$64:$CC$71,MATCH($V53&amp;$W53,INDEX(単価表!$AY$64:$AY$71&amp;単価表!$AZ$64:$AZ$71,),),MATCH(内訳計算!AL$6,単価表!$AY$63:$CC$63,0)),
INDEX(単価表!$AY$64:$CC$71,MATCH($V53&amp;$W53,INDEX(単価表!$AY$64:$AY$71&amp;単価表!$AZ$64:$AZ$71,),),MATCH(内訳計算!AL$6,単価表!$AY$63:$CC$63,0))),0),0)</f>
        <v>0</v>
      </c>
      <c r="AM53" s="754" cm="1">
        <f t="array" ref="AM53">IFERROR(ROUNDUP(IF(HLOOKUP($U53,加算と減算!$E$4:$P$10,4,FALSE)="○",IF(OR($U53=2,$U53=3),
INDEX(単価表!$AY$64:$CC$71,MATCH($V53&amp;$W53,INDEX(単価表!$AY$64:$AY$71&amp;単価表!$AZ$64:$AZ$71,),),MATCH(内訳計算!AM$6,単価表!$AY$63:$CC$63,0)),
INDEX(単価表!$AY$64:$CC$71,MATCH($V53&amp;$W53,INDEX(単価表!$AY$64:$AY$71&amp;単価表!$AZ$64:$AZ$71,),),MATCH(内訳計算!AM$6,単価表!$AY$63:$CC$63,0))),0)*$Y53/25,0),0)</f>
        <v>0</v>
      </c>
      <c r="AN53" s="754" cm="1">
        <f t="array" ref="AN53">IFERROR(ROUNDUP(IF(HLOOKUP($U53,加算と減算!$E$4:$P$10,4,FALSE)="○",IF(OR($U53=2,$U53=3),
INDEX(単価表!$AY$64:$CC$71,MATCH($V53&amp;$W53,INDEX(単価表!$AY$64:$AY$71&amp;単価表!$AZ$64:$AZ$71,),),MATCH(内訳計算!AN$6,単価表!$AY$63:$CC$63,0)),
INDEX(単価表!$AY$64:$CC$71,MATCH($V53&amp;$W53,INDEX(単価表!$AY$64:$AY$71&amp;単価表!$AZ$64:$AZ$71,),),MATCH(内訳計算!AN$6,単価表!$AY$63:$CC$63,0))),0)*$Y53/25,0),0)</f>
        <v>0</v>
      </c>
      <c r="AO53" s="754" cm="1">
        <f t="array" ref="AO53">IFERROR(ROUNDUP(IF(HLOOKUP($U53,加算と減算!$E$4:$P$10,4,FALSE)="○",IF(OR($U53=2,$U53=3),
INDEX(単価表!$AY$64:$CC$71,MATCH($V53&amp;$W53,INDEX(単価表!$AY$64:$AY$71&amp;単価表!$AZ$64:$AZ$71,),),MATCH(内訳計算!AO$6,単価表!$AY$63:$CC$63,0)),
INDEX(単価表!$AY$64:$CC$71,MATCH($V53&amp;$W53,INDEX(単価表!$AY$64:$AY$71&amp;単価表!$AZ$64:$AZ$71,),),MATCH(内訳計算!AO$6,単価表!$AY$63:$CC$63,0))),0)*$Y53/25,0),0)</f>
        <v>0</v>
      </c>
      <c r="AP53" s="754" cm="1">
        <f t="array" ref="AP53">IFERROR(ROUNDUP(IF(HLOOKUP($U53,加算と減算!$E$4:$P$10,4,FALSE)="○",IF(OR($U53=2,$U53=3),
INDEX(単価表!$AY$64:$CC$71,MATCH($V53&amp;$W53,INDEX(単価表!$AY$64:$AY$71&amp;単価表!$AZ$64:$AZ$71,),),MATCH(内訳計算!AP$6,単価表!$AY$63:$CC$63,0)),
INDEX(単価表!$AY$64:$CC$71,MATCH($V53&amp;$W53,INDEX(単価表!$AY$64:$AY$71&amp;単価表!$AZ$64:$AZ$71,),),MATCH(内訳計算!AP$6,単価表!$AY$63:$CC$63,0))),0)*$Y53/25,0),0)</f>
        <v>0</v>
      </c>
      <c r="AQ53" s="871" cm="1">
        <f t="array" ref="AQ53">IFERROR(ROUNDUP(IF(HLOOKUP($U53,加算と減算!$E$4:$P$10,4,FALSE)="○",IF(OR($U53=2,$U53=3),
INDEX(単価表!$AY$64:$CC$71,MATCH($V53&amp;$W53,INDEX(単価表!$AY$64:$AY$71&amp;単価表!$AZ$64:$AZ$71,),),MATCH(内訳計算!AQ$6,単価表!$AY$63:$CC$63,0)),
INDEX(単価表!$AY$64:$CC$71,MATCH($V53&amp;$W53,INDEX(単価表!$AY$64:$AY$71&amp;単価表!$AZ$64:$AZ$71,),),MATCH(内訳計算!AQ$6,単価表!$AY$63:$CC$63,0))),0)*$Y53/25,0),0)</f>
        <v>0</v>
      </c>
      <c r="AR53" s="876" cm="1">
        <f t="array" ref="AR53">IFERROR(IF(HLOOKUP($U53,加算と減算!$E$4:$P$10,5,FALSE)="○",IF(OR($U53=2,$U53=3),
INDEX(単価表!$AY$64:$CC$71,MATCH($V53&amp;$W53,INDEX(単価表!$AY$64:$AY$71&amp;単価表!$AZ$64:$AZ$71,),),MATCH(内訳計算!AR$6,単価表!$AY$63:$CC$63,0)),
INDEX(単価表!$AY$64:$CC$71,MATCH($V53&amp;$W53,INDEX(単価表!$AY$64:$AY$71&amp;単価表!$AZ$64:$AZ$71,),),MATCH(内訳計算!AR$6,単価表!$AY$63:$CC$63,0))),0),0)</f>
        <v>0</v>
      </c>
      <c r="AS53" s="871" cm="1">
        <f t="array" ref="AS53">IFERROR(ROUNDUP(IF(HLOOKUP($U53,加算と減算!$E$4:$P$10,5,FALSE)="○",IF(OR($U53=2,$U53=3),
INDEX(単価表!$AY$64:$CC$71,MATCH($V53&amp;$W53,INDEX(単価表!$AY$64:$AY$71&amp;単価表!$AZ$64:$AZ$71,),),MATCH(内訳計算!AS$6,単価表!$AY$63:$CC$63,0)),
INDEX(単価表!$AY$64:$CC$71,MATCH($V53&amp;$W53,INDEX(単価表!$AY$64:$AY$71&amp;単価表!$AZ$64:$AZ$71,),),MATCH(内訳計算!AS$6,単価表!$AY$63:$CC$63,0))),0)*$Y53/25,0),0)</f>
        <v>0</v>
      </c>
      <c r="AT53" s="876" cm="1">
        <f t="array" ref="AT53">IFERROR(IF(HLOOKUP($U53,加算と減算!$E$4:$P$10,6,FALSE)="○",IF(OR($U53=2,$U53=3),
INDEX(単価表!$AY$64:$CC$71,MATCH($V53&amp;$W53,INDEX(単価表!$AY$64:$AY$71&amp;単価表!$AZ$64:$AZ$71,),),MATCH(内訳計算!AT$6,単価表!$AY$63:$CC$63,0)),
INDEX(単価表!$AY$64:$CC$71,MATCH($V53&amp;$W53,INDEX(単価表!$AY$64:$AY$71&amp;単価表!$AZ$64:$AZ$71,),),MATCH(内訳計算!AT$6,単価表!$AY$63:$CC$63,0))),0),0)</f>
        <v>0</v>
      </c>
      <c r="AU53" s="871" cm="1">
        <f t="array" ref="AU53">IFERROR(ROUNDUP(IF(HLOOKUP($U53,加算と減算!$E$4:$P$10,6,FALSE)="○",IF(OR($U53=2,$U53=3),
INDEX(単価表!$AY$64:$CC$71,MATCH($V53&amp;$W53,INDEX(単価表!$AY$64:$AY$71&amp;単価表!$AZ$64:$AZ$71,),),MATCH(内訳計算!AU$6,単価表!$AY$63:$CC$63,0)),
INDEX(単価表!$AY$64:$CC$71,MATCH($V53&amp;$W53,INDEX(単価表!$AY$64:$AY$71&amp;単価表!$AZ$64:$AZ$71,),),MATCH(内訳計算!AU$6,単価表!$AY$63:$CC$63,0))),0)*$Y53/25,0),0)</f>
        <v>0</v>
      </c>
      <c r="AV53" s="876" cm="1">
        <f t="array" ref="AV53">IFERROR(IF(HLOOKUP($U53,加算と減算!$E$4:$P$10,7,FALSE)="○",IF(OR($U53=2,$U53=3),
INDEX(単価表!$AY$64:$CC$71,MATCH($V53&amp;$W53,INDEX(単価表!$AY$64:$AY$71&amp;単価表!$AZ$64:$AZ$71,),),MATCH(内訳計算!AV$6,単価表!$AY$63:$CC$63,0)),
INDEX(単価表!$AY$64:$CC$71,MATCH($V53&amp;$W53,INDEX(単価表!$AY$64:$AY$71&amp;単価表!$AZ$64:$AZ$71,),),MATCH(内訳計算!AV$6,単価表!$AY$63:$CC$63,0))),0),0)</f>
        <v>0</v>
      </c>
      <c r="AW53" s="754" cm="1">
        <f t="array" ref="AW53">IFERROR(ROUNDUP(IF(HLOOKUP($U53,加算と減算!$E$4:$P$10,7,FALSE)="○",IF(OR($U53=2,$U53=3),
INDEX(単価表!$AY$64:$CC$71,MATCH($V53&amp;$W53,INDEX(単価表!$AY$64:$AY$71&amp;単価表!$AZ$64:$AZ$71,),),MATCH(内訳計算!AW$6,単価表!$AY$63:$CC$63,0)),
INDEX(単価表!$AY$64:$CC$71,MATCH($V53&amp;$W53,INDEX(単価表!$AY$64:$AY$71&amp;単価表!$AZ$64:$AZ$71,),),MATCH(内訳計算!AW$6,単価表!$AY$63:$CC$63,0))),0)*$Y53/25,0),0)</f>
        <v>0</v>
      </c>
      <c r="AX53" s="754" cm="1">
        <f t="array" ref="AX53">IFERROR(ROUNDUP(IF(HLOOKUP($U53,加算と減算!$E$4:$P$10,7,FALSE)="○",IF(OR($U53=2,$U53=3),
INDEX(単価表!$AY$64:$CC$71,MATCH($V53&amp;$W53,INDEX(単価表!$AY$64:$AY$71&amp;単価表!$AZ$64:$AZ$71,),),MATCH(内訳計算!AX$6,単価表!$AY$63:$CC$63,0)),
INDEX(単価表!$AY$64:$CC$71,MATCH($V53&amp;$W53,INDEX(単価表!$AY$64:$AY$71&amp;単価表!$AZ$64:$AZ$71,),),MATCH(内訳計算!AX$6,単価表!$AY$63:$CC$63,0))),0)*$Y53/25,0),0)</f>
        <v>0</v>
      </c>
      <c r="AY53" s="871" cm="1">
        <f t="array" ref="AY53">IFERROR(ROUNDUP(IF(HLOOKUP($U53,加算と減算!$E$4:$P$10,7,FALSE)="○",IF(OR($U53=2,$U53=3),
INDEX(単価表!$AY$64:$CC$71,MATCH($V53&amp;$W53,INDEX(単価表!$AY$64:$AY$71&amp;単価表!$AZ$64:$AZ$71,),),MATCH(内訳計算!AY$6,単価表!$AY$63:$CC$63,0)),
INDEX(単価表!$AY$64:$CC$71,MATCH($V53&amp;$W53,INDEX(単価表!$AY$64:$AY$71&amp;単価表!$AZ$64:$AZ$71,),),MATCH(内訳計算!AY$6,単価表!$AY$63:$CC$63,0))),0)*$Y53/25,0),0)</f>
        <v>0</v>
      </c>
      <c r="AZ53" s="876" cm="1">
        <f t="array" ref="AZ53">IFERROR(IF(X53="○",INDEX(単価表!$AY$64:$CC$71,MATCH($V53&amp;$W53,INDEX(単価表!$AY$64:$AY$71&amp;単価表!$AZ$64:$AZ$71,),),MATCH(内訳計算!AZ$6,単価表!$AY$63:$CC$63,0)),0),0)</f>
        <v>0</v>
      </c>
      <c r="BA53" s="871" cm="1">
        <f t="array" ref="BA53">IFERROR(ROUNDUP(INDEX(単価表!$AY$64:$CC$71,MATCH($V53&amp;$W53,INDEX(単価表!$AY$64:$AY$71&amp;単価表!$AZ$64:$AZ$71,),),MATCH(内訳計算!BA$6,単価表!$AY$63:$CC$63,0))*$Y53/25,0),0)</f>
        <v>0</v>
      </c>
      <c r="BB53" s="876" cm="1">
        <f t="array" ref="BB53">IFERROR(INDEX(単価表!$AY$64:$CC$71,MATCH($V53&amp;$W53,INDEX(単価表!$AY$64:$AY$71&amp;単価表!$AZ$64:$AZ$71,),),MATCH(内訳計算!BB$6,単価表!$AY$63:$CC$63,0)),0)</f>
        <v>0</v>
      </c>
      <c r="BC53" s="871" cm="1">
        <f t="array" ref="BC53">IFERROR(ROUNDUP(INDEX(単価表!$AY$64:$CC$71,MATCH($V53&amp;$W53,INDEX(単価表!$AY$64:$AY$71&amp;単価表!$AZ$64:$AZ$71,),),MATCH(内訳計算!BC$6,単価表!$AY$63:$CC$63,0))*$Y53/25,0),0)</f>
        <v>0</v>
      </c>
      <c r="BD53" s="995">
        <f>IFERROR(IF(HLOOKUP($U53,加算と減算!$E$31:$P$32,2,FALSE)="○",IF(OR($U53=2,$U53=3),-(単価表!$AZ$7+単価表!$BA$7*基本情報!$G$7),-(単価表!$AZ$7+単価表!$BA$7*基本情報!$G$7)),0),0)</f>
        <v>0</v>
      </c>
      <c r="BE53" s="996" t="e">
        <f t="shared" si="70"/>
        <v>#VALUE!</v>
      </c>
      <c r="BF53" s="996" t="e">
        <f t="shared" si="71"/>
        <v>#VALUE!</v>
      </c>
      <c r="BG53" s="997" t="e">
        <f t="shared" si="72"/>
        <v>#N/A</v>
      </c>
      <c r="BH53" s="998">
        <f>IFERROR(IF(基本情報!$E$12&lt;&gt;"",-ROUNDDOWN((AA53+AE53+AH53+AL53)*基本情報!$H$12/100,-1),0),0)</f>
        <v>0</v>
      </c>
      <c r="BI53" s="996" t="e">
        <f t="shared" si="73"/>
        <v>#VALUE!</v>
      </c>
      <c r="BJ53" s="996" t="e">
        <f t="shared" si="74"/>
        <v>#VALUE!</v>
      </c>
      <c r="BK53" s="999" t="e">
        <f t="shared" si="75"/>
        <v>#N/A</v>
      </c>
      <c r="BL53" s="1012">
        <f>IFERROR(-ROUNDUP(SUM(AA53,AE53,AH53,AL53,AR53,AT53,AV53,BD53,BH53)*基本情報!$H$14/100,-1),0)</f>
        <v>0</v>
      </c>
      <c r="BM53" s="1013" t="e">
        <f t="shared" si="79"/>
        <v>#VALUE!</v>
      </c>
      <c r="BN53" s="1013" t="e">
        <f t="shared" si="76"/>
        <v>#VALUE!</v>
      </c>
      <c r="BO53" s="1014" t="e">
        <f t="shared" si="77"/>
        <v>#N/A</v>
      </c>
      <c r="BP53" s="701"/>
      <c r="BQ53" s="701"/>
      <c r="BR53" s="701"/>
      <c r="BS53" s="701"/>
      <c r="BT53" s="721"/>
      <c r="BU53" s="1047" t="e">
        <f t="shared" si="80"/>
        <v>#VALUE!</v>
      </c>
      <c r="BV53" s="1048" t="e">
        <f t="shared" si="81"/>
        <v>#VALUE!</v>
      </c>
      <c r="BW53" s="1048" t="e">
        <f t="shared" si="82"/>
        <v>#N/A</v>
      </c>
      <c r="BX53" s="1052">
        <f t="shared" si="83"/>
        <v>0</v>
      </c>
      <c r="BY53" s="1049">
        <f t="shared" si="84"/>
        <v>0</v>
      </c>
      <c r="CB53" s="1626"/>
      <c r="CC53" s="1600"/>
      <c r="CD53" s="719" t="s">
        <v>21</v>
      </c>
      <c r="CE53" s="741" t="s">
        <v>353</v>
      </c>
      <c r="CF53" s="742"/>
      <c r="CG53" s="742"/>
      <c r="CH53" s="742"/>
      <c r="CI53" s="742"/>
      <c r="CJ53" s="742"/>
      <c r="CK53" s="742"/>
      <c r="CL53" s="742"/>
      <c r="CM53" s="742"/>
      <c r="CN53" s="742"/>
      <c r="CO53" s="742"/>
      <c r="CP53" s="742"/>
      <c r="CQ53" s="756">
        <f>'3月'!AQ64</f>
        <v>0</v>
      </c>
      <c r="CR53" s="759">
        <f t="shared" si="22"/>
        <v>0</v>
      </c>
      <c r="CS53" s="1600"/>
      <c r="CT53" s="719" t="s">
        <v>21</v>
      </c>
      <c r="CU53" s="958" t="s">
        <v>353</v>
      </c>
      <c r="CV53" s="776"/>
      <c r="CW53" s="776"/>
      <c r="CX53" s="771">
        <f t="shared" si="96"/>
        <v>0</v>
      </c>
      <c r="CY53" s="954"/>
      <c r="CZ53" s="954"/>
      <c r="DA53" s="721"/>
      <c r="DB53" s="721"/>
    </row>
    <row r="54" spans="1:114" ht="17.25" customHeight="1" thickTop="1" thickBot="1">
      <c r="A54" s="1653"/>
      <c r="B54" s="1540"/>
      <c r="C54" s="1542"/>
      <c r="D54" s="708" t="s">
        <v>552</v>
      </c>
      <c r="E54" s="709">
        <f>SUM(児童数!Z18:Z19)</f>
        <v>0</v>
      </c>
      <c r="F54" s="709">
        <f>'3月'!M38</f>
        <v>0</v>
      </c>
      <c r="G54" s="709">
        <f>G48</f>
        <v>10478</v>
      </c>
      <c r="H54" s="709">
        <f>H41</f>
        <v>0</v>
      </c>
      <c r="I54" s="709">
        <f>F54-G54-H54</f>
        <v>-10478</v>
      </c>
      <c r="J54" s="709">
        <f t="shared" si="97"/>
        <v>0</v>
      </c>
      <c r="K54" s="709">
        <f t="shared" si="98"/>
        <v>0</v>
      </c>
      <c r="L54" s="710">
        <f t="shared" si="99"/>
        <v>0</v>
      </c>
      <c r="Z54" s="721">
        <f>SUM(Z34:Z53)</f>
        <v>0</v>
      </c>
      <c r="AA54" s="721"/>
      <c r="AB54" s="721" t="e">
        <f>-SUM(AB34:AB53)</f>
        <v>#VALUE!</v>
      </c>
      <c r="AC54" s="721">
        <f t="shared" ref="AC54:AD54" si="100">-SUM(AC34:AC53)</f>
        <v>0</v>
      </c>
      <c r="AD54" s="721">
        <f t="shared" si="100"/>
        <v>0</v>
      </c>
      <c r="AE54" s="721"/>
      <c r="AF54" s="721">
        <f t="shared" ref="AF54:AG54" si="101">-SUM(AF34:AF53)</f>
        <v>0</v>
      </c>
      <c r="AG54" s="721">
        <f t="shared" si="101"/>
        <v>0</v>
      </c>
      <c r="AH54" s="721"/>
      <c r="AI54" s="721">
        <f t="shared" ref="AI54:AK54" si="102">-SUM(AI34:AI53)</f>
        <v>0</v>
      </c>
      <c r="AJ54" s="721">
        <f t="shared" si="102"/>
        <v>0</v>
      </c>
      <c r="AK54" s="721">
        <f t="shared" si="102"/>
        <v>0</v>
      </c>
      <c r="AL54" s="721"/>
      <c r="AM54" s="721">
        <f t="shared" ref="AM54:AQ54" si="103">-SUM(AM34:AM53)</f>
        <v>0</v>
      </c>
      <c r="AN54" s="721">
        <f t="shared" si="103"/>
        <v>0</v>
      </c>
      <c r="AO54" s="721">
        <f t="shared" si="103"/>
        <v>0</v>
      </c>
      <c r="AP54" s="721">
        <f t="shared" si="103"/>
        <v>0</v>
      </c>
      <c r="AQ54" s="721">
        <f t="shared" si="103"/>
        <v>0</v>
      </c>
      <c r="AR54" s="721"/>
      <c r="AS54" s="721">
        <f>-SUM(AS34:AS53)</f>
        <v>0</v>
      </c>
      <c r="AT54" s="721"/>
      <c r="AU54" s="721">
        <f>-SUM(AU34:AU53)</f>
        <v>0</v>
      </c>
      <c r="AV54" s="721"/>
      <c r="AW54" s="721">
        <f>-SUM(AW34:AW53)</f>
        <v>0</v>
      </c>
      <c r="AX54" s="721">
        <f>-SUM(AX34:AX53)</f>
        <v>0</v>
      </c>
      <c r="AY54" s="721">
        <f>-SUM(AY34:AY53)</f>
        <v>0</v>
      </c>
      <c r="AZ54" s="721"/>
      <c r="BA54" s="721">
        <f>-SUM(BA34:BA53)</f>
        <v>0</v>
      </c>
      <c r="BB54" s="721"/>
      <c r="BC54" s="721">
        <f>-SUM(BC34:BC53)</f>
        <v>0</v>
      </c>
      <c r="BD54" s="721"/>
      <c r="BE54" s="721" t="e">
        <f>-SUM(BE34:BE53)</f>
        <v>#VALUE!</v>
      </c>
      <c r="BF54" s="721" t="e">
        <f>-SUM(BF34:BF53)</f>
        <v>#VALUE!</v>
      </c>
      <c r="BG54" s="721" t="e">
        <f>-SUM(BG34:BG53)</f>
        <v>#N/A</v>
      </c>
      <c r="BH54" s="721"/>
      <c r="BI54" s="721" t="e">
        <f t="shared" ref="BI54:BK54" si="104">-SUM(BI34:BI53)</f>
        <v>#VALUE!</v>
      </c>
      <c r="BJ54" s="721" t="e">
        <f t="shared" si="104"/>
        <v>#VALUE!</v>
      </c>
      <c r="BK54" s="721" t="e">
        <f t="shared" si="104"/>
        <v>#N/A</v>
      </c>
      <c r="BM54" s="721" t="e">
        <f t="shared" ref="BM54:BO54" si="105">-SUM(BM34:BM53)</f>
        <v>#VALUE!</v>
      </c>
      <c r="BN54" s="721" t="e">
        <f t="shared" si="105"/>
        <v>#VALUE!</v>
      </c>
      <c r="BO54" s="721" t="e">
        <f t="shared" si="105"/>
        <v>#N/A</v>
      </c>
      <c r="BU54" s="1037" t="e">
        <f>SUM(BU34:BU53)</f>
        <v>#VALUE!</v>
      </c>
      <c r="BV54" s="1038" t="e">
        <f>SUM(BV34:BV53)</f>
        <v>#VALUE!</v>
      </c>
      <c r="BW54" s="1038" t="e">
        <f>SUM(BW34:BW53)</f>
        <v>#N/A</v>
      </c>
      <c r="BX54" s="1053">
        <f>SUM(BX34:BX53)</f>
        <v>0</v>
      </c>
      <c r="BY54" s="1039">
        <f>SUM(BY34:BY53)</f>
        <v>0</v>
      </c>
      <c r="CB54" s="1626"/>
      <c r="CC54" s="1601"/>
      <c r="CD54" s="719" t="s">
        <v>435</v>
      </c>
      <c r="CE54" s="741" t="s">
        <v>353</v>
      </c>
      <c r="CF54" s="742"/>
      <c r="CG54" s="742"/>
      <c r="CH54" s="742"/>
      <c r="CI54" s="742"/>
      <c r="CJ54" s="742"/>
      <c r="CK54" s="742"/>
      <c r="CL54" s="742"/>
      <c r="CM54" s="742"/>
      <c r="CN54" s="742"/>
      <c r="CO54" s="742"/>
      <c r="CP54" s="742"/>
      <c r="CQ54" s="756">
        <f>'3月'!AQ65</f>
        <v>0</v>
      </c>
      <c r="CR54" s="759">
        <f t="shared" si="22"/>
        <v>0</v>
      </c>
      <c r="CS54" s="1601"/>
      <c r="CT54" s="719" t="s">
        <v>435</v>
      </c>
      <c r="CU54" s="958" t="s">
        <v>353</v>
      </c>
      <c r="CV54" s="776"/>
      <c r="CW54" s="776"/>
      <c r="CX54" s="771">
        <f t="shared" si="96"/>
        <v>0</v>
      </c>
      <c r="CY54" s="954"/>
      <c r="CZ54" s="954"/>
      <c r="DA54" s="721"/>
      <c r="DB54" s="721"/>
    </row>
    <row r="55" spans="1:114" ht="18" thickTop="1" thickBot="1">
      <c r="A55" s="1653"/>
      <c r="B55" s="1541"/>
      <c r="C55" s="1543"/>
      <c r="D55" s="711" t="s">
        <v>36</v>
      </c>
      <c r="E55" s="712">
        <f>SUM(E51:E54)</f>
        <v>0</v>
      </c>
      <c r="F55" s="714"/>
      <c r="G55" s="714"/>
      <c r="H55" s="714"/>
      <c r="I55" s="714"/>
      <c r="J55" s="712">
        <f>SUM(J51:J54)</f>
        <v>0</v>
      </c>
      <c r="K55" s="712">
        <f t="shared" ref="K55:L55" si="106">SUM(K51:K54)</f>
        <v>0</v>
      </c>
      <c r="L55" s="713">
        <f t="shared" si="106"/>
        <v>0</v>
      </c>
      <c r="CB55" s="1627"/>
      <c r="CC55" s="1594" t="s">
        <v>562</v>
      </c>
      <c r="CD55" s="1595"/>
      <c r="CE55" s="768" t="s">
        <v>376</v>
      </c>
      <c r="CF55" s="754">
        <f>'4月'!AQ54</f>
        <v>0</v>
      </c>
      <c r="CG55" s="754">
        <f>'5月'!AQ54</f>
        <v>0</v>
      </c>
      <c r="CH55" s="754">
        <f>'6月'!AQ54</f>
        <v>0</v>
      </c>
      <c r="CI55" s="754">
        <f>'7月'!AQ54</f>
        <v>0</v>
      </c>
      <c r="CJ55" s="754">
        <f>'8月'!AQ54</f>
        <v>0</v>
      </c>
      <c r="CK55" s="754">
        <f>'9月'!AQ54</f>
        <v>0</v>
      </c>
      <c r="CL55" s="754">
        <f>'10月'!AQ54</f>
        <v>0</v>
      </c>
      <c r="CM55" s="754">
        <f>'11月'!AQ54</f>
        <v>0</v>
      </c>
      <c r="CN55" s="754">
        <f>'12月'!AQ54</f>
        <v>0</v>
      </c>
      <c r="CO55" s="754">
        <f>'1月'!AQ54</f>
        <v>0</v>
      </c>
      <c r="CP55" s="754">
        <f>'2月'!AQ54</f>
        <v>0</v>
      </c>
      <c r="CQ55" s="757">
        <f>'3月'!AQ66</f>
        <v>0</v>
      </c>
      <c r="CR55" s="760">
        <f t="shared" si="22"/>
        <v>0</v>
      </c>
      <c r="CS55" s="1594" t="s">
        <v>562</v>
      </c>
      <c r="CT55" s="1595"/>
      <c r="CU55" s="768" t="s">
        <v>376</v>
      </c>
      <c r="CV55" s="776"/>
      <c r="CW55" s="771">
        <f>CR55</f>
        <v>0</v>
      </c>
      <c r="CX55" s="776"/>
      <c r="CY55" s="954"/>
      <c r="CZ55" s="954"/>
      <c r="DA55" s="721"/>
      <c r="DB55" s="721"/>
    </row>
    <row r="56" spans="1:114">
      <c r="B56" s="678"/>
      <c r="C56" s="679"/>
      <c r="D56" s="680"/>
      <c r="E56" s="674"/>
      <c r="F56" s="674"/>
      <c r="G56" s="674"/>
      <c r="H56" s="674"/>
      <c r="I56" s="674"/>
      <c r="J56" s="674"/>
      <c r="K56" s="674"/>
      <c r="L56" s="674"/>
      <c r="BD56" s="681"/>
      <c r="BE56" s="681"/>
      <c r="BF56" s="681"/>
      <c r="BG56" s="681"/>
      <c r="BH56" s="681"/>
      <c r="BI56" s="681"/>
      <c r="BJ56" s="681"/>
      <c r="BK56" s="681"/>
      <c r="BL56" s="681"/>
      <c r="BM56" s="681"/>
      <c r="BN56" s="681"/>
      <c r="BO56" s="681"/>
      <c r="BP56" s="681"/>
      <c r="BQ56" s="681"/>
      <c r="BR56" s="681"/>
      <c r="BS56" s="681"/>
      <c r="CB56" s="769"/>
      <c r="CC56" s="58"/>
      <c r="CD56" s="58"/>
      <c r="CE56" s="770"/>
      <c r="CF56" s="743"/>
      <c r="CG56" s="743"/>
      <c r="CH56" s="743"/>
      <c r="CI56" s="743"/>
      <c r="CJ56" s="743"/>
      <c r="CK56" s="743"/>
      <c r="CL56" s="743"/>
      <c r="CM56" s="743"/>
      <c r="CN56" s="743"/>
      <c r="CO56" s="743"/>
      <c r="CP56" s="743"/>
      <c r="CQ56" s="743"/>
      <c r="CR56" s="743"/>
      <c r="CS56" s="58"/>
      <c r="CT56" s="58"/>
      <c r="CU56" s="770"/>
      <c r="CV56" s="721" t="e">
        <f>SUM(CV7:CV55)</f>
        <v>#VALUE!</v>
      </c>
      <c r="CW56" s="721">
        <f t="shared" ref="CW56:CX56" si="107">SUM(CW7:CW55)</f>
        <v>0</v>
      </c>
      <c r="CX56" s="721" t="e">
        <f t="shared" si="107"/>
        <v>#N/A</v>
      </c>
      <c r="CY56" s="721" t="e">
        <f>SUM(CY7:CY55)</f>
        <v>#VALUE!</v>
      </c>
      <c r="CZ56" s="721" t="e">
        <f>SUM(CZ7:CZ55)</f>
        <v>#VALUE!</v>
      </c>
    </row>
    <row r="57" spans="1:114" ht="17.25" thickBot="1">
      <c r="B57" s="678"/>
      <c r="C57" s="679"/>
      <c r="D57" s="680"/>
      <c r="E57" s="674"/>
      <c r="F57" s="674"/>
      <c r="G57" s="674"/>
      <c r="H57" s="674"/>
      <c r="I57" s="674"/>
      <c r="J57" s="674"/>
      <c r="K57" s="674"/>
      <c r="L57" s="674"/>
      <c r="T57" s="716" t="s">
        <v>561</v>
      </c>
      <c r="BD57" s="681"/>
      <c r="BE57" s="681"/>
      <c r="BF57" s="681"/>
      <c r="BG57" s="681"/>
      <c r="BH57" s="681"/>
      <c r="BI57" s="681"/>
      <c r="BJ57" s="681"/>
      <c r="BK57" s="681"/>
      <c r="BL57" s="681"/>
      <c r="BM57" s="681"/>
      <c r="BN57" s="681"/>
      <c r="BO57" s="681"/>
      <c r="BP57" s="681"/>
      <c r="BQ57" s="681"/>
      <c r="BR57" s="681"/>
      <c r="BS57" s="681"/>
      <c r="CB57" s="769"/>
      <c r="CC57" s="58"/>
      <c r="CD57" s="58"/>
      <c r="CE57" s="770"/>
      <c r="CF57" s="743"/>
      <c r="CG57" s="743"/>
      <c r="CH57" s="743"/>
      <c r="CI57" s="743"/>
      <c r="CJ57" s="743"/>
      <c r="CK57" s="743"/>
      <c r="CL57" s="743"/>
      <c r="CM57" s="743"/>
      <c r="CN57" s="743"/>
      <c r="CO57" s="743"/>
      <c r="CP57" s="743"/>
      <c r="CQ57" s="743"/>
      <c r="CR57" s="743"/>
      <c r="CS57" s="58"/>
      <c r="CT57" s="58"/>
      <c r="CU57" s="835" t="s">
        <v>608</v>
      </c>
      <c r="CV57" s="834" t="e">
        <f>1-CW57-CX57-CY57</f>
        <v>#VALUE!</v>
      </c>
      <c r="CW57" s="834" t="e">
        <f>CW56/SUM($CV$56:$CY$56)</f>
        <v>#VALUE!</v>
      </c>
      <c r="CX57" s="834" t="e">
        <f>CX56/SUM($CV$56:$CY$56)</f>
        <v>#N/A</v>
      </c>
      <c r="CY57" s="834" t="e">
        <f>CY56/SUM($CV$56:$CY$56)</f>
        <v>#VALUE!</v>
      </c>
    </row>
    <row r="58" spans="1:114" ht="17.25" thickBot="1">
      <c r="B58" s="678"/>
      <c r="C58" s="679"/>
      <c r="D58" s="680"/>
      <c r="E58" s="674"/>
      <c r="T58" s="1391"/>
      <c r="U58" s="1560" t="s">
        <v>438</v>
      </c>
      <c r="V58" s="1560" t="s">
        <v>444</v>
      </c>
      <c r="W58" s="1560" t="s">
        <v>206</v>
      </c>
      <c r="X58" s="1557" t="s">
        <v>544</v>
      </c>
      <c r="Y58" s="1560" t="s">
        <v>214</v>
      </c>
      <c r="Z58" s="1563" t="s">
        <v>545</v>
      </c>
      <c r="AA58" s="1388" t="s">
        <v>548</v>
      </c>
      <c r="AB58" s="1389"/>
      <c r="AC58" s="1389"/>
      <c r="AD58" s="1390"/>
      <c r="AE58" s="1388" t="s">
        <v>613</v>
      </c>
      <c r="AF58" s="1389"/>
      <c r="AG58" s="1390"/>
      <c r="AH58" s="1388" t="s">
        <v>615</v>
      </c>
      <c r="AI58" s="1389"/>
      <c r="AJ58" s="1389"/>
      <c r="AK58" s="1390"/>
      <c r="AL58" s="1391" t="s">
        <v>619</v>
      </c>
      <c r="AM58" s="1392"/>
      <c r="AN58" s="1392"/>
      <c r="AO58" s="1392"/>
      <c r="AP58" s="1392"/>
      <c r="AQ58" s="1393"/>
      <c r="AR58" s="1391" t="s">
        <v>622</v>
      </c>
      <c r="AS58" s="1393"/>
      <c r="AT58" s="1391" t="s">
        <v>623</v>
      </c>
      <c r="AU58" s="1393"/>
      <c r="AV58" s="1391" t="s">
        <v>624</v>
      </c>
      <c r="AW58" s="1392"/>
      <c r="AX58" s="1392"/>
      <c r="AY58" s="1393"/>
      <c r="AZ58" s="1391" t="s">
        <v>626</v>
      </c>
      <c r="BA58" s="1393"/>
      <c r="BB58" s="1391" t="s">
        <v>625</v>
      </c>
      <c r="BC58" s="1393"/>
      <c r="BD58" s="1518" t="s">
        <v>670</v>
      </c>
      <c r="BE58" s="1519"/>
      <c r="BF58" s="1519"/>
      <c r="BG58" s="1520"/>
      <c r="BH58" s="1521" t="s">
        <v>671</v>
      </c>
      <c r="BI58" s="1519"/>
      <c r="BJ58" s="1519"/>
      <c r="BK58" s="1522"/>
      <c r="BL58" s="1521" t="s">
        <v>673</v>
      </c>
      <c r="BM58" s="1519"/>
      <c r="BN58" s="1519"/>
      <c r="BO58" s="1522"/>
      <c r="BP58" s="1524" t="s">
        <v>672</v>
      </c>
      <c r="BQ58" s="1519"/>
      <c r="BR58" s="1519"/>
      <c r="BS58" s="1522"/>
      <c r="CB58" s="769"/>
      <c r="CC58" s="58"/>
      <c r="CD58" s="58"/>
      <c r="CE58" s="770"/>
      <c r="CF58" s="743"/>
      <c r="CG58" s="743"/>
      <c r="CH58" s="743"/>
      <c r="CI58" s="743"/>
      <c r="CJ58" s="743"/>
      <c r="CK58" s="743"/>
      <c r="CL58" s="743"/>
      <c r="CM58" s="743"/>
      <c r="CN58" s="743"/>
      <c r="CO58" s="743"/>
      <c r="CP58" s="743"/>
      <c r="CQ58" s="743"/>
      <c r="CR58" s="743"/>
      <c r="CS58" s="58"/>
      <c r="CT58" s="58"/>
      <c r="CU58" s="963" t="s">
        <v>713</v>
      </c>
      <c r="CV58" s="834" t="e">
        <f>1-CW58-CX58-CY58</f>
        <v>#VALUE!</v>
      </c>
      <c r="CW58" s="834" t="e">
        <f>ROUNDDOWN(CW57,3)</f>
        <v>#VALUE!</v>
      </c>
      <c r="CX58" s="834" t="e">
        <f>ROUNDDOWN(CX57,3)</f>
        <v>#N/A</v>
      </c>
      <c r="CY58" s="834" t="e">
        <f>ROUNDDOWN(CY57,3)</f>
        <v>#VALUE!</v>
      </c>
    </row>
    <row r="59" spans="1:114" ht="20.25" thickTop="1" thickBot="1">
      <c r="F59" s="665" t="s">
        <v>535</v>
      </c>
      <c r="G59" s="665" t="s">
        <v>71</v>
      </c>
      <c r="H59" s="665" t="s">
        <v>536</v>
      </c>
      <c r="I59" s="665" t="s">
        <v>537</v>
      </c>
      <c r="J59" s="665" t="s">
        <v>538</v>
      </c>
      <c r="K59" s="832" t="s">
        <v>689</v>
      </c>
      <c r="L59" s="832" t="s">
        <v>690</v>
      </c>
      <c r="M59" s="675" t="s">
        <v>539</v>
      </c>
      <c r="N59" s="702" t="s">
        <v>540</v>
      </c>
      <c r="O59" s="676" t="s">
        <v>541</v>
      </c>
      <c r="P59" s="675" t="s">
        <v>604</v>
      </c>
      <c r="Q59" s="831" t="s">
        <v>605</v>
      </c>
      <c r="T59" s="1407"/>
      <c r="U59" s="1561"/>
      <c r="V59" s="1561"/>
      <c r="W59" s="1561"/>
      <c r="X59" s="1558"/>
      <c r="Y59" s="1561"/>
      <c r="Z59" s="1564"/>
      <c r="AA59" s="1394" t="s">
        <v>612</v>
      </c>
      <c r="AB59" s="1396" t="s">
        <v>550</v>
      </c>
      <c r="AC59" s="1397"/>
      <c r="AD59" s="1398"/>
      <c r="AE59" s="1394" t="s">
        <v>612</v>
      </c>
      <c r="AF59" s="1396" t="s">
        <v>550</v>
      </c>
      <c r="AG59" s="1398"/>
      <c r="AH59" s="1394" t="s">
        <v>612</v>
      </c>
      <c r="AI59" s="1396" t="s">
        <v>620</v>
      </c>
      <c r="AJ59" s="1397"/>
      <c r="AK59" s="1398"/>
      <c r="AL59" s="1404" t="s">
        <v>612</v>
      </c>
      <c r="AM59" s="1405" t="s">
        <v>621</v>
      </c>
      <c r="AN59" s="1405"/>
      <c r="AO59" s="1405"/>
      <c r="AP59" s="1405"/>
      <c r="AQ59" s="1406"/>
      <c r="AR59" s="1407" t="s">
        <v>612</v>
      </c>
      <c r="AS59" s="1406" t="s">
        <v>620</v>
      </c>
      <c r="AT59" s="1407" t="s">
        <v>612</v>
      </c>
      <c r="AU59" s="1406" t="s">
        <v>620</v>
      </c>
      <c r="AV59" s="1404" t="s">
        <v>612</v>
      </c>
      <c r="AW59" s="1405" t="s">
        <v>620</v>
      </c>
      <c r="AX59" s="1405"/>
      <c r="AY59" s="1406"/>
      <c r="AZ59" s="1407" t="s">
        <v>612</v>
      </c>
      <c r="BA59" s="1406" t="s">
        <v>620</v>
      </c>
      <c r="BB59" s="1407" t="s">
        <v>612</v>
      </c>
      <c r="BC59" s="1406" t="s">
        <v>620</v>
      </c>
      <c r="BD59" s="1523" t="s">
        <v>612</v>
      </c>
      <c r="BE59" s="1513" t="s">
        <v>620</v>
      </c>
      <c r="BF59" s="1513"/>
      <c r="BG59" s="1514"/>
      <c r="BH59" s="1515" t="s">
        <v>612</v>
      </c>
      <c r="BI59" s="1513" t="s">
        <v>620</v>
      </c>
      <c r="BJ59" s="1513"/>
      <c r="BK59" s="1516"/>
      <c r="BL59" s="1515" t="s">
        <v>612</v>
      </c>
      <c r="BM59" s="1513" t="s">
        <v>620</v>
      </c>
      <c r="BN59" s="1513"/>
      <c r="BO59" s="1516"/>
      <c r="BP59" s="1517" t="s">
        <v>612</v>
      </c>
      <c r="BQ59" s="1513" t="s">
        <v>620</v>
      </c>
      <c r="BR59" s="1513"/>
      <c r="BS59" s="1516"/>
      <c r="BU59" s="1670" t="s">
        <v>707</v>
      </c>
      <c r="BV59" s="1671"/>
      <c r="BW59" s="1671"/>
      <c r="BX59" s="1672"/>
      <c r="BY59" s="1673"/>
      <c r="CV59" s="1104" t="s">
        <v>559</v>
      </c>
      <c r="CW59" s="1105" t="s">
        <v>376</v>
      </c>
      <c r="CX59" s="1106" t="s">
        <v>353</v>
      </c>
      <c r="CY59" s="1107" t="s">
        <v>681</v>
      </c>
      <c r="CZ59" s="1108" t="s">
        <v>682</v>
      </c>
      <c r="DC59" s="1068" t="s">
        <v>693</v>
      </c>
      <c r="DD59" s="1069"/>
      <c r="DE59" s="1069"/>
      <c r="DF59" s="1069"/>
      <c r="DG59" s="1069"/>
      <c r="DH59" s="1069"/>
      <c r="DI59" s="1069"/>
      <c r="DJ59" s="1069"/>
    </row>
    <row r="60" spans="1:114" ht="16.5" customHeight="1" thickBot="1">
      <c r="B60" s="1642" t="s">
        <v>75</v>
      </c>
      <c r="C60" s="1642"/>
      <c r="D60" s="1642"/>
      <c r="E60" s="1642"/>
      <c r="F60" s="961">
        <f>児童数!AT34</f>
        <v>0</v>
      </c>
      <c r="G60" s="830"/>
      <c r="H60" s="830"/>
      <c r="I60" s="830"/>
      <c r="J60" s="830"/>
      <c r="K60" s="830"/>
      <c r="L60" s="830"/>
      <c r="M60" s="672" t="e">
        <f>Q101+Q108</f>
        <v>#DIV/0!</v>
      </c>
      <c r="N60" s="672">
        <f>Q99+Q106</f>
        <v>0</v>
      </c>
      <c r="O60" s="672">
        <f>Q100+Q107</f>
        <v>0</v>
      </c>
      <c r="P60" s="833" t="e">
        <f>+Q97+Q104</f>
        <v>#DIV/0!</v>
      </c>
      <c r="Q60" s="833" t="e">
        <f>+Q98+Q105</f>
        <v>#DIV/0!</v>
      </c>
      <c r="T60" s="1536"/>
      <c r="U60" s="1562"/>
      <c r="V60" s="1562"/>
      <c r="W60" s="1562"/>
      <c r="X60" s="1559"/>
      <c r="Y60" s="1562"/>
      <c r="Z60" s="1565"/>
      <c r="AA60" s="1544"/>
      <c r="AB60" s="725" t="s">
        <v>609</v>
      </c>
      <c r="AC60" s="725" t="s">
        <v>610</v>
      </c>
      <c r="AD60" s="726" t="s">
        <v>611</v>
      </c>
      <c r="AE60" s="1544"/>
      <c r="AF60" s="964" t="s">
        <v>700</v>
      </c>
      <c r="AG60" s="965" t="s">
        <v>682</v>
      </c>
      <c r="AH60" s="1544"/>
      <c r="AI60" s="725" t="s">
        <v>617</v>
      </c>
      <c r="AJ60" s="964" t="s">
        <v>700</v>
      </c>
      <c r="AK60" s="965" t="s">
        <v>682</v>
      </c>
      <c r="AL60" s="1404"/>
      <c r="AM60" s="724" t="s">
        <v>616</v>
      </c>
      <c r="AN60" s="724" t="s">
        <v>618</v>
      </c>
      <c r="AO60" s="723" t="s">
        <v>614</v>
      </c>
      <c r="AP60" s="964" t="s">
        <v>700</v>
      </c>
      <c r="AQ60" s="965" t="s">
        <v>682</v>
      </c>
      <c r="AR60" s="1407"/>
      <c r="AS60" s="1406"/>
      <c r="AT60" s="1407"/>
      <c r="AU60" s="1406"/>
      <c r="AV60" s="1404"/>
      <c r="AW60" s="724" t="s">
        <v>617</v>
      </c>
      <c r="AX60" s="964" t="s">
        <v>700</v>
      </c>
      <c r="AY60" s="965" t="s">
        <v>682</v>
      </c>
      <c r="AZ60" s="1407"/>
      <c r="BA60" s="1406"/>
      <c r="BB60" s="1407"/>
      <c r="BC60" s="1406"/>
      <c r="BD60" s="1523"/>
      <c r="BE60" s="929" t="s">
        <v>559</v>
      </c>
      <c r="BF60" s="930" t="s">
        <v>376</v>
      </c>
      <c r="BG60" s="931" t="s">
        <v>353</v>
      </c>
      <c r="BH60" s="1515"/>
      <c r="BI60" s="929" t="s">
        <v>559</v>
      </c>
      <c r="BJ60" s="930" t="s">
        <v>376</v>
      </c>
      <c r="BK60" s="932" t="s">
        <v>353</v>
      </c>
      <c r="BL60" s="1515"/>
      <c r="BM60" s="929" t="s">
        <v>559</v>
      </c>
      <c r="BN60" s="930" t="s">
        <v>376</v>
      </c>
      <c r="BO60" s="932" t="s">
        <v>353</v>
      </c>
      <c r="BP60" s="1517"/>
      <c r="BQ60" s="929" t="s">
        <v>559</v>
      </c>
      <c r="BR60" s="930" t="s">
        <v>376</v>
      </c>
      <c r="BS60" s="932" t="s">
        <v>353</v>
      </c>
      <c r="BU60" s="1674" t="s">
        <v>616</v>
      </c>
      <c r="BV60" s="1676" t="s">
        <v>618</v>
      </c>
      <c r="BW60" s="1678" t="s">
        <v>574</v>
      </c>
      <c r="BX60" s="1678" t="s">
        <v>709</v>
      </c>
      <c r="BY60" s="1659" t="s">
        <v>682</v>
      </c>
      <c r="CB60" s="1631" t="s">
        <v>566</v>
      </c>
      <c r="CC60" s="1610" t="s">
        <v>205</v>
      </c>
      <c r="CD60" s="1630" t="s">
        <v>43</v>
      </c>
      <c r="CE60" s="750" t="s">
        <v>169</v>
      </c>
      <c r="CF60" s="751">
        <f>'4月'!AQ17</f>
        <v>0</v>
      </c>
      <c r="CG60" s="751">
        <f>'5月'!AQ17</f>
        <v>0</v>
      </c>
      <c r="CH60" s="751">
        <f>'6月'!AQ17</f>
        <v>0</v>
      </c>
      <c r="CI60" s="751">
        <f>'7月'!AQ17</f>
        <v>0</v>
      </c>
      <c r="CJ60" s="751">
        <f>'8月'!AQ17</f>
        <v>0</v>
      </c>
      <c r="CK60" s="751">
        <f>'9月'!AQ17</f>
        <v>0</v>
      </c>
      <c r="CL60" s="751">
        <f>'10月'!AQ17</f>
        <v>0</v>
      </c>
      <c r="CM60" s="751">
        <f>'11月'!AQ17</f>
        <v>0</v>
      </c>
      <c r="CN60" s="751">
        <f>'12月'!AQ17</f>
        <v>0</v>
      </c>
      <c r="CO60" s="751">
        <f>'1月'!AQ17</f>
        <v>0</v>
      </c>
      <c r="CP60" s="751">
        <f>'2月'!AQ17</f>
        <v>0</v>
      </c>
      <c r="CQ60" s="755">
        <f>'3月'!AQ17</f>
        <v>0</v>
      </c>
      <c r="CR60" s="758">
        <f t="shared" ref="CR60:CR68" si="108">SUM(CF60:CQ60)</f>
        <v>0</v>
      </c>
      <c r="CS60" s="1582" t="s">
        <v>181</v>
      </c>
      <c r="CT60" s="1612" t="s">
        <v>43</v>
      </c>
      <c r="CU60" s="1613"/>
      <c r="CV60" s="842" t="e">
        <f>CR60-CW60-CX60-CY60</f>
        <v>#VALUE!</v>
      </c>
      <c r="CW60" s="672" t="e">
        <f>ROUNDDOWN(CR60*$CW$58,0)</f>
        <v>#VALUE!</v>
      </c>
      <c r="CX60" s="672" t="e">
        <f>ROUNDDOWN(CR60*$CX$58,0)</f>
        <v>#N/A</v>
      </c>
      <c r="CY60" s="672" t="e">
        <f>ROUNDDOWN(CR60*$CY$58,0)</f>
        <v>#VALUE!</v>
      </c>
      <c r="CZ60" s="1109"/>
      <c r="DC60" s="1070" t="s">
        <v>692</v>
      </c>
      <c r="DD60" s="1069"/>
      <c r="DE60" s="1069"/>
      <c r="DF60" s="1069"/>
      <c r="DG60" s="1069"/>
      <c r="DH60" s="1069"/>
      <c r="DI60" s="1069"/>
      <c r="DJ60" s="1069"/>
    </row>
    <row r="61" spans="1:114" ht="16.5" customHeight="1" thickTop="1" thickBot="1">
      <c r="B61" s="1643" t="s">
        <v>68</v>
      </c>
      <c r="C61" s="1644"/>
      <c r="D61" s="1649" t="s">
        <v>606</v>
      </c>
      <c r="E61" s="727" t="s">
        <v>602</v>
      </c>
      <c r="F61" s="961">
        <f>IF(内訳計算!CR12=0,0,児童数!E34+児童数!F34+児童数!J34+児童数!K34)</f>
        <v>0</v>
      </c>
      <c r="G61" s="672">
        <f>単価表!AU90</f>
        <v>0</v>
      </c>
      <c r="H61" s="672">
        <f>単価表!AW90</f>
        <v>0</v>
      </c>
      <c r="I61" s="672">
        <f>単価表!AX90</f>
        <v>0</v>
      </c>
      <c r="J61" s="672">
        <f>G61-H61-I61</f>
        <v>0</v>
      </c>
      <c r="K61" s="673">
        <f>単価表!$AV$90*E69</f>
        <v>0</v>
      </c>
      <c r="L61" s="673">
        <f>単価表!$AV$90*E70</f>
        <v>0</v>
      </c>
      <c r="M61" s="672">
        <f>J61*F61</f>
        <v>0</v>
      </c>
      <c r="N61" s="672">
        <f>H61*F61</f>
        <v>0</v>
      </c>
      <c r="O61" s="672">
        <f>I61*F61</f>
        <v>0</v>
      </c>
      <c r="P61" s="833">
        <f>+K61*F61</f>
        <v>0</v>
      </c>
      <c r="Q61" s="833">
        <f>+L61*F61</f>
        <v>0</v>
      </c>
      <c r="T61" s="911"/>
      <c r="U61" s="905"/>
      <c r="V61" s="905"/>
      <c r="W61" s="905"/>
      <c r="X61" s="913"/>
      <c r="Y61" s="905"/>
      <c r="Z61" s="922"/>
      <c r="AA61" s="951" t="s">
        <v>630</v>
      </c>
      <c r="AB61" s="920" t="s">
        <v>632</v>
      </c>
      <c r="AC61" s="920" t="s">
        <v>634</v>
      </c>
      <c r="AD61" s="922" t="s">
        <v>636</v>
      </c>
      <c r="AE61" s="951" t="s">
        <v>638</v>
      </c>
      <c r="AF61" s="923" t="s">
        <v>640</v>
      </c>
      <c r="AG61" s="922" t="s">
        <v>642</v>
      </c>
      <c r="AH61" s="951" t="s">
        <v>644</v>
      </c>
      <c r="AI61" s="924" t="s">
        <v>646</v>
      </c>
      <c r="AJ61" s="923" t="s">
        <v>648</v>
      </c>
      <c r="AK61" s="925" t="s">
        <v>650</v>
      </c>
      <c r="AL61" s="926" t="s">
        <v>652</v>
      </c>
      <c r="AM61" s="949" t="s">
        <v>653</v>
      </c>
      <c r="AN61" s="949" t="s">
        <v>654</v>
      </c>
      <c r="AO61" s="836" t="s">
        <v>655</v>
      </c>
      <c r="AP61" s="927" t="s">
        <v>656</v>
      </c>
      <c r="AQ61" s="837" t="s">
        <v>657</v>
      </c>
      <c r="AR61" s="950" t="s">
        <v>658</v>
      </c>
      <c r="AS61" s="928" t="s">
        <v>659</v>
      </c>
      <c r="AT61" s="950" t="s">
        <v>660</v>
      </c>
      <c r="AU61" s="928" t="s">
        <v>661</v>
      </c>
      <c r="AV61" s="926" t="s">
        <v>662</v>
      </c>
      <c r="AW61" s="949" t="s">
        <v>663</v>
      </c>
      <c r="AX61" s="927" t="s">
        <v>664</v>
      </c>
      <c r="AY61" s="837" t="s">
        <v>665</v>
      </c>
      <c r="AZ61" s="950" t="s">
        <v>666</v>
      </c>
      <c r="BA61" s="928" t="s">
        <v>667</v>
      </c>
      <c r="BB61" s="950" t="s">
        <v>668</v>
      </c>
      <c r="BC61" s="928" t="s">
        <v>669</v>
      </c>
      <c r="BD61" s="933"/>
      <c r="BE61" s="935" t="e">
        <f>1-BF61-BG61</f>
        <v>#VALUE!</v>
      </c>
      <c r="BF61" s="935" t="e">
        <f>$CW$58</f>
        <v>#VALUE!</v>
      </c>
      <c r="BG61" s="936" t="e">
        <f>$CX$58</f>
        <v>#N/A</v>
      </c>
      <c r="BH61" s="934"/>
      <c r="BI61" s="935" t="e">
        <f>1-BJ61-BK61</f>
        <v>#VALUE!</v>
      </c>
      <c r="BJ61" s="935" t="e">
        <f>$CW$58</f>
        <v>#VALUE!</v>
      </c>
      <c r="BK61" s="942" t="e">
        <f>$CX$58</f>
        <v>#N/A</v>
      </c>
      <c r="BL61" s="940"/>
      <c r="BM61" s="935" t="e">
        <f>1-BN61-BO61</f>
        <v>#VALUE!</v>
      </c>
      <c r="BN61" s="941" t="e">
        <f>$CW$58</f>
        <v>#VALUE!</v>
      </c>
      <c r="BO61" s="943" t="e">
        <f>$CX$58</f>
        <v>#N/A</v>
      </c>
      <c r="BP61" s="940"/>
      <c r="BQ61" s="935" t="e">
        <f>1-BR61-BS61</f>
        <v>#VALUE!</v>
      </c>
      <c r="BR61" s="941" t="e">
        <f>$CW$58</f>
        <v>#VALUE!</v>
      </c>
      <c r="BS61" s="943" t="e">
        <f>$CX$58</f>
        <v>#N/A</v>
      </c>
      <c r="BU61" s="1675"/>
      <c r="BV61" s="1677"/>
      <c r="BW61" s="1679"/>
      <c r="BX61" s="1679"/>
      <c r="BY61" s="1660"/>
      <c r="CB61" s="1632"/>
      <c r="CC61" s="1423"/>
      <c r="CD61" s="1424"/>
      <c r="CE61" s="734" t="s">
        <v>167</v>
      </c>
      <c r="CF61" s="672">
        <f>'4月'!AQ18</f>
        <v>0</v>
      </c>
      <c r="CG61" s="672">
        <f>'5月'!AQ18</f>
        <v>0</v>
      </c>
      <c r="CH61" s="672">
        <f>'6月'!AQ18</f>
        <v>0</v>
      </c>
      <c r="CI61" s="672">
        <f>'7月'!AQ18</f>
        <v>0</v>
      </c>
      <c r="CJ61" s="672">
        <f>'8月'!AQ18</f>
        <v>0</v>
      </c>
      <c r="CK61" s="672">
        <f>'9月'!AQ18</f>
        <v>0</v>
      </c>
      <c r="CL61" s="672">
        <f>'10月'!AQ18</f>
        <v>0</v>
      </c>
      <c r="CM61" s="672">
        <f>'11月'!AQ18</f>
        <v>0</v>
      </c>
      <c r="CN61" s="672">
        <f>'12月'!AQ18</f>
        <v>0</v>
      </c>
      <c r="CO61" s="672">
        <f>'1月'!AQ18</f>
        <v>0</v>
      </c>
      <c r="CP61" s="672">
        <f>'2月'!AQ18</f>
        <v>0</v>
      </c>
      <c r="CQ61" s="756">
        <f>'3月'!AQ18</f>
        <v>0</v>
      </c>
      <c r="CR61" s="759">
        <f t="shared" si="108"/>
        <v>0</v>
      </c>
      <c r="CS61" s="1583"/>
      <c r="CT61" s="1614"/>
      <c r="CU61" s="1615"/>
      <c r="CV61" s="842" t="e">
        <f t="shared" ref="CV61:CV68" si="109">CR61-CW61-CX61-CY61</f>
        <v>#VALUE!</v>
      </c>
      <c r="CW61" s="672" t="e">
        <f t="shared" ref="CW61:CW68" si="110">ROUNDDOWN(CR61*$CW$58,0)</f>
        <v>#VALUE!</v>
      </c>
      <c r="CX61" s="672" t="e">
        <f t="shared" ref="CX61:CX68" si="111">ROUNDDOWN(CR61*$CX$58,0)</f>
        <v>#N/A</v>
      </c>
      <c r="CY61" s="833" t="e">
        <f t="shared" ref="CY61:CY67" si="112">ROUNDDOWN(CR61*$CY$58,0)</f>
        <v>#VALUE!</v>
      </c>
      <c r="CZ61" s="1109"/>
      <c r="DC61" s="1069" t="s">
        <v>694</v>
      </c>
      <c r="DD61" s="1069"/>
      <c r="DE61" s="1069"/>
      <c r="DF61" s="1069"/>
      <c r="DG61" s="1069"/>
      <c r="DH61" s="1069"/>
      <c r="DI61" s="1069"/>
      <c r="DJ61" s="1069"/>
    </row>
    <row r="62" spans="1:114" ht="17.25" thickTop="1">
      <c r="B62" s="1645"/>
      <c r="C62" s="1646"/>
      <c r="D62" s="1650"/>
      <c r="E62" s="727" t="s">
        <v>603</v>
      </c>
      <c r="F62" s="961">
        <f>IF(内訳計算!CR12=0,0,児童数!G34+児童数!H34+児童数!L34+児童数!M34)</f>
        <v>0</v>
      </c>
      <c r="G62" s="672">
        <f>単価表!AU92</f>
        <v>0</v>
      </c>
      <c r="H62" s="672">
        <f>単価表!AW92</f>
        <v>0</v>
      </c>
      <c r="I62" s="672">
        <f>I61</f>
        <v>0</v>
      </c>
      <c r="J62" s="672">
        <f>G62-H62-I62</f>
        <v>0</v>
      </c>
      <c r="K62" s="673">
        <f>K61</f>
        <v>0</v>
      </c>
      <c r="L62" s="673">
        <f>L61</f>
        <v>0</v>
      </c>
      <c r="M62" s="672">
        <f>J62*F62</f>
        <v>0</v>
      </c>
      <c r="N62" s="672">
        <f>H62*F62</f>
        <v>0</v>
      </c>
      <c r="O62" s="672">
        <f>I62*F62</f>
        <v>0</v>
      </c>
      <c r="P62" s="833">
        <f>+K62*F62</f>
        <v>0</v>
      </c>
      <c r="Q62" s="833">
        <f>+L62*F62</f>
        <v>0</v>
      </c>
      <c r="T62" s="685">
        <v>1</v>
      </c>
      <c r="U62" s="904">
        <f>月途中入退所情報!D31</f>
        <v>0</v>
      </c>
      <c r="V62" s="904">
        <f>月途中入退所情報!H31</f>
        <v>0</v>
      </c>
      <c r="W62" s="904">
        <f>月途中入退所情報!G31</f>
        <v>0</v>
      </c>
      <c r="X62" s="948">
        <f>月途中入退所情報!I31</f>
        <v>0</v>
      </c>
      <c r="Y62" s="904">
        <f>月途中入退所情報!J31</f>
        <v>0</v>
      </c>
      <c r="Z62" s="975">
        <f>ROUNDDOWN((AA62+AE62+AH62+AL62+AR62+AT62+AV62+AZ62+BB62+BD62+BH62+BL62+BP62)*Y62/25,-1)</f>
        <v>0</v>
      </c>
      <c r="AA62" s="1021" cm="1">
        <f t="array" ref="AA62">IFERROR(IF(OR($U62=2,$U62=3),
INDEX(単価表!$AY$72:$CC$79,MATCH($V62&amp;$W62,INDEX(単価表!$AY$64:$AY$71&amp;単価表!$AZ$64:$AZ$71,),),MATCH(内訳計算!AA$6,単価表!$AY$63:$CC$63,0)),
INDEX(単価表!$AY$72:$CC$79,MATCH($V62&amp;$W62,INDEX(単価表!$AY$64:$AY$71&amp;単価表!$AZ$64:$AZ$71,),),MATCH(内訳計算!AA$6,単価表!$AY$63:$CC$63,0))),0)</f>
        <v>0</v>
      </c>
      <c r="AB62" s="1022" t="e">
        <f>Z62-SUM(AC62:AD62,AF62:AG62,AI62:AK62,AM62:AQ62,AS62,AU62,AW62:AY62,BA62,BC62,BE62:BG62,BI62:BK62,BM62:BO62)</f>
        <v>#VALUE!</v>
      </c>
      <c r="AC62" s="1022" cm="1">
        <f t="array" ref="AC62">IFERROR(ROUNDDOWN(IF(OR($U62=2,$U62=3),
INDEX(単価表!$AY$72:$CC$79,MATCH($V62&amp;$W62,INDEX(単価表!$AY$64:$AY$71&amp;単価表!$AZ$64:$AZ$71,),),MATCH(内訳計算!AC$6,単価表!$AY$63:$CC$63,0)),
INDEX(単価表!$AY$72:$CC$79,MATCH($V62&amp;$W62,INDEX(単価表!$AY$64:$AY$71&amp;単価表!$AZ$64:$AZ$71,),),MATCH(内訳計算!AC$6,単価表!$AY$63:$CC$63,0)))*$Y62/25,0),0)</f>
        <v>0</v>
      </c>
      <c r="AD62" s="1023" cm="1">
        <f t="array" ref="AD62">IFERROR(ROUNDDOWN(IF(OR($U62=2,$U62=3),
INDEX(単価表!$AY$72:$CC$79,MATCH($V62&amp;$W62,INDEX(単価表!$AY$64:$AY$71&amp;単価表!$AZ$64:$AZ$71,),),MATCH(内訳計算!AD$6,単価表!$AY$63:$CC$63,0)),
INDEX(単価表!$AY$72:$CC$79,MATCH($V62&amp;$W62,INDEX(単価表!$AY$64:$AY$71&amp;単価表!$AZ$64:$AZ$71,),),MATCH(内訳計算!AD$6,単価表!$AY$63:$CC$63,0)))*$Y62/25,0),0)</f>
        <v>0</v>
      </c>
      <c r="AE62" s="1021" cm="1">
        <f t="array" ref="AE62">IFERROR(IF(OR($U62=2,$U62=3),
INDEX(単価表!$AY$72:$CC$79,MATCH($V62&amp;$W62,INDEX(単価表!$AY$64:$AY$71&amp;単価表!$AZ$64:$AZ$71,),),MATCH(内訳計算!AE$6,単価表!$AY$63:$CC$63,0)),
INDEX(単価表!$AY$72:$CC$79,MATCH($V62&amp;$W62,INDEX(単価表!$AY$64:$AY$71&amp;単価表!$AZ$64:$AZ$71,),),MATCH(内訳計算!AE$6,単価表!$AY$63:$CC$63,0))),0)</f>
        <v>0</v>
      </c>
      <c r="AF62" s="1022" cm="1">
        <f t="array" ref="AF62">IFERROR(ROUNDDOWN(IF(OR($U62=2,$U62=3),
INDEX(単価表!$AY$72:$CC$79,MATCH($V62&amp;$W62,INDEX(単価表!$AY$64:$AY$71&amp;単価表!$AZ$64:$AZ$71,),),MATCH(内訳計算!AF$6,単価表!$AY$63:$CC$63,0)),
INDEX(単価表!$AY$72:$CC$79,MATCH($V62&amp;$W62,INDEX(単価表!$AY$64:$AY$71&amp;単価表!$AZ$64:$AZ$71,),),MATCH(内訳計算!AF$6,単価表!$AY$63:$CC$63,0)))*$Y62/25,0),0)</f>
        <v>0</v>
      </c>
      <c r="AG62" s="1023" cm="1">
        <f t="array" ref="AG62">IFERROR(ROUNDDOWN(IF(OR($U62=2,$U62=3),
INDEX(単価表!$AY$72:$CC$79,MATCH($V62&amp;$W62,INDEX(単価表!$AY$64:$AY$71&amp;単価表!$AZ$64:$AZ$71,),),MATCH(内訳計算!AG$6,単価表!$AY$63:$CC$63,0)),
INDEX(単価表!$AY$72:$CC$79,MATCH($V62&amp;$W62,INDEX(単価表!$AY$64:$AY$71&amp;単価表!$AZ$64:$AZ$71,),),MATCH(内訳計算!AG$6,単価表!$AY$63:$CC$63,0)))*$Y62/25,0),0)</f>
        <v>0</v>
      </c>
      <c r="AH62" s="1021" cm="1">
        <f t="array" ref="AH62">IFERROR(IF(HLOOKUP($U62,加算と減算!$E$4:$P$10,2,FALSE)="○",IF(OR($U62=2,$U62=3),
INDEX(単価表!$AY$72:$CC$79,MATCH($V62&amp;$W62,INDEX(単価表!$AY$64:$AY$71&amp;単価表!$AZ$64:$AZ$71,),),MATCH(内訳計算!AH$6,単価表!$AY$63:$CC$63,0)),
INDEX(単価表!$AY$72:$CC$79,MATCH($V62&amp;$W62,INDEX(単価表!$AY$64:$AY$71&amp;単価表!$AZ$64:$AZ$71,),),MATCH(内訳計算!AH$6,単価表!$AY$63:$CC$63,0))),0),0)</f>
        <v>0</v>
      </c>
      <c r="AI62" s="1024" cm="1">
        <f t="array" ref="AI62">IFERROR(ROUNDDOWN(IF(HLOOKUP($U62,加算と減算!$E$4:$P$10,2,FALSE)="○",IF(OR($U62=2,$U62=3),
INDEX(単価表!$AY$72:$CC$79,MATCH($V62&amp;$W62,INDEX(単価表!$AY$64:$AY$71&amp;単価表!$AZ$64:$AZ$71,),),MATCH(内訳計算!AI$6,単価表!$AY$63:$CC$63,0)),
INDEX(単価表!$AY$72:$CC$79,MATCH($V62&amp;$W62,INDEX(単価表!$AY$64:$AY$71&amp;単価表!$AZ$64:$AZ$71,),),MATCH(内訳計算!AI$6,単価表!$AY$63:$CC$63,0))),0)*$Y62/25,0),0)</f>
        <v>0</v>
      </c>
      <c r="AJ62" s="1022" cm="1">
        <f t="array" ref="AJ62">IFERROR(ROUNDDOWN(IF(HLOOKUP($U62,加算と減算!$E$4:$P$10,2,FALSE)="○",IF(OR($U62=2,$U62=3),
INDEX(単価表!$AY$72:$CC$79,MATCH($V62&amp;$W62,INDEX(単価表!$AY$64:$AY$71&amp;単価表!$AZ$64:$AZ$71,),),MATCH(内訳計算!AJ$6,単価表!$AY$63:$CC$63,0)),
INDEX(単価表!$AY$72:$CC$79,MATCH($V62&amp;$W62,INDEX(単価表!$AY$64:$AY$71&amp;単価表!$AZ$64:$AZ$71,),),MATCH(内訳計算!AJ$6,単価表!$AY$63:$CC$63,0))),0)*$Y62/25,0),0)</f>
        <v>0</v>
      </c>
      <c r="AK62" s="1023" cm="1">
        <f t="array" ref="AK62">IFERROR(ROUNDDOWN(IF(HLOOKUP($U62,加算と減算!$E$4:$P$10,2,FALSE)="○",IF(OR($U62=2,$U62=3),
INDEX(単価表!$AY$72:$CC$79,MATCH($V62&amp;$W62,INDEX(単価表!$AY$64:$AY$71&amp;単価表!$AZ$64:$AZ$71,),),MATCH(内訳計算!AK$6,単価表!$AY$63:$CC$63,0)),
INDEX(単価表!$AY$72:$CC$79,MATCH($V62&amp;$W62,INDEX(単価表!$AY$64:$AY$71&amp;単価表!$AZ$64:$AZ$71,),),MATCH(内訳計算!AK$6,単価表!$AY$63:$CC$63,0))),0)*$Y62/25,0),0)</f>
        <v>0</v>
      </c>
      <c r="AL62" s="1021" cm="1">
        <f t="array" ref="AL62">IFERROR(IF(HLOOKUP($U62,加算と減算!$E$4:$P$10,4,FALSE)="○",IF(OR($U62=2,$U62=3),
INDEX(単価表!$AY$72:$CC$79,MATCH($V62&amp;$W62,INDEX(単価表!$AY$64:$AY$71&amp;単価表!$AZ$64:$AZ$71,),),MATCH(内訳計算!AL$6,単価表!$AY$63:$CC$63,0)),
INDEX(単価表!$AY$72:$CC$79,MATCH($V62&amp;$W62,INDEX(単価表!$AY$64:$AY$71&amp;単価表!$AZ$64:$AZ$71,),),MATCH(内訳計算!AL$6,単価表!$AY$63:$CC$63,0))),0),0)</f>
        <v>0</v>
      </c>
      <c r="AM62" s="1022" cm="1">
        <f t="array" ref="AM62">IFERROR(ROUNDDOWN(IF(HLOOKUP($U62,加算と減算!$E$4:$P$10,4,FALSE)="○",IF(OR($U62=2,$U62=3),
INDEX(単価表!$AY$72:$CC$79,MATCH($V62&amp;$W62,INDEX(単価表!$AY$64:$AY$71&amp;単価表!$AZ$64:$AZ$71,),),MATCH(内訳計算!AM$6,単価表!$AY$63:$CC$63,0)),
INDEX(単価表!$AY$72:$CC$79,MATCH($V62&amp;$W62,INDEX(単価表!$AY$64:$AY$71&amp;単価表!$AZ$64:$AZ$71,),),MATCH(内訳計算!AM$6,単価表!$AY$63:$CC$63,0))),0)*$Y62/25,0),0)</f>
        <v>0</v>
      </c>
      <c r="AN62" s="1022" cm="1">
        <f t="array" ref="AN62">IFERROR(ROUNDDOWN(IF(HLOOKUP($U62,加算と減算!$E$4:$P$10,4,FALSE)="○",IF(OR($U62=2,$U62=3),
INDEX(単価表!$AY$72:$CC$79,MATCH($V62&amp;$W62,INDEX(単価表!$AY$64:$AY$71&amp;単価表!$AZ$64:$AZ$71,),),MATCH(内訳計算!AN$6,単価表!$AY$63:$CC$63,0)),
INDEX(単価表!$AY$72:$CC$79,MATCH($V62&amp;$W62,INDEX(単価表!$AY$64:$AY$71&amp;単価表!$AZ$64:$AZ$71,),),MATCH(内訳計算!AN$6,単価表!$AY$63:$CC$63,0))),0)*$Y62/25,0),0)</f>
        <v>0</v>
      </c>
      <c r="AO62" s="1022" cm="1">
        <f t="array" ref="AO62">IFERROR(ROUNDDOWN(IF(HLOOKUP($U62,加算と減算!$E$4:$P$10,4,FALSE)="○",IF(OR($U62=2,$U62=3),
INDEX(単価表!$AY$72:$CC$79,MATCH($V62&amp;$W62,INDEX(単価表!$AY$64:$AY$71&amp;単価表!$AZ$64:$AZ$71,),),MATCH(内訳計算!AO$6,単価表!$AY$63:$CC$63,0)),
INDEX(単価表!$AY$72:$CC$79,MATCH($V62&amp;$W62,INDEX(単価表!$AY$64:$AY$71&amp;単価表!$AZ$64:$AZ$71,),),MATCH(内訳計算!AO$6,単価表!$AY$63:$CC$63,0))),0)*$Y62/25,0),0)</f>
        <v>0</v>
      </c>
      <c r="AP62" s="1022" cm="1">
        <f t="array" ref="AP62">IFERROR(ROUNDDOWN(IF(HLOOKUP($U62,加算と減算!$E$4:$P$10,4,FALSE)="○",IF(OR($U62=2,$U62=3),
INDEX(単価表!$AY$72:$CC$79,MATCH($V62&amp;$W62,INDEX(単価表!$AY$64:$AY$71&amp;単価表!$AZ$64:$AZ$71,),),MATCH(内訳計算!AP$6,単価表!$AY$63:$CC$63,0)),
INDEX(単価表!$AY$72:$CC$79,MATCH($V62&amp;$W62,INDEX(単価表!$AY$64:$AY$71&amp;単価表!$AZ$64:$AZ$71,),),MATCH(内訳計算!AP$6,単価表!$AY$63:$CC$63,0))),0)*$Y62/25,0),0)</f>
        <v>0</v>
      </c>
      <c r="AQ62" s="1023" cm="1">
        <f t="array" ref="AQ62">IFERROR(ROUNDDOWN(IF(HLOOKUP($U62,加算と減算!$E$4:$P$10,4,FALSE)="○",IF(OR($U62=2,$U62=3),
INDEX(単価表!$AY$72:$CC$79,MATCH($V62&amp;$W62,INDEX(単価表!$AY$64:$AY$71&amp;単価表!$AZ$64:$AZ$71,),),MATCH(内訳計算!AQ$6,単価表!$AY$63:$CC$63,0)),
INDEX(単価表!$AY$72:$CC$79,MATCH($V62&amp;$W62,INDEX(単価表!$AY$64:$AY$71&amp;単価表!$AZ$64:$AZ$71,),),MATCH(内訳計算!AQ$6,単価表!$AY$63:$CC$63,0))),0)*$Y62/25,0),0)</f>
        <v>0</v>
      </c>
      <c r="AR62" s="1021" cm="1">
        <f t="array" ref="AR62">IFERROR(IF(HLOOKUP($U62,加算と減算!$E$4:$P$10,5,FALSE)="○",IF(OR($U62=2,$U62=3),
INDEX(単価表!$AY$72:$CC$79,MATCH($V62&amp;$W62,INDEX(単価表!$AY$64:$AY$71&amp;単価表!$AZ$64:$AZ$71,),),MATCH(内訳計算!AR$6,単価表!$AY$63:$CC$63,0)),
INDEX(単価表!$AY$72:$CC$79,MATCH($V62&amp;$W62,INDEX(単価表!$AY$64:$AY$71&amp;単価表!$AZ$64:$AZ$71,),),MATCH(内訳計算!AR$6,単価表!$AY$63:$CC$63,0))),0),0)</f>
        <v>0</v>
      </c>
      <c r="AS62" s="1023" cm="1">
        <f t="array" ref="AS62">IFERROR(ROUNDDOWN(IF(HLOOKUP($U62,加算と減算!$E$4:$P$10,5,FALSE)="○",IF(OR($U62=2,$U62=3),
INDEX(単価表!$AY$72:$CC$79,MATCH($V62&amp;$W62,INDEX(単価表!$AY$64:$AY$71&amp;単価表!$AZ$64:$AZ$71,),),MATCH(内訳計算!AS$6,単価表!$AY$63:$CC$63,0)),
INDEX(単価表!$AY$72:$CC$79,MATCH($V62&amp;$W62,INDEX(単価表!$AY$64:$AY$71&amp;単価表!$AZ$64:$AZ$71,),),MATCH(内訳計算!AS$6,単価表!$AY$63:$CC$63,0))),0)*$Y62/25,0),0)</f>
        <v>0</v>
      </c>
      <c r="AT62" s="1021" cm="1">
        <f t="array" ref="AT62">IFERROR(IF(HLOOKUP($U62,加算と減算!$E$4:$P$10,6,FALSE)="○",IF(OR($U62=2,$U62=3),
INDEX(単価表!$AY$72:$CC$79,MATCH($V62&amp;$W62,INDEX(単価表!$AY$64:$AY$71&amp;単価表!$AZ$64:$AZ$71,),),MATCH(内訳計算!AT$6,単価表!$AY$63:$CC$63,0)),
INDEX(単価表!$AY$72:$CC$79,MATCH($V62&amp;$W62,INDEX(単価表!$AY$64:$AY$71&amp;単価表!$AZ$64:$AZ$71,),),MATCH(内訳計算!AT$6,単価表!$AY$63:$CC$63,0))),0),0)</f>
        <v>0</v>
      </c>
      <c r="AU62" s="1023" cm="1">
        <f t="array" ref="AU62">IFERROR(ROUNDDOWN(IF(HLOOKUP($U62,加算と減算!$E$4:$P$10,6,FALSE)="○",IF(OR($U62=2,$U62=3),
INDEX(単価表!$AY$72:$CC$79,MATCH($V62&amp;$W62,INDEX(単価表!$AY$64:$AY$71&amp;単価表!$AZ$64:$AZ$71,),),MATCH(内訳計算!AU$6,単価表!$AY$63:$CC$63,0)),
INDEX(単価表!$AY$72:$CC$79,MATCH($V62&amp;$W62,INDEX(単価表!$AY$64:$AY$71&amp;単価表!$AZ$64:$AZ$71,),),MATCH(内訳計算!AU$6,単価表!$AY$63:$CC$63,0))),0)*$Y62/25,0),0)</f>
        <v>0</v>
      </c>
      <c r="AV62" s="1021" cm="1">
        <f t="array" ref="AV62">IFERROR(IF(HLOOKUP($U62,加算と減算!$E$4:$P$10,7,FALSE)="○",IF(OR($U62=2,$U62=3),
INDEX(単価表!$AY$72:$CC$79,MATCH($V62&amp;$W62,INDEX(単価表!$AY$64:$AY$71&amp;単価表!$AZ$64:$AZ$71,),),MATCH(内訳計算!AV$6,単価表!$AY$63:$CC$63,0)),
INDEX(単価表!$AY$72:$CC$79,MATCH($V62&amp;$W62,INDEX(単価表!$AY$64:$AY$71&amp;単価表!$AZ$64:$AZ$71,),),MATCH(内訳計算!AV$6,単価表!$AY$63:$CC$63,0))),0),0)</f>
        <v>0</v>
      </c>
      <c r="AW62" s="1022" cm="1">
        <f t="array" ref="AW62">IFERROR(ROUNDDOWN(IF(HLOOKUP($U62,加算と減算!$E$4:$P$10,7,FALSE)="○",IF(OR($U62=2,$U62=3),
INDEX(単価表!$AY$72:$CC$79,MATCH($V62&amp;$W62,INDEX(単価表!$AY$64:$AY$71&amp;単価表!$AZ$64:$AZ$71,),),MATCH(内訳計算!AW$6,単価表!$AY$63:$CC$63,0)),
INDEX(単価表!$AY$72:$CC$79,MATCH($V62&amp;$W62,INDEX(単価表!$AY$64:$AY$71&amp;単価表!$AZ$64:$AZ$71,),),MATCH(内訳計算!AW$6,単価表!$AY$63:$CC$63,0))),0)*$Y62/25,0),0)</f>
        <v>0</v>
      </c>
      <c r="AX62" s="1022" cm="1">
        <f t="array" ref="AX62">IFERROR(ROUNDDOWN(IF(HLOOKUP($U62,加算と減算!$E$4:$P$10,7,FALSE)="○",IF(OR($U62=2,$U62=3),
INDEX(単価表!$AY$72:$CC$79,MATCH($V62&amp;$W62,INDEX(単価表!$AY$64:$AY$71&amp;単価表!$AZ$64:$AZ$71,),),MATCH(内訳計算!AX$6,単価表!$AY$63:$CC$63,0)),
INDEX(単価表!$AY$72:$CC$79,MATCH($V62&amp;$W62,INDEX(単価表!$AY$64:$AY$71&amp;単価表!$AZ$64:$AZ$71,),),MATCH(内訳計算!AX$6,単価表!$AY$63:$CC$63,0))),0)*$Y62/25,0),0)</f>
        <v>0</v>
      </c>
      <c r="AY62" s="1023" cm="1">
        <f t="array" ref="AY62">IFERROR(ROUNDDOWN(IF(HLOOKUP($U62,加算と減算!$E$4:$P$10,7,FALSE)="○",IF(OR($U62=2,$U62=3),
INDEX(単価表!$AY$72:$CC$79,MATCH($V62&amp;$W62,INDEX(単価表!$AY$64:$AY$71&amp;単価表!$AZ$64:$AZ$71,),),MATCH(内訳計算!AY$6,単価表!$AY$63:$CC$63,0)),
INDEX(単価表!$AY$72:$CC$79,MATCH($V62&amp;$W62,INDEX(単価表!$AY$64:$AY$71&amp;単価表!$AZ$64:$AZ$71,),),MATCH(内訳計算!AY$6,単価表!$AY$63:$CC$63,0))),0)*$Y62/25,0),0)</f>
        <v>0</v>
      </c>
      <c r="AZ62" s="1021" cm="1">
        <f t="array" ref="AZ62">IFERROR(IF(X62="○",INDEX(単価表!$AY$72:$CC$79,MATCH($V62&amp;$W62,INDEX(単価表!$AY$64:$AY$71&amp;単価表!$AZ$64:$AZ$71,),),MATCH(内訳計算!AZ$6,単価表!$AY$63:$CC$63,0)),0),0)</f>
        <v>0</v>
      </c>
      <c r="BA62" s="1023" cm="1">
        <f t="array" ref="BA62">IFERROR(ROUNDDOWN(INDEX(単価表!$AY$72:$CC$79,MATCH($V62&amp;$W62,INDEX(単価表!$AY$64:$AY$71&amp;単価表!$AZ$64:$AZ$71,),),MATCH(内訳計算!BA$6,単価表!$AY$63:$CC$63,0))*$Y62/25,0),0)</f>
        <v>0</v>
      </c>
      <c r="BB62" s="1021" cm="1">
        <f t="array" ref="BB62">IFERROR(INDEX(単価表!$AY$72:$CC$79,MATCH($V62&amp;$W62,INDEX(単価表!$AY$64:$AY$71&amp;単価表!$AZ$64:$AZ$71,),),MATCH(内訳計算!BB$6,単価表!$AY$63:$CC$63,0)),0)</f>
        <v>0</v>
      </c>
      <c r="BC62" s="1023" cm="1">
        <f t="array" ref="BC62">IFERROR(ROUNDDOWN(INDEX(単価表!$AY$72:$CC$79,MATCH($V62&amp;$W62,INDEX(単価表!$AY$64:$AY$71&amp;単価表!$AZ$64:$AZ$71,),),MATCH(内訳計算!BC$6,単価表!$AY$63:$CC$63,0))*$Y62/25,0),0)</f>
        <v>0</v>
      </c>
      <c r="BD62" s="979">
        <f>IFERROR(IF(HLOOKUP($U62,加算と減算!$E$31:$P$32,2,FALSE)="○",IF(OR($U62=2,$U62=3),-(単価表!$AZ$23+単価表!$BA$23*基本情報!$G$7),-(単価表!$AZ$23+単価表!$BA$23*基本情報!$G$7)),0),0)</f>
        <v>0</v>
      </c>
      <c r="BE62" s="1025" t="e">
        <f>ROUNDDOWN($BD62*$Y62/25,0)-BF62-BG62</f>
        <v>#VALUE!</v>
      </c>
      <c r="BF62" s="1025" t="e">
        <f>ROUNDDOWN($BD62*$Y62/25*$BF$61,0)</f>
        <v>#VALUE!</v>
      </c>
      <c r="BG62" s="1026" t="e">
        <f>ROUNDDOWN($BD62*$Y62/25*$BG$61,0)</f>
        <v>#N/A</v>
      </c>
      <c r="BH62" s="1027">
        <f>IFERROR(IF(基本情報!$E$12&lt;&gt;"",-ROUNDDOWN((AA62+AE62+AH62+AL62)*基本情報!$H$13/100,-1),0),0)</f>
        <v>0</v>
      </c>
      <c r="BI62" s="1025" t="e">
        <f>ROUNDDOWN($BH62*$Y62/25,0)-BJ62-BK62</f>
        <v>#VALUE!</v>
      </c>
      <c r="BJ62" s="1025" t="e">
        <f>ROUNDDOWN($BH62*$Y62/25*$BJ$61,0)</f>
        <v>#VALUE!</v>
      </c>
      <c r="BK62" s="1028" t="e">
        <f>ROUNDDOWN($BH62*$Y62/25*$BK$61,0)</f>
        <v>#N/A</v>
      </c>
      <c r="BL62" s="1027">
        <f>-ROUNDDOWN((AA62+AE62)*1/10,-1)</f>
        <v>0</v>
      </c>
      <c r="BM62" s="1025" t="e">
        <f>ROUNDDOWN($BL62*$Y62/25,0)-BN62-BO62</f>
        <v>#VALUE!</v>
      </c>
      <c r="BN62" s="1025" t="e">
        <f>ROUNDDOWN($BL62*$Y62/25*$BN$61,0)</f>
        <v>#VALUE!</v>
      </c>
      <c r="BO62" s="1028" t="e">
        <f>ROUNDDOWN($BL62*$Y62/25*$BO$61,0)</f>
        <v>#N/A</v>
      </c>
      <c r="BP62" s="1029">
        <f>IFERROR(-ROUNDUP(SUM(AA62,AE62,AH62,AL62,AR62,AT62,AV62,BD62,BH62,BL62)*基本情報!$H$15/100,-1),0)</f>
        <v>0</v>
      </c>
      <c r="BQ62" s="1025" t="e">
        <f>ROUNDDOWN($BP62*$Y62/25,0)-BR62-BS62</f>
        <v>#VALUE!</v>
      </c>
      <c r="BR62" s="1025" t="e">
        <f>ROUNDDOWN($BP62*$Y62/25*$BR$61,0)</f>
        <v>#VALUE!</v>
      </c>
      <c r="BS62" s="1028" t="e">
        <f>ROUNDDOWN($BP62*$Y62/25*$BS$61,0)</f>
        <v>#N/A</v>
      </c>
      <c r="BT62" s="721"/>
      <c r="BU62" s="1040" t="e">
        <f>AB62+AI62+AM62+AW62+BE62+BI62+BM62+BQ62</f>
        <v>#VALUE!</v>
      </c>
      <c r="BV62" s="1041" t="e">
        <f>AC62+AN62+BA62+BF62+BJ62+BN62+BR62</f>
        <v>#VALUE!</v>
      </c>
      <c r="BW62" s="1041" t="e">
        <f>AD62+AO62+AS62+AU62+BC62+BG62+BK62+BO62+BS62</f>
        <v>#N/A</v>
      </c>
      <c r="BX62" s="1050">
        <f>AF62+AJ62+AP62+AX62</f>
        <v>0</v>
      </c>
      <c r="BY62" s="1042">
        <f>AG62+AK62+AQ62+AY62</f>
        <v>0</v>
      </c>
      <c r="CB62" s="1632"/>
      <c r="CC62" s="1423"/>
      <c r="CD62" s="717" t="s">
        <v>165</v>
      </c>
      <c r="CE62" s="738"/>
      <c r="CF62" s="672" t="e">
        <f>'4月'!AQ19</f>
        <v>#VALUE!</v>
      </c>
      <c r="CG62" s="672" t="e">
        <f>'5月'!AQ19</f>
        <v>#VALUE!</v>
      </c>
      <c r="CH62" s="672" t="e">
        <f>'6月'!AQ19</f>
        <v>#VALUE!</v>
      </c>
      <c r="CI62" s="672" t="e">
        <f>'7月'!AQ19</f>
        <v>#VALUE!</v>
      </c>
      <c r="CJ62" s="672" t="e">
        <f>'8月'!AQ19</f>
        <v>#VALUE!</v>
      </c>
      <c r="CK62" s="672" t="e">
        <f>'9月'!AQ19</f>
        <v>#VALUE!</v>
      </c>
      <c r="CL62" s="672" t="e">
        <f>'10月'!AQ19</f>
        <v>#VALUE!</v>
      </c>
      <c r="CM62" s="672" t="e">
        <f>'11月'!AQ19</f>
        <v>#VALUE!</v>
      </c>
      <c r="CN62" s="672" t="e">
        <f>'12月'!AQ19</f>
        <v>#VALUE!</v>
      </c>
      <c r="CO62" s="672" t="e">
        <f>'1月'!AQ19</f>
        <v>#VALUE!</v>
      </c>
      <c r="CP62" s="672" t="e">
        <f>'2月'!AQ19</f>
        <v>#VALUE!</v>
      </c>
      <c r="CQ62" s="756" t="e">
        <f>'3月'!AQ19</f>
        <v>#VALUE!</v>
      </c>
      <c r="CR62" s="759" t="e">
        <f t="shared" si="108"/>
        <v>#VALUE!</v>
      </c>
      <c r="CS62" s="1583"/>
      <c r="CT62" s="1614" t="s">
        <v>165</v>
      </c>
      <c r="CU62" s="1615"/>
      <c r="CV62" s="842" t="e">
        <f t="shared" si="109"/>
        <v>#VALUE!</v>
      </c>
      <c r="CW62" s="672" t="e">
        <f t="shared" si="110"/>
        <v>#VALUE!</v>
      </c>
      <c r="CX62" s="672" t="e">
        <f t="shared" si="111"/>
        <v>#VALUE!</v>
      </c>
      <c r="CY62" s="833" t="e">
        <f t="shared" si="112"/>
        <v>#VALUE!</v>
      </c>
      <c r="CZ62" s="1109"/>
      <c r="DC62" s="1669" t="s">
        <v>718</v>
      </c>
      <c r="DD62" s="1669"/>
      <c r="DE62" s="1669"/>
      <c r="DF62" s="1669"/>
      <c r="DG62" s="1669"/>
      <c r="DH62" s="1669"/>
      <c r="DI62" s="1669"/>
      <c r="DJ62" s="1669"/>
    </row>
    <row r="63" spans="1:114" ht="16.5" customHeight="1" thickBot="1">
      <c r="B63" s="1645"/>
      <c r="C63" s="1646"/>
      <c r="D63" s="1650" t="s">
        <v>607</v>
      </c>
      <c r="E63" s="727" t="s">
        <v>602</v>
      </c>
      <c r="F63" s="962">
        <f>IF(内訳計算!CR12=0,0,児童数!R34+児童数!S34+児童数!W34+児童数!X34)</f>
        <v>0</v>
      </c>
      <c r="G63" s="672">
        <f t="shared" ref="G63:L64" si="113">G61</f>
        <v>0</v>
      </c>
      <c r="H63" s="672">
        <f t="shared" si="113"/>
        <v>0</v>
      </c>
      <c r="I63" s="672">
        <f t="shared" si="113"/>
        <v>0</v>
      </c>
      <c r="J63" s="672">
        <f t="shared" si="113"/>
        <v>0</v>
      </c>
      <c r="K63" s="673">
        <f t="shared" si="113"/>
        <v>0</v>
      </c>
      <c r="L63" s="673">
        <f t="shared" si="113"/>
        <v>0</v>
      </c>
      <c r="M63" s="672">
        <f>J63*F63</f>
        <v>0</v>
      </c>
      <c r="N63" s="672">
        <f>H63*F63</f>
        <v>0</v>
      </c>
      <c r="O63" s="672">
        <f>I63*F63</f>
        <v>0</v>
      </c>
      <c r="P63" s="833">
        <f>K63*F63</f>
        <v>0</v>
      </c>
      <c r="Q63" s="833">
        <f>+L63*F63</f>
        <v>0</v>
      </c>
      <c r="T63" s="682">
        <v>2</v>
      </c>
      <c r="U63" s="918">
        <f>月途中入退所情報!D32</f>
        <v>0</v>
      </c>
      <c r="V63" s="918">
        <f>月途中入退所情報!H32</f>
        <v>0</v>
      </c>
      <c r="W63" s="918">
        <f>月途中入退所情報!G32</f>
        <v>0</v>
      </c>
      <c r="X63" s="945">
        <f>月途中入退所情報!I32</f>
        <v>0</v>
      </c>
      <c r="Y63" s="918">
        <f>月途中入退所情報!J32</f>
        <v>0</v>
      </c>
      <c r="Z63" s="840">
        <f t="shared" ref="Z63:Z81" si="114">ROUNDDOWN((AA63+AE63+AH63+AL63+AR63+AT63+AV63+AZ63+BB63+BD63+BH63+BL63+BP63)*Y63/25,-1)</f>
        <v>0</v>
      </c>
      <c r="AA63" s="1021" cm="1">
        <f t="array" ref="AA63">IFERROR(IF(OR($U63=2,$U63=3),
INDEX(単価表!$AY$72:$CC$79,MATCH($V63&amp;$W63,INDEX(単価表!$AY$64:$AY$71&amp;単価表!$AZ$64:$AZ$71,),),MATCH(内訳計算!AA$6,単価表!$AY$63:$CC$63,0)),
INDEX(単価表!$AY$72:$CC$79,MATCH($V63&amp;$W63,INDEX(単価表!$AY$64:$AY$71&amp;単価表!$AZ$64:$AZ$71,),),MATCH(内訳計算!AA$6,単価表!$AY$63:$CC$63,0))),0)</f>
        <v>0</v>
      </c>
      <c r="AB63" s="1022" t="e">
        <f t="shared" ref="AB63:AB81" si="115">Z63-SUM(AC63:AD63,AF63:AG63,AI63:AK63,AM63:AQ63,AS63,AU63,AW63:AY63,BA63,BC63,BE63:BG63,BI63:BK63,BM63:BO63)</f>
        <v>#VALUE!</v>
      </c>
      <c r="AC63" s="1022" cm="1">
        <f t="array" ref="AC63">IFERROR(ROUNDDOWN(IF(OR($U63=2,$U63=3),
INDEX(単価表!$AY$72:$CC$79,MATCH($V63&amp;$W63,INDEX(単価表!$AY$64:$AY$71&amp;単価表!$AZ$64:$AZ$71,),),MATCH(内訳計算!AC$6,単価表!$AY$63:$CC$63,0)),
INDEX(単価表!$AY$72:$CC$79,MATCH($V63&amp;$W63,INDEX(単価表!$AY$64:$AY$71&amp;単価表!$AZ$64:$AZ$71,),),MATCH(内訳計算!AC$6,単価表!$AY$63:$CC$63,0)))*$Y63/25,0),0)</f>
        <v>0</v>
      </c>
      <c r="AD63" s="1023" cm="1">
        <f t="array" ref="AD63">IFERROR(ROUNDDOWN(IF(OR($U63=2,$U63=3),
INDEX(単価表!$AY$72:$CC$79,MATCH($V63&amp;$W63,INDEX(単価表!$AY$64:$AY$71&amp;単価表!$AZ$64:$AZ$71,),),MATCH(内訳計算!AD$6,単価表!$AY$63:$CC$63,0)),
INDEX(単価表!$AY$72:$CC$79,MATCH($V63&amp;$W63,INDEX(単価表!$AY$64:$AY$71&amp;単価表!$AZ$64:$AZ$71,),),MATCH(内訳計算!AD$6,単価表!$AY$63:$CC$63,0)))*$Y63/25,0),0)</f>
        <v>0</v>
      </c>
      <c r="AE63" s="1021" cm="1">
        <f t="array" ref="AE63">IFERROR(IF(OR($U63=2,$U63=3),
INDEX(単価表!$AY$72:$CC$79,MATCH($V63&amp;$W63,INDEX(単価表!$AY$64:$AY$71&amp;単価表!$AZ$64:$AZ$71,),),MATCH(内訳計算!AE$6,単価表!$AY$63:$CC$63,0)),
INDEX(単価表!$AY$72:$CC$79,MATCH($V63&amp;$W63,INDEX(単価表!$AY$64:$AY$71&amp;単価表!$AZ$64:$AZ$71,),),MATCH(内訳計算!AE$6,単価表!$AY$63:$CC$63,0))),0)</f>
        <v>0</v>
      </c>
      <c r="AF63" s="1022" cm="1">
        <f t="array" ref="AF63">IFERROR(ROUNDDOWN(IF(OR($U63=2,$U63=3),
INDEX(単価表!$AY$72:$CC$79,MATCH($V63&amp;$W63,INDEX(単価表!$AY$64:$AY$71&amp;単価表!$AZ$64:$AZ$71,),),MATCH(内訳計算!AF$6,単価表!$AY$63:$CC$63,0)),
INDEX(単価表!$AY$72:$CC$79,MATCH($V63&amp;$W63,INDEX(単価表!$AY$64:$AY$71&amp;単価表!$AZ$64:$AZ$71,),),MATCH(内訳計算!AF$6,単価表!$AY$63:$CC$63,0)))*$Y63/25,0),0)</f>
        <v>0</v>
      </c>
      <c r="AG63" s="1023" cm="1">
        <f t="array" ref="AG63">IFERROR(ROUNDDOWN(IF(OR($U63=2,$U63=3),
INDEX(単価表!$AY$72:$CC$79,MATCH($V63&amp;$W63,INDEX(単価表!$AY$64:$AY$71&amp;単価表!$AZ$64:$AZ$71,),),MATCH(内訳計算!AG$6,単価表!$AY$63:$CC$63,0)),
INDEX(単価表!$AY$72:$CC$79,MATCH($V63&amp;$W63,INDEX(単価表!$AY$64:$AY$71&amp;単価表!$AZ$64:$AZ$71,),),MATCH(内訳計算!AG$6,単価表!$AY$63:$CC$63,0)))*$Y63/25,0),0)</f>
        <v>0</v>
      </c>
      <c r="AH63" s="1021" cm="1">
        <f t="array" ref="AH63">IFERROR(IF(HLOOKUP($U63,加算と減算!$E$4:$P$10,2,FALSE)="○",IF(OR($U63=2,$U63=3),
INDEX(単価表!$AY$72:$CC$79,MATCH($V63&amp;$W63,INDEX(単価表!$AY$64:$AY$71&amp;単価表!$AZ$64:$AZ$71,),),MATCH(内訳計算!AH$6,単価表!$AY$63:$CC$63,0)),
INDEX(単価表!$AY$72:$CC$79,MATCH($V63&amp;$W63,INDEX(単価表!$AY$64:$AY$71&amp;単価表!$AZ$64:$AZ$71,),),MATCH(内訳計算!AH$6,単価表!$AY$63:$CC$63,0))),0),0)</f>
        <v>0</v>
      </c>
      <c r="AI63" s="1024" cm="1">
        <f t="array" ref="AI63">IFERROR(ROUNDDOWN(IF(HLOOKUP($U63,加算と減算!$E$4:$P$10,2,FALSE)="○",IF(OR($U63=2,$U63=3),
INDEX(単価表!$AY$72:$CC$79,MATCH($V63&amp;$W63,INDEX(単価表!$AY$64:$AY$71&amp;単価表!$AZ$64:$AZ$71,),),MATCH(内訳計算!AI$6,単価表!$AY$63:$CC$63,0)),
INDEX(単価表!$AY$72:$CC$79,MATCH($V63&amp;$W63,INDEX(単価表!$AY$64:$AY$71&amp;単価表!$AZ$64:$AZ$71,),),MATCH(内訳計算!AI$6,単価表!$AY$63:$CC$63,0))),0)*$Y63/25,0),0)</f>
        <v>0</v>
      </c>
      <c r="AJ63" s="1022" cm="1">
        <f t="array" ref="AJ63">IFERROR(ROUNDDOWN(IF(HLOOKUP($U63,加算と減算!$E$4:$P$10,2,FALSE)="○",IF(OR($U63=2,$U63=3),
INDEX(単価表!$AY$72:$CC$79,MATCH($V63&amp;$W63,INDEX(単価表!$AY$64:$AY$71&amp;単価表!$AZ$64:$AZ$71,),),MATCH(内訳計算!AJ$6,単価表!$AY$63:$CC$63,0)),
INDEX(単価表!$AY$72:$CC$79,MATCH($V63&amp;$W63,INDEX(単価表!$AY$64:$AY$71&amp;単価表!$AZ$64:$AZ$71,),),MATCH(内訳計算!AJ$6,単価表!$AY$63:$CC$63,0))),0)*$Y63/25,0),0)</f>
        <v>0</v>
      </c>
      <c r="AK63" s="1023" cm="1">
        <f t="array" ref="AK63">IFERROR(ROUNDDOWN(IF(HLOOKUP($U63,加算と減算!$E$4:$P$10,2,FALSE)="○",IF(OR($U63=2,$U63=3),
INDEX(単価表!$AY$72:$CC$79,MATCH($V63&amp;$W63,INDEX(単価表!$AY$64:$AY$71&amp;単価表!$AZ$64:$AZ$71,),),MATCH(内訳計算!AK$6,単価表!$AY$63:$CC$63,0)),
INDEX(単価表!$AY$72:$CC$79,MATCH($V63&amp;$W63,INDEX(単価表!$AY$64:$AY$71&amp;単価表!$AZ$64:$AZ$71,),),MATCH(内訳計算!AK$6,単価表!$AY$63:$CC$63,0))),0)*$Y63/25,0),0)</f>
        <v>0</v>
      </c>
      <c r="AL63" s="1021" cm="1">
        <f t="array" ref="AL63">IFERROR(IF(HLOOKUP($U63,加算と減算!$E$4:$P$10,4,FALSE)="○",IF(OR($U63=2,$U63=3),
INDEX(単価表!$AY$72:$CC$79,MATCH($V63&amp;$W63,INDEX(単価表!$AY$64:$AY$71&amp;単価表!$AZ$64:$AZ$71,),),MATCH(内訳計算!AL$6,単価表!$AY$63:$CC$63,0)),
INDEX(単価表!$AY$72:$CC$79,MATCH($V63&amp;$W63,INDEX(単価表!$AY$64:$AY$71&amp;単価表!$AZ$64:$AZ$71,),),MATCH(内訳計算!AL$6,単価表!$AY$63:$CC$63,0))),0),0)</f>
        <v>0</v>
      </c>
      <c r="AM63" s="1022" cm="1">
        <f t="array" ref="AM63">IFERROR(ROUNDDOWN(IF(HLOOKUP($U63,加算と減算!$E$4:$P$10,4,FALSE)="○",IF(OR($U63=2,$U63=3),
INDEX(単価表!$AY$72:$CC$79,MATCH($V63&amp;$W63,INDEX(単価表!$AY$64:$AY$71&amp;単価表!$AZ$64:$AZ$71,),),MATCH(内訳計算!AM$6,単価表!$AY$63:$CC$63,0)),
INDEX(単価表!$AY$72:$CC$79,MATCH($V63&amp;$W63,INDEX(単価表!$AY$64:$AY$71&amp;単価表!$AZ$64:$AZ$71,),),MATCH(内訳計算!AM$6,単価表!$AY$63:$CC$63,0))),0)*$Y63/25,0),0)</f>
        <v>0</v>
      </c>
      <c r="AN63" s="1022" cm="1">
        <f t="array" ref="AN63">IFERROR(ROUNDDOWN(IF(HLOOKUP($U63,加算と減算!$E$4:$P$10,4,FALSE)="○",IF(OR($U63=2,$U63=3),
INDEX(単価表!$AY$72:$CC$79,MATCH($V63&amp;$W63,INDEX(単価表!$AY$64:$AY$71&amp;単価表!$AZ$64:$AZ$71,),),MATCH(内訳計算!AN$6,単価表!$AY$63:$CC$63,0)),
INDEX(単価表!$AY$72:$CC$79,MATCH($V63&amp;$W63,INDEX(単価表!$AY$64:$AY$71&amp;単価表!$AZ$64:$AZ$71,),),MATCH(内訳計算!AN$6,単価表!$AY$63:$CC$63,0))),0)*$Y63/25,0),0)</f>
        <v>0</v>
      </c>
      <c r="AO63" s="1022" cm="1">
        <f t="array" ref="AO63">IFERROR(ROUNDDOWN(IF(HLOOKUP($U63,加算と減算!$E$4:$P$10,4,FALSE)="○",IF(OR($U63=2,$U63=3),
INDEX(単価表!$AY$72:$CC$79,MATCH($V63&amp;$W63,INDEX(単価表!$AY$64:$AY$71&amp;単価表!$AZ$64:$AZ$71,),),MATCH(内訳計算!AO$6,単価表!$AY$63:$CC$63,0)),
INDEX(単価表!$AY$72:$CC$79,MATCH($V63&amp;$W63,INDEX(単価表!$AY$64:$AY$71&amp;単価表!$AZ$64:$AZ$71,),),MATCH(内訳計算!AO$6,単価表!$AY$63:$CC$63,0))),0)*$Y63/25,0),0)</f>
        <v>0</v>
      </c>
      <c r="AP63" s="1022" cm="1">
        <f t="array" ref="AP63">IFERROR(ROUNDDOWN(IF(HLOOKUP($U63,加算と減算!$E$4:$P$10,4,FALSE)="○",IF(OR($U63=2,$U63=3),
INDEX(単価表!$AY$72:$CC$79,MATCH($V63&amp;$W63,INDEX(単価表!$AY$64:$AY$71&amp;単価表!$AZ$64:$AZ$71,),),MATCH(内訳計算!AP$6,単価表!$AY$63:$CC$63,0)),
INDEX(単価表!$AY$72:$CC$79,MATCH($V63&amp;$W63,INDEX(単価表!$AY$64:$AY$71&amp;単価表!$AZ$64:$AZ$71,),),MATCH(内訳計算!AP$6,単価表!$AY$63:$CC$63,0))),0)*$Y63/25,0),0)</f>
        <v>0</v>
      </c>
      <c r="AQ63" s="1023" cm="1">
        <f t="array" ref="AQ63">IFERROR(ROUNDDOWN(IF(HLOOKUP($U63,加算と減算!$E$4:$P$10,4,FALSE)="○",IF(OR($U63=2,$U63=3),
INDEX(単価表!$AY$72:$CC$79,MATCH($V63&amp;$W63,INDEX(単価表!$AY$64:$AY$71&amp;単価表!$AZ$64:$AZ$71,),),MATCH(内訳計算!AQ$6,単価表!$AY$63:$CC$63,0)),
INDEX(単価表!$AY$72:$CC$79,MATCH($V63&amp;$W63,INDEX(単価表!$AY$64:$AY$71&amp;単価表!$AZ$64:$AZ$71,),),MATCH(内訳計算!AQ$6,単価表!$AY$63:$CC$63,0))),0)*$Y63/25,0),0)</f>
        <v>0</v>
      </c>
      <c r="AR63" s="1021" cm="1">
        <f t="array" ref="AR63">IFERROR(IF(HLOOKUP($U63,加算と減算!$E$4:$P$10,5,FALSE)="○",IF(OR($U63=2,$U63=3),
INDEX(単価表!$AY$72:$CC$79,MATCH($V63&amp;$W63,INDEX(単価表!$AY$64:$AY$71&amp;単価表!$AZ$64:$AZ$71,),),MATCH(内訳計算!AR$6,単価表!$AY$63:$CC$63,0)),
INDEX(単価表!$AY$72:$CC$79,MATCH($V63&amp;$W63,INDEX(単価表!$AY$64:$AY$71&amp;単価表!$AZ$64:$AZ$71,),),MATCH(内訳計算!AR$6,単価表!$AY$63:$CC$63,0))),0),0)</f>
        <v>0</v>
      </c>
      <c r="AS63" s="1023" cm="1">
        <f t="array" ref="AS63">IFERROR(ROUNDDOWN(IF(HLOOKUP($U63,加算と減算!$E$4:$P$10,5,FALSE)="○",IF(OR($U63=2,$U63=3),
INDEX(単価表!$AY$72:$CC$79,MATCH($V63&amp;$W63,INDEX(単価表!$AY$64:$AY$71&amp;単価表!$AZ$64:$AZ$71,),),MATCH(内訳計算!AS$6,単価表!$AY$63:$CC$63,0)),
INDEX(単価表!$AY$72:$CC$79,MATCH($V63&amp;$W63,INDEX(単価表!$AY$64:$AY$71&amp;単価表!$AZ$64:$AZ$71,),),MATCH(内訳計算!AS$6,単価表!$AY$63:$CC$63,0))),0)*$Y63/25,0),0)</f>
        <v>0</v>
      </c>
      <c r="AT63" s="1021" cm="1">
        <f t="array" ref="AT63">IFERROR(IF(HLOOKUP($U63,加算と減算!$E$4:$P$10,6,FALSE)="○",IF(OR($U63=2,$U63=3),
INDEX(単価表!$AY$72:$CC$79,MATCH($V63&amp;$W63,INDEX(単価表!$AY$64:$AY$71&amp;単価表!$AZ$64:$AZ$71,),),MATCH(内訳計算!AT$6,単価表!$AY$63:$CC$63,0)),
INDEX(単価表!$AY$72:$CC$79,MATCH($V63&amp;$W63,INDEX(単価表!$AY$64:$AY$71&amp;単価表!$AZ$64:$AZ$71,),),MATCH(内訳計算!AT$6,単価表!$AY$63:$CC$63,0))),0),0)</f>
        <v>0</v>
      </c>
      <c r="AU63" s="1023" cm="1">
        <f t="array" ref="AU63">IFERROR(ROUNDDOWN(IF(HLOOKUP($U63,加算と減算!$E$4:$P$10,6,FALSE)="○",IF(OR($U63=2,$U63=3),
INDEX(単価表!$AY$72:$CC$79,MATCH($V63&amp;$W63,INDEX(単価表!$AY$64:$AY$71&amp;単価表!$AZ$64:$AZ$71,),),MATCH(内訳計算!AU$6,単価表!$AY$63:$CC$63,0)),
INDEX(単価表!$AY$72:$CC$79,MATCH($V63&amp;$W63,INDEX(単価表!$AY$64:$AY$71&amp;単価表!$AZ$64:$AZ$71,),),MATCH(内訳計算!AU$6,単価表!$AY$63:$CC$63,0))),0)*$Y63/25,0),0)</f>
        <v>0</v>
      </c>
      <c r="AV63" s="1021" cm="1">
        <f t="array" ref="AV63">IFERROR(IF(HLOOKUP($U63,加算と減算!$E$4:$P$10,7,FALSE)="○",IF(OR($U63=2,$U63=3),
INDEX(単価表!$AY$72:$CC$79,MATCH($V63&amp;$W63,INDEX(単価表!$AY$64:$AY$71&amp;単価表!$AZ$64:$AZ$71,),),MATCH(内訳計算!AV$6,単価表!$AY$63:$CC$63,0)),
INDEX(単価表!$AY$72:$CC$79,MATCH($V63&amp;$W63,INDEX(単価表!$AY$64:$AY$71&amp;単価表!$AZ$64:$AZ$71,),),MATCH(内訳計算!AV$6,単価表!$AY$63:$CC$63,0))),0),0)</f>
        <v>0</v>
      </c>
      <c r="AW63" s="1022" cm="1">
        <f t="array" ref="AW63">IFERROR(ROUNDDOWN(IF(HLOOKUP($U63,加算と減算!$E$4:$P$10,7,FALSE)="○",IF(OR($U63=2,$U63=3),
INDEX(単価表!$AY$72:$CC$79,MATCH($V63&amp;$W63,INDEX(単価表!$AY$64:$AY$71&amp;単価表!$AZ$64:$AZ$71,),),MATCH(内訳計算!AW$6,単価表!$AY$63:$CC$63,0)),
INDEX(単価表!$AY$72:$CC$79,MATCH($V63&amp;$W63,INDEX(単価表!$AY$64:$AY$71&amp;単価表!$AZ$64:$AZ$71,),),MATCH(内訳計算!AW$6,単価表!$AY$63:$CC$63,0))),0)*$Y63/25,0),0)</f>
        <v>0</v>
      </c>
      <c r="AX63" s="1022" cm="1">
        <f t="array" ref="AX63">IFERROR(ROUNDDOWN(IF(HLOOKUP($U63,加算と減算!$E$4:$P$10,7,FALSE)="○",IF(OR($U63=2,$U63=3),
INDEX(単価表!$AY$72:$CC$79,MATCH($V63&amp;$W63,INDEX(単価表!$AY$64:$AY$71&amp;単価表!$AZ$64:$AZ$71,),),MATCH(内訳計算!AX$6,単価表!$AY$63:$CC$63,0)),
INDEX(単価表!$AY$72:$CC$79,MATCH($V63&amp;$W63,INDEX(単価表!$AY$64:$AY$71&amp;単価表!$AZ$64:$AZ$71,),),MATCH(内訳計算!AX$6,単価表!$AY$63:$CC$63,0))),0)*$Y63/25,0),0)</f>
        <v>0</v>
      </c>
      <c r="AY63" s="1023" cm="1">
        <f t="array" ref="AY63">IFERROR(ROUNDDOWN(IF(HLOOKUP($U63,加算と減算!$E$4:$P$10,7,FALSE)="○",IF(OR($U63=2,$U63=3),
INDEX(単価表!$AY$72:$CC$79,MATCH($V63&amp;$W63,INDEX(単価表!$AY$64:$AY$71&amp;単価表!$AZ$64:$AZ$71,),),MATCH(内訳計算!AY$6,単価表!$AY$63:$CC$63,0)),
INDEX(単価表!$AY$72:$CC$79,MATCH($V63&amp;$W63,INDEX(単価表!$AY$64:$AY$71&amp;単価表!$AZ$64:$AZ$71,),),MATCH(内訳計算!AY$6,単価表!$AY$63:$CC$63,0))),0)*$Y63/25,0),0)</f>
        <v>0</v>
      </c>
      <c r="AZ63" s="1021" cm="1">
        <f t="array" ref="AZ63">IFERROR(IF(X63="○",INDEX(単価表!$AY$72:$CC$79,MATCH($V63&amp;$W63,INDEX(単価表!$AY$64:$AY$71&amp;単価表!$AZ$64:$AZ$71,),),MATCH(内訳計算!AZ$6,単価表!$AY$63:$CC$63,0)),0),0)</f>
        <v>0</v>
      </c>
      <c r="BA63" s="1023" cm="1">
        <f t="array" ref="BA63">IFERROR(ROUNDDOWN(INDEX(単価表!$AY$72:$CC$79,MATCH($V63&amp;$W63,INDEX(単価表!$AY$64:$AY$71&amp;単価表!$AZ$64:$AZ$71,),),MATCH(内訳計算!BA$6,単価表!$AY$63:$CC$63,0))*$Y63/25,0),0)</f>
        <v>0</v>
      </c>
      <c r="BB63" s="1021" cm="1">
        <f t="array" ref="BB63">IFERROR(INDEX(単価表!$AY$72:$CC$79,MATCH($V63&amp;$W63,INDEX(単価表!$AY$64:$AY$71&amp;単価表!$AZ$64:$AZ$71,),),MATCH(内訳計算!BB$6,単価表!$AY$63:$CC$63,0)),0)</f>
        <v>0</v>
      </c>
      <c r="BC63" s="1023" cm="1">
        <f t="array" ref="BC63">IFERROR(ROUNDDOWN(INDEX(単価表!$AY$72:$CC$79,MATCH($V63&amp;$W63,INDEX(単価表!$AY$64:$AY$71&amp;単価表!$AZ$64:$AZ$71,),),MATCH(内訳計算!BC$6,単価表!$AY$63:$CC$63,0))*$Y63/25,0),0)</f>
        <v>0</v>
      </c>
      <c r="BD63" s="985">
        <f>IFERROR(IF(HLOOKUP($U63,加算と減算!$E$31:$P$32,2,FALSE)="○",IF(OR($U63=2,$U63=3),-(単価表!$AZ$23+単価表!$BA$23*基本情報!$G$7),-(単価表!$AZ$23+単価表!$BA$23*基本情報!$G$7)),0),0)</f>
        <v>0</v>
      </c>
      <c r="BE63" s="1007" t="e">
        <f t="shared" ref="BE63:BE81" si="116">ROUNDDOWN($BD63*$Y63/25,0)-BF63-BG63</f>
        <v>#VALUE!</v>
      </c>
      <c r="BF63" s="1007" t="e">
        <f t="shared" ref="BF63:BF81" si="117">ROUNDDOWN($BD63*$Y63/25*$BF$61,0)</f>
        <v>#VALUE!</v>
      </c>
      <c r="BG63" s="1030" t="e">
        <f t="shared" ref="BG63:BG81" si="118">ROUNDDOWN($BD63*$Y63/25*$BG$61,0)</f>
        <v>#N/A</v>
      </c>
      <c r="BH63" s="1031">
        <f>IFERROR(IF(基本情報!$E$12&lt;&gt;"",-ROUNDDOWN((AA63+AE63+AH63+AL63)*基本情報!$H$13/100,-1),0),0)</f>
        <v>0</v>
      </c>
      <c r="BI63" s="1007" t="e">
        <f t="shared" ref="BI63:BI81" si="119">ROUNDDOWN($BH63*$Y63/25,0)-BJ63-BK63</f>
        <v>#VALUE!</v>
      </c>
      <c r="BJ63" s="1007" t="e">
        <f t="shared" ref="BJ63:BJ81" si="120">ROUNDDOWN($BH63*$Y63/25*$BJ$61,0)</f>
        <v>#VALUE!</v>
      </c>
      <c r="BK63" s="1008" t="e">
        <f t="shared" ref="BK63:BK81" si="121">ROUNDDOWN($BH63*$Y63/25*$BK$61,0)</f>
        <v>#N/A</v>
      </c>
      <c r="BL63" s="1031">
        <f t="shared" ref="BL63:BL81" si="122">-ROUNDDOWN((AA63+AE63)*1/10,-1)</f>
        <v>0</v>
      </c>
      <c r="BM63" s="1007" t="e">
        <f t="shared" ref="BM63:BM81" si="123">ROUNDDOWN($BL63*$Y63/25,0)-BN63-BO63</f>
        <v>#VALUE!</v>
      </c>
      <c r="BN63" s="1007" t="e">
        <f t="shared" ref="BN63:BN81" si="124">ROUNDDOWN($BL63*$Y63/25*$BN$61,0)</f>
        <v>#VALUE!</v>
      </c>
      <c r="BO63" s="1008" t="e">
        <f t="shared" ref="BO63:BO81" si="125">ROUNDDOWN($BL63*$Y63/25*$BO$61,0)</f>
        <v>#N/A</v>
      </c>
      <c r="BP63" s="1006">
        <f>IFERROR(-ROUNDUP(SUM(AA63,AE63,AH63,AL63,AR63,AT63,AV63,BD63,BH63,BL63)*基本情報!$H$15/100,-1),0)</f>
        <v>0</v>
      </c>
      <c r="BQ63" s="1007" t="e">
        <f t="shared" ref="BQ63:BQ81" si="126">ROUNDDOWN($BP63*$Y63/25,0)-BR63-BS63</f>
        <v>#VALUE!</v>
      </c>
      <c r="BR63" s="1007" t="e">
        <f t="shared" ref="BR63:BR81" si="127">ROUNDDOWN($BP63*$Y63/25*$BR$61,0)</f>
        <v>#VALUE!</v>
      </c>
      <c r="BS63" s="1008" t="e">
        <f t="shared" ref="BS63:BS81" si="128">ROUNDDOWN($BP63*$Y63/25*$BS$61,0)</f>
        <v>#N/A</v>
      </c>
      <c r="BT63" s="721"/>
      <c r="BU63" s="1043" t="e">
        <f t="shared" ref="BU63:BU81" si="129">AB63+AI63+AM63+AW63+BE63+BI63+BM63+BQ63</f>
        <v>#VALUE!</v>
      </c>
      <c r="BV63" s="1044" t="e">
        <f t="shared" ref="BV63:BV81" si="130">AC63+AN63+BA63+BF63+BJ63+BN63+BR63</f>
        <v>#VALUE!</v>
      </c>
      <c r="BW63" s="1044" t="e">
        <f t="shared" ref="BW63:BW81" si="131">AD63+AO63+AS63+AU63+BC63+BG63+BK63+BO63+BS63</f>
        <v>#N/A</v>
      </c>
      <c r="BX63" s="1051">
        <f t="shared" ref="BX63:BX81" si="132">AF63+AJ63+AP63+AX63</f>
        <v>0</v>
      </c>
      <c r="BY63" s="1045">
        <f t="shared" ref="BY63:BY81" si="133">AG63+AK63+AQ63+AY63</f>
        <v>0</v>
      </c>
      <c r="CB63" s="1633"/>
      <c r="CC63" s="1629"/>
      <c r="CD63" s="761" t="s">
        <v>166</v>
      </c>
      <c r="CE63" s="762"/>
      <c r="CF63" s="763" t="e">
        <f>'4月'!AQ20</f>
        <v>#VALUE!</v>
      </c>
      <c r="CG63" s="763" t="e">
        <f>'5月'!AQ20</f>
        <v>#VALUE!</v>
      </c>
      <c r="CH63" s="763" t="e">
        <f>'6月'!AQ20</f>
        <v>#VALUE!</v>
      </c>
      <c r="CI63" s="763" t="e">
        <f>'7月'!AQ20</f>
        <v>#VALUE!</v>
      </c>
      <c r="CJ63" s="763" t="e">
        <f>'8月'!AQ20</f>
        <v>#VALUE!</v>
      </c>
      <c r="CK63" s="763" t="e">
        <f>'9月'!AQ20</f>
        <v>#VALUE!</v>
      </c>
      <c r="CL63" s="763" t="e">
        <f>'10月'!AQ20</f>
        <v>#VALUE!</v>
      </c>
      <c r="CM63" s="763" t="e">
        <f>'11月'!AQ20</f>
        <v>#VALUE!</v>
      </c>
      <c r="CN63" s="763" t="e">
        <f>'12月'!AQ20</f>
        <v>#VALUE!</v>
      </c>
      <c r="CO63" s="763" t="e">
        <f>'1月'!AQ20</f>
        <v>#VALUE!</v>
      </c>
      <c r="CP63" s="763" t="e">
        <f>'2月'!AQ20</f>
        <v>#VALUE!</v>
      </c>
      <c r="CQ63" s="764" t="e">
        <f>'3月'!AQ20</f>
        <v>#VALUE!</v>
      </c>
      <c r="CR63" s="765" t="e">
        <f t="shared" si="108"/>
        <v>#VALUE!</v>
      </c>
      <c r="CS63" s="1602"/>
      <c r="CT63" s="1616" t="s">
        <v>166</v>
      </c>
      <c r="CU63" s="1617"/>
      <c r="CV63" s="876" t="e">
        <f t="shared" si="109"/>
        <v>#VALUE!</v>
      </c>
      <c r="CW63" s="754" t="e">
        <f t="shared" si="110"/>
        <v>#VALUE!</v>
      </c>
      <c r="CX63" s="754" t="e">
        <f t="shared" si="111"/>
        <v>#VALUE!</v>
      </c>
      <c r="CY63" s="1102" t="e">
        <f t="shared" si="112"/>
        <v>#VALUE!</v>
      </c>
      <c r="CZ63" s="1110"/>
      <c r="DC63" s="1669"/>
      <c r="DD63" s="1669"/>
      <c r="DE63" s="1669"/>
      <c r="DF63" s="1669"/>
      <c r="DG63" s="1669"/>
      <c r="DH63" s="1669"/>
      <c r="DI63" s="1669"/>
      <c r="DJ63" s="1669"/>
    </row>
    <row r="64" spans="1:114" ht="16.5" customHeight="1">
      <c r="B64" s="1647"/>
      <c r="C64" s="1648"/>
      <c r="D64" s="1651"/>
      <c r="E64" s="727" t="s">
        <v>603</v>
      </c>
      <c r="F64" s="962">
        <f>IF(内訳計算!CR12=0,0,児童数!T34+児童数!U34+児童数!Y34+児童数!Z34)</f>
        <v>0</v>
      </c>
      <c r="G64" s="672">
        <f t="shared" si="113"/>
        <v>0</v>
      </c>
      <c r="H64" s="672">
        <f t="shared" si="113"/>
        <v>0</v>
      </c>
      <c r="I64" s="672">
        <f t="shared" si="113"/>
        <v>0</v>
      </c>
      <c r="J64" s="672">
        <f>J62</f>
        <v>0</v>
      </c>
      <c r="K64" s="673">
        <f t="shared" si="113"/>
        <v>0</v>
      </c>
      <c r="L64" s="673">
        <f t="shared" si="113"/>
        <v>0</v>
      </c>
      <c r="M64" s="672">
        <f>J64*F64</f>
        <v>0</v>
      </c>
      <c r="N64" s="672">
        <f>H64*F64</f>
        <v>0</v>
      </c>
      <c r="O64" s="672">
        <f>I64*F64</f>
        <v>0</v>
      </c>
      <c r="P64" s="833">
        <f>K64*F64</f>
        <v>0</v>
      </c>
      <c r="Q64" s="833">
        <f>+L64*F64</f>
        <v>0</v>
      </c>
      <c r="T64" s="682">
        <v>3</v>
      </c>
      <c r="U64" s="918">
        <f>月途中入退所情報!D33</f>
        <v>0</v>
      </c>
      <c r="V64" s="918">
        <f>月途中入退所情報!H33</f>
        <v>0</v>
      </c>
      <c r="W64" s="918">
        <f>月途中入退所情報!G33</f>
        <v>0</v>
      </c>
      <c r="X64" s="945">
        <f>月途中入退所情報!I33</f>
        <v>0</v>
      </c>
      <c r="Y64" s="918">
        <f>月途中入退所情報!J33</f>
        <v>0</v>
      </c>
      <c r="Z64" s="840">
        <f t="shared" si="114"/>
        <v>0</v>
      </c>
      <c r="AA64" s="1021" cm="1">
        <f t="array" ref="AA64">IFERROR(IF(OR($U64=2,$U64=3),
INDEX(単価表!$AY$72:$CC$79,MATCH($V64&amp;$W64,INDEX(単価表!$AY$64:$AY$71&amp;単価表!$AZ$64:$AZ$71,),),MATCH(内訳計算!AA$6,単価表!$AY$63:$CC$63,0)),
INDEX(単価表!$AY$72:$CC$79,MATCH($V64&amp;$W64,INDEX(単価表!$AY$64:$AY$71&amp;単価表!$AZ$64:$AZ$71,),),MATCH(内訳計算!AA$6,単価表!$AY$63:$CC$63,0))),0)</f>
        <v>0</v>
      </c>
      <c r="AB64" s="1022" t="e">
        <f t="shared" si="115"/>
        <v>#VALUE!</v>
      </c>
      <c r="AC64" s="1022" cm="1">
        <f t="array" ref="AC64">IFERROR(ROUNDDOWN(IF(OR($U64=2,$U64=3),
INDEX(単価表!$AY$72:$CC$79,MATCH($V64&amp;$W64,INDEX(単価表!$AY$64:$AY$71&amp;単価表!$AZ$64:$AZ$71,),),MATCH(内訳計算!AC$6,単価表!$AY$63:$CC$63,0)),
INDEX(単価表!$AY$72:$CC$79,MATCH($V64&amp;$W64,INDEX(単価表!$AY$64:$AY$71&amp;単価表!$AZ$64:$AZ$71,),),MATCH(内訳計算!AC$6,単価表!$AY$63:$CC$63,0)))*$Y64/25,0),0)</f>
        <v>0</v>
      </c>
      <c r="AD64" s="1023" cm="1">
        <f t="array" ref="AD64">IFERROR(ROUNDDOWN(IF(OR($U64=2,$U64=3),
INDEX(単価表!$AY$72:$CC$79,MATCH($V64&amp;$W64,INDEX(単価表!$AY$64:$AY$71&amp;単価表!$AZ$64:$AZ$71,),),MATCH(内訳計算!AD$6,単価表!$AY$63:$CC$63,0)),
INDEX(単価表!$AY$72:$CC$79,MATCH($V64&amp;$W64,INDEX(単価表!$AY$64:$AY$71&amp;単価表!$AZ$64:$AZ$71,),),MATCH(内訳計算!AD$6,単価表!$AY$63:$CC$63,0)))*$Y64/25,0),0)</f>
        <v>0</v>
      </c>
      <c r="AE64" s="1021" cm="1">
        <f t="array" ref="AE64">IFERROR(IF(OR($U64=2,$U64=3),
INDEX(単価表!$AY$72:$CC$79,MATCH($V64&amp;$W64,INDEX(単価表!$AY$64:$AY$71&amp;単価表!$AZ$64:$AZ$71,),),MATCH(内訳計算!AE$6,単価表!$AY$63:$CC$63,0)),
INDEX(単価表!$AY$72:$CC$79,MATCH($V64&amp;$W64,INDEX(単価表!$AY$64:$AY$71&amp;単価表!$AZ$64:$AZ$71,),),MATCH(内訳計算!AE$6,単価表!$AY$63:$CC$63,0))),0)</f>
        <v>0</v>
      </c>
      <c r="AF64" s="1022" cm="1">
        <f t="array" ref="AF64">IFERROR(ROUNDDOWN(IF(OR($U64=2,$U64=3),
INDEX(単価表!$AY$72:$CC$79,MATCH($V64&amp;$W64,INDEX(単価表!$AY$64:$AY$71&amp;単価表!$AZ$64:$AZ$71,),),MATCH(内訳計算!AF$6,単価表!$AY$63:$CC$63,0)),
INDEX(単価表!$AY$72:$CC$79,MATCH($V64&amp;$W64,INDEX(単価表!$AY$64:$AY$71&amp;単価表!$AZ$64:$AZ$71,),),MATCH(内訳計算!AF$6,単価表!$AY$63:$CC$63,0)))*$Y64/25,0),0)</f>
        <v>0</v>
      </c>
      <c r="AG64" s="1023" cm="1">
        <f t="array" ref="AG64">IFERROR(ROUNDDOWN(IF(OR($U64=2,$U64=3),
INDEX(単価表!$AY$72:$CC$79,MATCH($V64&amp;$W64,INDEX(単価表!$AY$64:$AY$71&amp;単価表!$AZ$64:$AZ$71,),),MATCH(内訳計算!AG$6,単価表!$AY$63:$CC$63,0)),
INDEX(単価表!$AY$72:$CC$79,MATCH($V64&amp;$W64,INDEX(単価表!$AY$64:$AY$71&amp;単価表!$AZ$64:$AZ$71,),),MATCH(内訳計算!AG$6,単価表!$AY$63:$CC$63,0)))*$Y64/25,0),0)</f>
        <v>0</v>
      </c>
      <c r="AH64" s="1021" cm="1">
        <f t="array" ref="AH64">IFERROR(IF(HLOOKUP($U64,加算と減算!$E$4:$P$10,2,FALSE)="○",IF(OR($U64=2,$U64=3),
INDEX(単価表!$AY$72:$CC$79,MATCH($V64&amp;$W64,INDEX(単価表!$AY$64:$AY$71&amp;単価表!$AZ$64:$AZ$71,),),MATCH(内訳計算!AH$6,単価表!$AY$63:$CC$63,0)),
INDEX(単価表!$AY$72:$CC$79,MATCH($V64&amp;$W64,INDEX(単価表!$AY$64:$AY$71&amp;単価表!$AZ$64:$AZ$71,),),MATCH(内訳計算!AH$6,単価表!$AY$63:$CC$63,0))),0),0)</f>
        <v>0</v>
      </c>
      <c r="AI64" s="1024" cm="1">
        <f t="array" ref="AI64">IFERROR(ROUNDDOWN(IF(HLOOKUP($U64,加算と減算!$E$4:$P$10,2,FALSE)="○",IF(OR($U64=2,$U64=3),
INDEX(単価表!$AY$72:$CC$79,MATCH($V64&amp;$W64,INDEX(単価表!$AY$64:$AY$71&amp;単価表!$AZ$64:$AZ$71,),),MATCH(内訳計算!AI$6,単価表!$AY$63:$CC$63,0)),
INDEX(単価表!$AY$72:$CC$79,MATCH($V64&amp;$W64,INDEX(単価表!$AY$64:$AY$71&amp;単価表!$AZ$64:$AZ$71,),),MATCH(内訳計算!AI$6,単価表!$AY$63:$CC$63,0))),0)*$Y64/25,0),0)</f>
        <v>0</v>
      </c>
      <c r="AJ64" s="1022" cm="1">
        <f t="array" ref="AJ64">IFERROR(ROUNDDOWN(IF(HLOOKUP($U64,加算と減算!$E$4:$P$10,2,FALSE)="○",IF(OR($U64=2,$U64=3),
INDEX(単価表!$AY$72:$CC$79,MATCH($V64&amp;$W64,INDEX(単価表!$AY$64:$AY$71&amp;単価表!$AZ$64:$AZ$71,),),MATCH(内訳計算!AJ$6,単価表!$AY$63:$CC$63,0)),
INDEX(単価表!$AY$72:$CC$79,MATCH($V64&amp;$W64,INDEX(単価表!$AY$64:$AY$71&amp;単価表!$AZ$64:$AZ$71,),),MATCH(内訳計算!AJ$6,単価表!$AY$63:$CC$63,0))),0)*$Y64/25,0),0)</f>
        <v>0</v>
      </c>
      <c r="AK64" s="1023" cm="1">
        <f t="array" ref="AK64">IFERROR(ROUNDDOWN(IF(HLOOKUP($U64,加算と減算!$E$4:$P$10,2,FALSE)="○",IF(OR($U64=2,$U64=3),
INDEX(単価表!$AY$72:$CC$79,MATCH($V64&amp;$W64,INDEX(単価表!$AY$64:$AY$71&amp;単価表!$AZ$64:$AZ$71,),),MATCH(内訳計算!AK$6,単価表!$AY$63:$CC$63,0)),
INDEX(単価表!$AY$72:$CC$79,MATCH($V64&amp;$W64,INDEX(単価表!$AY$64:$AY$71&amp;単価表!$AZ$64:$AZ$71,),),MATCH(内訳計算!AK$6,単価表!$AY$63:$CC$63,0))),0)*$Y64/25,0),0)</f>
        <v>0</v>
      </c>
      <c r="AL64" s="1021" cm="1">
        <f t="array" ref="AL64">IFERROR(IF(HLOOKUP($U64,加算と減算!$E$4:$P$10,4,FALSE)="○",IF(OR($U64=2,$U64=3),
INDEX(単価表!$AY$72:$CC$79,MATCH($V64&amp;$W64,INDEX(単価表!$AY$64:$AY$71&amp;単価表!$AZ$64:$AZ$71,),),MATCH(内訳計算!AL$6,単価表!$AY$63:$CC$63,0)),
INDEX(単価表!$AY$72:$CC$79,MATCH($V64&amp;$W64,INDEX(単価表!$AY$64:$AY$71&amp;単価表!$AZ$64:$AZ$71,),),MATCH(内訳計算!AL$6,単価表!$AY$63:$CC$63,0))),0),0)</f>
        <v>0</v>
      </c>
      <c r="AM64" s="1022" cm="1">
        <f t="array" ref="AM64">IFERROR(ROUNDDOWN(IF(HLOOKUP($U64,加算と減算!$E$4:$P$10,4,FALSE)="○",IF(OR($U64=2,$U64=3),
INDEX(単価表!$AY$72:$CC$79,MATCH($V64&amp;$W64,INDEX(単価表!$AY$64:$AY$71&amp;単価表!$AZ$64:$AZ$71,),),MATCH(内訳計算!AM$6,単価表!$AY$63:$CC$63,0)),
INDEX(単価表!$AY$72:$CC$79,MATCH($V64&amp;$W64,INDEX(単価表!$AY$64:$AY$71&amp;単価表!$AZ$64:$AZ$71,),),MATCH(内訳計算!AM$6,単価表!$AY$63:$CC$63,0))),0)*$Y64/25,0),0)</f>
        <v>0</v>
      </c>
      <c r="AN64" s="1022" cm="1">
        <f t="array" ref="AN64">IFERROR(ROUNDDOWN(IF(HLOOKUP($U64,加算と減算!$E$4:$P$10,4,FALSE)="○",IF(OR($U64=2,$U64=3),
INDEX(単価表!$AY$72:$CC$79,MATCH($V64&amp;$W64,INDEX(単価表!$AY$64:$AY$71&amp;単価表!$AZ$64:$AZ$71,),),MATCH(内訳計算!AN$6,単価表!$AY$63:$CC$63,0)),
INDEX(単価表!$AY$72:$CC$79,MATCH($V64&amp;$W64,INDEX(単価表!$AY$64:$AY$71&amp;単価表!$AZ$64:$AZ$71,),),MATCH(内訳計算!AN$6,単価表!$AY$63:$CC$63,0))),0)*$Y64/25,0),0)</f>
        <v>0</v>
      </c>
      <c r="AO64" s="1022" cm="1">
        <f t="array" ref="AO64">IFERROR(ROUNDDOWN(IF(HLOOKUP($U64,加算と減算!$E$4:$P$10,4,FALSE)="○",IF(OR($U64=2,$U64=3),
INDEX(単価表!$AY$72:$CC$79,MATCH($V64&amp;$W64,INDEX(単価表!$AY$64:$AY$71&amp;単価表!$AZ$64:$AZ$71,),),MATCH(内訳計算!AO$6,単価表!$AY$63:$CC$63,0)),
INDEX(単価表!$AY$72:$CC$79,MATCH($V64&amp;$W64,INDEX(単価表!$AY$64:$AY$71&amp;単価表!$AZ$64:$AZ$71,),),MATCH(内訳計算!AO$6,単価表!$AY$63:$CC$63,0))),0)*$Y64/25,0),0)</f>
        <v>0</v>
      </c>
      <c r="AP64" s="1022" cm="1">
        <f t="array" ref="AP64">IFERROR(ROUNDDOWN(IF(HLOOKUP($U64,加算と減算!$E$4:$P$10,4,FALSE)="○",IF(OR($U64=2,$U64=3),
INDEX(単価表!$AY$72:$CC$79,MATCH($V64&amp;$W64,INDEX(単価表!$AY$64:$AY$71&amp;単価表!$AZ$64:$AZ$71,),),MATCH(内訳計算!AP$6,単価表!$AY$63:$CC$63,0)),
INDEX(単価表!$AY$72:$CC$79,MATCH($V64&amp;$W64,INDEX(単価表!$AY$64:$AY$71&amp;単価表!$AZ$64:$AZ$71,),),MATCH(内訳計算!AP$6,単価表!$AY$63:$CC$63,0))),0)*$Y64/25,0),0)</f>
        <v>0</v>
      </c>
      <c r="AQ64" s="1023" cm="1">
        <f t="array" ref="AQ64">IFERROR(ROUNDDOWN(IF(HLOOKUP($U64,加算と減算!$E$4:$P$10,4,FALSE)="○",IF(OR($U64=2,$U64=3),
INDEX(単価表!$AY$72:$CC$79,MATCH($V64&amp;$W64,INDEX(単価表!$AY$64:$AY$71&amp;単価表!$AZ$64:$AZ$71,),),MATCH(内訳計算!AQ$6,単価表!$AY$63:$CC$63,0)),
INDEX(単価表!$AY$72:$CC$79,MATCH($V64&amp;$W64,INDEX(単価表!$AY$64:$AY$71&amp;単価表!$AZ$64:$AZ$71,),),MATCH(内訳計算!AQ$6,単価表!$AY$63:$CC$63,0))),0)*$Y64/25,0),0)</f>
        <v>0</v>
      </c>
      <c r="AR64" s="1021" cm="1">
        <f t="array" ref="AR64">IFERROR(IF(HLOOKUP($U64,加算と減算!$E$4:$P$10,5,FALSE)="○",IF(OR($U64=2,$U64=3),
INDEX(単価表!$AY$72:$CC$79,MATCH($V64&amp;$W64,INDEX(単価表!$AY$64:$AY$71&amp;単価表!$AZ$64:$AZ$71,),),MATCH(内訳計算!AR$6,単価表!$AY$63:$CC$63,0)),
INDEX(単価表!$AY$72:$CC$79,MATCH($V64&amp;$W64,INDEX(単価表!$AY$64:$AY$71&amp;単価表!$AZ$64:$AZ$71,),),MATCH(内訳計算!AR$6,単価表!$AY$63:$CC$63,0))),0),0)</f>
        <v>0</v>
      </c>
      <c r="AS64" s="1023" cm="1">
        <f t="array" ref="AS64">IFERROR(ROUNDDOWN(IF(HLOOKUP($U64,加算と減算!$E$4:$P$10,5,FALSE)="○",IF(OR($U64=2,$U64=3),
INDEX(単価表!$AY$72:$CC$79,MATCH($V64&amp;$W64,INDEX(単価表!$AY$64:$AY$71&amp;単価表!$AZ$64:$AZ$71,),),MATCH(内訳計算!AS$6,単価表!$AY$63:$CC$63,0)),
INDEX(単価表!$AY$72:$CC$79,MATCH($V64&amp;$W64,INDEX(単価表!$AY$64:$AY$71&amp;単価表!$AZ$64:$AZ$71,),),MATCH(内訳計算!AS$6,単価表!$AY$63:$CC$63,0))),0)*$Y64/25,0),0)</f>
        <v>0</v>
      </c>
      <c r="AT64" s="1021" cm="1">
        <f t="array" ref="AT64">IFERROR(IF(HLOOKUP($U64,加算と減算!$E$4:$P$10,6,FALSE)="○",IF(OR($U64=2,$U64=3),
INDEX(単価表!$AY$72:$CC$79,MATCH($V64&amp;$W64,INDEX(単価表!$AY$64:$AY$71&amp;単価表!$AZ$64:$AZ$71,),),MATCH(内訳計算!AT$6,単価表!$AY$63:$CC$63,0)),
INDEX(単価表!$AY$72:$CC$79,MATCH($V64&amp;$W64,INDEX(単価表!$AY$64:$AY$71&amp;単価表!$AZ$64:$AZ$71,),),MATCH(内訳計算!AT$6,単価表!$AY$63:$CC$63,0))),0),0)</f>
        <v>0</v>
      </c>
      <c r="AU64" s="1023" cm="1">
        <f t="array" ref="AU64">IFERROR(ROUNDDOWN(IF(HLOOKUP($U64,加算と減算!$E$4:$P$10,6,FALSE)="○",IF(OR($U64=2,$U64=3),
INDEX(単価表!$AY$72:$CC$79,MATCH($V64&amp;$W64,INDEX(単価表!$AY$64:$AY$71&amp;単価表!$AZ$64:$AZ$71,),),MATCH(内訳計算!AU$6,単価表!$AY$63:$CC$63,0)),
INDEX(単価表!$AY$72:$CC$79,MATCH($V64&amp;$W64,INDEX(単価表!$AY$64:$AY$71&amp;単価表!$AZ$64:$AZ$71,),),MATCH(内訳計算!AU$6,単価表!$AY$63:$CC$63,0))),0)*$Y64/25,0),0)</f>
        <v>0</v>
      </c>
      <c r="AV64" s="1021" cm="1">
        <f t="array" ref="AV64">IFERROR(IF(HLOOKUP($U64,加算と減算!$E$4:$P$10,7,FALSE)="○",IF(OR($U64=2,$U64=3),
INDEX(単価表!$AY$72:$CC$79,MATCH($V64&amp;$W64,INDEX(単価表!$AY$64:$AY$71&amp;単価表!$AZ$64:$AZ$71,),),MATCH(内訳計算!AV$6,単価表!$AY$63:$CC$63,0)),
INDEX(単価表!$AY$72:$CC$79,MATCH($V64&amp;$W64,INDEX(単価表!$AY$64:$AY$71&amp;単価表!$AZ$64:$AZ$71,),),MATCH(内訳計算!AV$6,単価表!$AY$63:$CC$63,0))),0),0)</f>
        <v>0</v>
      </c>
      <c r="AW64" s="1022" cm="1">
        <f t="array" ref="AW64">IFERROR(ROUNDDOWN(IF(HLOOKUP($U64,加算と減算!$E$4:$P$10,7,FALSE)="○",IF(OR($U64=2,$U64=3),
INDEX(単価表!$AY$72:$CC$79,MATCH($V64&amp;$W64,INDEX(単価表!$AY$64:$AY$71&amp;単価表!$AZ$64:$AZ$71,),),MATCH(内訳計算!AW$6,単価表!$AY$63:$CC$63,0)),
INDEX(単価表!$AY$72:$CC$79,MATCH($V64&amp;$W64,INDEX(単価表!$AY$64:$AY$71&amp;単価表!$AZ$64:$AZ$71,),),MATCH(内訳計算!AW$6,単価表!$AY$63:$CC$63,0))),0)*$Y64/25,0),0)</f>
        <v>0</v>
      </c>
      <c r="AX64" s="1022" cm="1">
        <f t="array" ref="AX64">IFERROR(ROUNDDOWN(IF(HLOOKUP($U64,加算と減算!$E$4:$P$10,7,FALSE)="○",IF(OR($U64=2,$U64=3),
INDEX(単価表!$AY$72:$CC$79,MATCH($V64&amp;$W64,INDEX(単価表!$AY$64:$AY$71&amp;単価表!$AZ$64:$AZ$71,),),MATCH(内訳計算!AX$6,単価表!$AY$63:$CC$63,0)),
INDEX(単価表!$AY$72:$CC$79,MATCH($V64&amp;$W64,INDEX(単価表!$AY$64:$AY$71&amp;単価表!$AZ$64:$AZ$71,),),MATCH(内訳計算!AX$6,単価表!$AY$63:$CC$63,0))),0)*$Y64/25,0),0)</f>
        <v>0</v>
      </c>
      <c r="AY64" s="1023" cm="1">
        <f t="array" ref="AY64">IFERROR(ROUNDDOWN(IF(HLOOKUP($U64,加算と減算!$E$4:$P$10,7,FALSE)="○",IF(OR($U64=2,$U64=3),
INDEX(単価表!$AY$72:$CC$79,MATCH($V64&amp;$W64,INDEX(単価表!$AY$64:$AY$71&amp;単価表!$AZ$64:$AZ$71,),),MATCH(内訳計算!AY$6,単価表!$AY$63:$CC$63,0)),
INDEX(単価表!$AY$72:$CC$79,MATCH($V64&amp;$W64,INDEX(単価表!$AY$64:$AY$71&amp;単価表!$AZ$64:$AZ$71,),),MATCH(内訳計算!AY$6,単価表!$AY$63:$CC$63,0))),0)*$Y64/25,0),0)</f>
        <v>0</v>
      </c>
      <c r="AZ64" s="1021" cm="1">
        <f t="array" ref="AZ64">IFERROR(IF(X64="○",INDEX(単価表!$AY$72:$CC$79,MATCH($V64&amp;$W64,INDEX(単価表!$AY$64:$AY$71&amp;単価表!$AZ$64:$AZ$71,),),MATCH(内訳計算!AZ$6,単価表!$AY$63:$CC$63,0)),0),0)</f>
        <v>0</v>
      </c>
      <c r="BA64" s="1023" cm="1">
        <f t="array" ref="BA64">IFERROR(ROUNDDOWN(INDEX(単価表!$AY$72:$CC$79,MATCH($V64&amp;$W64,INDEX(単価表!$AY$64:$AY$71&amp;単価表!$AZ$64:$AZ$71,),),MATCH(内訳計算!BA$6,単価表!$AY$63:$CC$63,0))*$Y64/25,0),0)</f>
        <v>0</v>
      </c>
      <c r="BB64" s="1021" cm="1">
        <f t="array" ref="BB64">IFERROR(INDEX(単価表!$AY$72:$CC$79,MATCH($V64&amp;$W64,INDEX(単価表!$AY$64:$AY$71&amp;単価表!$AZ$64:$AZ$71,),),MATCH(内訳計算!BB$6,単価表!$AY$63:$CC$63,0)),0)</f>
        <v>0</v>
      </c>
      <c r="BC64" s="1023" cm="1">
        <f t="array" ref="BC64">IFERROR(ROUNDDOWN(INDEX(単価表!$AY$72:$CC$79,MATCH($V64&amp;$W64,INDEX(単価表!$AY$64:$AY$71&amp;単価表!$AZ$64:$AZ$71,),),MATCH(内訳計算!BC$6,単価表!$AY$63:$CC$63,0))*$Y64/25,0),0)</f>
        <v>0</v>
      </c>
      <c r="BD64" s="985">
        <f>IFERROR(IF(HLOOKUP($U64,加算と減算!$E$31:$P$32,2,FALSE)="○",IF(OR($U64=2,$U64=3),-(単価表!$AZ$23+単価表!$BA$23*基本情報!$G$7),-(単価表!$AZ$23+単価表!$BA$23*基本情報!$G$7)),0),0)</f>
        <v>0</v>
      </c>
      <c r="BE64" s="1007" t="e">
        <f t="shared" si="116"/>
        <v>#VALUE!</v>
      </c>
      <c r="BF64" s="1007" t="e">
        <f t="shared" si="117"/>
        <v>#VALUE!</v>
      </c>
      <c r="BG64" s="1030" t="e">
        <f t="shared" si="118"/>
        <v>#N/A</v>
      </c>
      <c r="BH64" s="1031">
        <f>IFERROR(IF(基本情報!$E$12&lt;&gt;"",-ROUNDDOWN((AA64+AE64+AH64+AL64)*基本情報!$H$13/100,-1),0),0)</f>
        <v>0</v>
      </c>
      <c r="BI64" s="1007" t="e">
        <f t="shared" si="119"/>
        <v>#VALUE!</v>
      </c>
      <c r="BJ64" s="1007" t="e">
        <f t="shared" si="120"/>
        <v>#VALUE!</v>
      </c>
      <c r="BK64" s="1008" t="e">
        <f t="shared" si="121"/>
        <v>#N/A</v>
      </c>
      <c r="BL64" s="1031">
        <f t="shared" si="122"/>
        <v>0</v>
      </c>
      <c r="BM64" s="1007" t="e">
        <f t="shared" si="123"/>
        <v>#VALUE!</v>
      </c>
      <c r="BN64" s="1007" t="e">
        <f t="shared" si="124"/>
        <v>#VALUE!</v>
      </c>
      <c r="BO64" s="1008" t="e">
        <f t="shared" si="125"/>
        <v>#N/A</v>
      </c>
      <c r="BP64" s="1006">
        <f>IFERROR(-ROUNDUP(SUM(AA64,AE64,AH64,AL64,AR64,AT64,AV64,BD64,BH64,BL64)*基本情報!$H$15/100,-1),0)</f>
        <v>0</v>
      </c>
      <c r="BQ64" s="1007" t="e">
        <f t="shared" si="126"/>
        <v>#VALUE!</v>
      </c>
      <c r="BR64" s="1007" t="e">
        <f t="shared" si="127"/>
        <v>#VALUE!</v>
      </c>
      <c r="BS64" s="1008" t="e">
        <f t="shared" si="128"/>
        <v>#N/A</v>
      </c>
      <c r="BT64" s="721"/>
      <c r="BU64" s="1043" t="e">
        <f t="shared" si="129"/>
        <v>#VALUE!</v>
      </c>
      <c r="BV64" s="1044" t="e">
        <f t="shared" si="130"/>
        <v>#VALUE!</v>
      </c>
      <c r="BW64" s="1044" t="e">
        <f t="shared" si="131"/>
        <v>#N/A</v>
      </c>
      <c r="BX64" s="1051">
        <f t="shared" si="132"/>
        <v>0</v>
      </c>
      <c r="BY64" s="1046">
        <f t="shared" si="133"/>
        <v>0</v>
      </c>
      <c r="CB64" s="1631" t="s">
        <v>567</v>
      </c>
      <c r="CC64" s="1610" t="s">
        <v>205</v>
      </c>
      <c r="CD64" s="766" t="s">
        <v>164</v>
      </c>
      <c r="CE64" s="767"/>
      <c r="CF64" s="751">
        <f>'4月'!AQ43</f>
        <v>0</v>
      </c>
      <c r="CG64" s="751">
        <f>'5月'!AQ43</f>
        <v>0</v>
      </c>
      <c r="CH64" s="751">
        <f>'6月'!AQ43</f>
        <v>0</v>
      </c>
      <c r="CI64" s="751">
        <f>'7月'!AQ43</f>
        <v>0</v>
      </c>
      <c r="CJ64" s="751">
        <f>'8月'!AQ43</f>
        <v>0</v>
      </c>
      <c r="CK64" s="751">
        <f>'9月'!AQ43</f>
        <v>0</v>
      </c>
      <c r="CL64" s="751">
        <f>'10月'!AQ43</f>
        <v>0</v>
      </c>
      <c r="CM64" s="751">
        <f>'11月'!AQ43</f>
        <v>0</v>
      </c>
      <c r="CN64" s="751">
        <f>'12月'!AQ43</f>
        <v>0</v>
      </c>
      <c r="CO64" s="751">
        <f>'1月'!AQ43</f>
        <v>0</v>
      </c>
      <c r="CP64" s="751">
        <f>'2月'!AQ43</f>
        <v>0</v>
      </c>
      <c r="CQ64" s="755">
        <f>'3月'!AQ49</f>
        <v>0</v>
      </c>
      <c r="CR64" s="758">
        <f t="shared" si="108"/>
        <v>0</v>
      </c>
      <c r="CS64" s="1582" t="s">
        <v>3</v>
      </c>
      <c r="CT64" s="1612" t="s">
        <v>164</v>
      </c>
      <c r="CU64" s="1613"/>
      <c r="CV64" s="863" t="e">
        <f>CR64-CW64-CX64-CY64</f>
        <v>#VALUE!</v>
      </c>
      <c r="CW64" s="751" t="e">
        <f>ROUNDDOWN(CR64*$CW$58,0)</f>
        <v>#VALUE!</v>
      </c>
      <c r="CX64" s="751" t="e">
        <f>ROUNDDOWN(CR64*$CX$58,0)</f>
        <v>#N/A</v>
      </c>
      <c r="CY64" s="1103" t="e">
        <f t="shared" si="112"/>
        <v>#VALUE!</v>
      </c>
      <c r="CZ64" s="1111"/>
      <c r="DC64" s="1669"/>
      <c r="DD64" s="1669"/>
      <c r="DE64" s="1669"/>
      <c r="DF64" s="1669"/>
      <c r="DG64" s="1669"/>
      <c r="DH64" s="1669"/>
      <c r="DI64" s="1669"/>
      <c r="DJ64" s="1669"/>
    </row>
    <row r="65" spans="1:114">
      <c r="T65" s="682">
        <v>4</v>
      </c>
      <c r="U65" s="918">
        <f>月途中入退所情報!D34</f>
        <v>0</v>
      </c>
      <c r="V65" s="918">
        <f>月途中入退所情報!H34</f>
        <v>0</v>
      </c>
      <c r="W65" s="918">
        <f>月途中入退所情報!G34</f>
        <v>0</v>
      </c>
      <c r="X65" s="945">
        <f>月途中入退所情報!I34</f>
        <v>0</v>
      </c>
      <c r="Y65" s="918">
        <f>月途中入退所情報!J34</f>
        <v>0</v>
      </c>
      <c r="Z65" s="840">
        <f t="shared" si="114"/>
        <v>0</v>
      </c>
      <c r="AA65" s="1021" cm="1">
        <f t="array" ref="AA65">IFERROR(IF(OR($U65=2,$U65=3),
INDEX(単価表!$AY$72:$CC$79,MATCH($V65&amp;$W65,INDEX(単価表!$AY$64:$AY$71&amp;単価表!$AZ$64:$AZ$71,),),MATCH(内訳計算!AA$6,単価表!$AY$63:$CC$63,0)),
INDEX(単価表!$AY$72:$CC$79,MATCH($V65&amp;$W65,INDEX(単価表!$AY$64:$AY$71&amp;単価表!$AZ$64:$AZ$71,),),MATCH(内訳計算!AA$6,単価表!$AY$63:$CC$63,0))),0)</f>
        <v>0</v>
      </c>
      <c r="AB65" s="1022" t="e">
        <f t="shared" si="115"/>
        <v>#VALUE!</v>
      </c>
      <c r="AC65" s="1022" cm="1">
        <f t="array" ref="AC65">IFERROR(ROUNDDOWN(IF(OR($U65=2,$U65=3),
INDEX(単価表!$AY$72:$CC$79,MATCH($V65&amp;$W65,INDEX(単価表!$AY$64:$AY$71&amp;単価表!$AZ$64:$AZ$71,),),MATCH(内訳計算!AC$6,単価表!$AY$63:$CC$63,0)),
INDEX(単価表!$AY$72:$CC$79,MATCH($V65&amp;$W65,INDEX(単価表!$AY$64:$AY$71&amp;単価表!$AZ$64:$AZ$71,),),MATCH(内訳計算!AC$6,単価表!$AY$63:$CC$63,0)))*$Y65/25,0),0)</f>
        <v>0</v>
      </c>
      <c r="AD65" s="1023" cm="1">
        <f t="array" ref="AD65">IFERROR(ROUNDDOWN(IF(OR($U65=2,$U65=3),
INDEX(単価表!$AY$72:$CC$79,MATCH($V65&amp;$W65,INDEX(単価表!$AY$64:$AY$71&amp;単価表!$AZ$64:$AZ$71,),),MATCH(内訳計算!AD$6,単価表!$AY$63:$CC$63,0)),
INDEX(単価表!$AY$72:$CC$79,MATCH($V65&amp;$W65,INDEX(単価表!$AY$64:$AY$71&amp;単価表!$AZ$64:$AZ$71,),),MATCH(内訳計算!AD$6,単価表!$AY$63:$CC$63,0)))*$Y65/25,0),0)</f>
        <v>0</v>
      </c>
      <c r="AE65" s="1021" cm="1">
        <f t="array" ref="AE65">IFERROR(IF(OR($U65=2,$U65=3),
INDEX(単価表!$AY$72:$CC$79,MATCH($V65&amp;$W65,INDEX(単価表!$AY$64:$AY$71&amp;単価表!$AZ$64:$AZ$71,),),MATCH(内訳計算!AE$6,単価表!$AY$63:$CC$63,0)),
INDEX(単価表!$AY$72:$CC$79,MATCH($V65&amp;$W65,INDEX(単価表!$AY$64:$AY$71&amp;単価表!$AZ$64:$AZ$71,),),MATCH(内訳計算!AE$6,単価表!$AY$63:$CC$63,0))),0)</f>
        <v>0</v>
      </c>
      <c r="AF65" s="1022" cm="1">
        <f t="array" ref="AF65">IFERROR(ROUNDDOWN(IF(OR($U65=2,$U65=3),
INDEX(単価表!$AY$72:$CC$79,MATCH($V65&amp;$W65,INDEX(単価表!$AY$64:$AY$71&amp;単価表!$AZ$64:$AZ$71,),),MATCH(内訳計算!AF$6,単価表!$AY$63:$CC$63,0)),
INDEX(単価表!$AY$72:$CC$79,MATCH($V65&amp;$W65,INDEX(単価表!$AY$64:$AY$71&amp;単価表!$AZ$64:$AZ$71,),),MATCH(内訳計算!AF$6,単価表!$AY$63:$CC$63,0)))*$Y65/25,0),0)</f>
        <v>0</v>
      </c>
      <c r="AG65" s="1023" cm="1">
        <f t="array" ref="AG65">IFERROR(ROUNDDOWN(IF(OR($U65=2,$U65=3),
INDEX(単価表!$AY$72:$CC$79,MATCH($V65&amp;$W65,INDEX(単価表!$AY$64:$AY$71&amp;単価表!$AZ$64:$AZ$71,),),MATCH(内訳計算!AG$6,単価表!$AY$63:$CC$63,0)),
INDEX(単価表!$AY$72:$CC$79,MATCH($V65&amp;$W65,INDEX(単価表!$AY$64:$AY$71&amp;単価表!$AZ$64:$AZ$71,),),MATCH(内訳計算!AG$6,単価表!$AY$63:$CC$63,0)))*$Y65/25,0),0)</f>
        <v>0</v>
      </c>
      <c r="AH65" s="1021" cm="1">
        <f t="array" ref="AH65">IFERROR(IF(HLOOKUP($U65,加算と減算!$E$4:$P$10,2,FALSE)="○",IF(OR($U65=2,$U65=3),
INDEX(単価表!$AY$72:$CC$79,MATCH($V65&amp;$W65,INDEX(単価表!$AY$64:$AY$71&amp;単価表!$AZ$64:$AZ$71,),),MATCH(内訳計算!AH$6,単価表!$AY$63:$CC$63,0)),
INDEX(単価表!$AY$72:$CC$79,MATCH($V65&amp;$W65,INDEX(単価表!$AY$64:$AY$71&amp;単価表!$AZ$64:$AZ$71,),),MATCH(内訳計算!AH$6,単価表!$AY$63:$CC$63,0))),0),0)</f>
        <v>0</v>
      </c>
      <c r="AI65" s="1024" cm="1">
        <f t="array" ref="AI65">IFERROR(ROUNDDOWN(IF(HLOOKUP($U65,加算と減算!$E$4:$P$10,2,FALSE)="○",IF(OR($U65=2,$U65=3),
INDEX(単価表!$AY$72:$CC$79,MATCH($V65&amp;$W65,INDEX(単価表!$AY$64:$AY$71&amp;単価表!$AZ$64:$AZ$71,),),MATCH(内訳計算!AI$6,単価表!$AY$63:$CC$63,0)),
INDEX(単価表!$AY$72:$CC$79,MATCH($V65&amp;$W65,INDEX(単価表!$AY$64:$AY$71&amp;単価表!$AZ$64:$AZ$71,),),MATCH(内訳計算!AI$6,単価表!$AY$63:$CC$63,0))),0)*$Y65/25,0),0)</f>
        <v>0</v>
      </c>
      <c r="AJ65" s="1022" cm="1">
        <f t="array" ref="AJ65">IFERROR(ROUNDDOWN(IF(HLOOKUP($U65,加算と減算!$E$4:$P$10,2,FALSE)="○",IF(OR($U65=2,$U65=3),
INDEX(単価表!$AY$72:$CC$79,MATCH($V65&amp;$W65,INDEX(単価表!$AY$64:$AY$71&amp;単価表!$AZ$64:$AZ$71,),),MATCH(内訳計算!AJ$6,単価表!$AY$63:$CC$63,0)),
INDEX(単価表!$AY$72:$CC$79,MATCH($V65&amp;$W65,INDEX(単価表!$AY$64:$AY$71&amp;単価表!$AZ$64:$AZ$71,),),MATCH(内訳計算!AJ$6,単価表!$AY$63:$CC$63,0))),0)*$Y65/25,0),0)</f>
        <v>0</v>
      </c>
      <c r="AK65" s="1023" cm="1">
        <f t="array" ref="AK65">IFERROR(ROUNDDOWN(IF(HLOOKUP($U65,加算と減算!$E$4:$P$10,2,FALSE)="○",IF(OR($U65=2,$U65=3),
INDEX(単価表!$AY$72:$CC$79,MATCH($V65&amp;$W65,INDEX(単価表!$AY$64:$AY$71&amp;単価表!$AZ$64:$AZ$71,),),MATCH(内訳計算!AK$6,単価表!$AY$63:$CC$63,0)),
INDEX(単価表!$AY$72:$CC$79,MATCH($V65&amp;$W65,INDEX(単価表!$AY$64:$AY$71&amp;単価表!$AZ$64:$AZ$71,),),MATCH(内訳計算!AK$6,単価表!$AY$63:$CC$63,0))),0)*$Y65/25,0),0)</f>
        <v>0</v>
      </c>
      <c r="AL65" s="1021" cm="1">
        <f t="array" ref="AL65">IFERROR(IF(HLOOKUP($U65,加算と減算!$E$4:$P$10,4,FALSE)="○",IF(OR($U65=2,$U65=3),
INDEX(単価表!$AY$72:$CC$79,MATCH($V65&amp;$W65,INDEX(単価表!$AY$64:$AY$71&amp;単価表!$AZ$64:$AZ$71,),),MATCH(内訳計算!AL$6,単価表!$AY$63:$CC$63,0)),
INDEX(単価表!$AY$72:$CC$79,MATCH($V65&amp;$W65,INDEX(単価表!$AY$64:$AY$71&amp;単価表!$AZ$64:$AZ$71,),),MATCH(内訳計算!AL$6,単価表!$AY$63:$CC$63,0))),0),0)</f>
        <v>0</v>
      </c>
      <c r="AM65" s="1022" cm="1">
        <f t="array" ref="AM65">IFERROR(ROUNDDOWN(IF(HLOOKUP($U65,加算と減算!$E$4:$P$10,4,FALSE)="○",IF(OR($U65=2,$U65=3),
INDEX(単価表!$AY$72:$CC$79,MATCH($V65&amp;$W65,INDEX(単価表!$AY$64:$AY$71&amp;単価表!$AZ$64:$AZ$71,),),MATCH(内訳計算!AM$6,単価表!$AY$63:$CC$63,0)),
INDEX(単価表!$AY$72:$CC$79,MATCH($V65&amp;$W65,INDEX(単価表!$AY$64:$AY$71&amp;単価表!$AZ$64:$AZ$71,),),MATCH(内訳計算!AM$6,単価表!$AY$63:$CC$63,0))),0)*$Y65/25,0),0)</f>
        <v>0</v>
      </c>
      <c r="AN65" s="1022" cm="1">
        <f t="array" ref="AN65">IFERROR(ROUNDDOWN(IF(HLOOKUP($U65,加算と減算!$E$4:$P$10,4,FALSE)="○",IF(OR($U65=2,$U65=3),
INDEX(単価表!$AY$72:$CC$79,MATCH($V65&amp;$W65,INDEX(単価表!$AY$64:$AY$71&amp;単価表!$AZ$64:$AZ$71,),),MATCH(内訳計算!AN$6,単価表!$AY$63:$CC$63,0)),
INDEX(単価表!$AY$72:$CC$79,MATCH($V65&amp;$W65,INDEX(単価表!$AY$64:$AY$71&amp;単価表!$AZ$64:$AZ$71,),),MATCH(内訳計算!AN$6,単価表!$AY$63:$CC$63,0))),0)*$Y65/25,0),0)</f>
        <v>0</v>
      </c>
      <c r="AO65" s="1022" cm="1">
        <f t="array" ref="AO65">IFERROR(ROUNDDOWN(IF(HLOOKUP($U65,加算と減算!$E$4:$P$10,4,FALSE)="○",IF(OR($U65=2,$U65=3),
INDEX(単価表!$AY$72:$CC$79,MATCH($V65&amp;$W65,INDEX(単価表!$AY$64:$AY$71&amp;単価表!$AZ$64:$AZ$71,),),MATCH(内訳計算!AO$6,単価表!$AY$63:$CC$63,0)),
INDEX(単価表!$AY$72:$CC$79,MATCH($V65&amp;$W65,INDEX(単価表!$AY$64:$AY$71&amp;単価表!$AZ$64:$AZ$71,),),MATCH(内訳計算!AO$6,単価表!$AY$63:$CC$63,0))),0)*$Y65/25,0),0)</f>
        <v>0</v>
      </c>
      <c r="AP65" s="1022" cm="1">
        <f t="array" ref="AP65">IFERROR(ROUNDDOWN(IF(HLOOKUP($U65,加算と減算!$E$4:$P$10,4,FALSE)="○",IF(OR($U65=2,$U65=3),
INDEX(単価表!$AY$72:$CC$79,MATCH($V65&amp;$W65,INDEX(単価表!$AY$64:$AY$71&amp;単価表!$AZ$64:$AZ$71,),),MATCH(内訳計算!AP$6,単価表!$AY$63:$CC$63,0)),
INDEX(単価表!$AY$72:$CC$79,MATCH($V65&amp;$W65,INDEX(単価表!$AY$64:$AY$71&amp;単価表!$AZ$64:$AZ$71,),),MATCH(内訳計算!AP$6,単価表!$AY$63:$CC$63,0))),0)*$Y65/25,0),0)</f>
        <v>0</v>
      </c>
      <c r="AQ65" s="1023" cm="1">
        <f t="array" ref="AQ65">IFERROR(ROUNDDOWN(IF(HLOOKUP($U65,加算と減算!$E$4:$P$10,4,FALSE)="○",IF(OR($U65=2,$U65=3),
INDEX(単価表!$AY$72:$CC$79,MATCH($V65&amp;$W65,INDEX(単価表!$AY$64:$AY$71&amp;単価表!$AZ$64:$AZ$71,),),MATCH(内訳計算!AQ$6,単価表!$AY$63:$CC$63,0)),
INDEX(単価表!$AY$72:$CC$79,MATCH($V65&amp;$W65,INDEX(単価表!$AY$64:$AY$71&amp;単価表!$AZ$64:$AZ$71,),),MATCH(内訳計算!AQ$6,単価表!$AY$63:$CC$63,0))),0)*$Y65/25,0),0)</f>
        <v>0</v>
      </c>
      <c r="AR65" s="1021" cm="1">
        <f t="array" ref="AR65">IFERROR(IF(HLOOKUP($U65,加算と減算!$E$4:$P$10,5,FALSE)="○",IF(OR($U65=2,$U65=3),
INDEX(単価表!$AY$72:$CC$79,MATCH($V65&amp;$W65,INDEX(単価表!$AY$64:$AY$71&amp;単価表!$AZ$64:$AZ$71,),),MATCH(内訳計算!AR$6,単価表!$AY$63:$CC$63,0)),
INDEX(単価表!$AY$72:$CC$79,MATCH($V65&amp;$W65,INDEX(単価表!$AY$64:$AY$71&amp;単価表!$AZ$64:$AZ$71,),),MATCH(内訳計算!AR$6,単価表!$AY$63:$CC$63,0))),0),0)</f>
        <v>0</v>
      </c>
      <c r="AS65" s="1023" cm="1">
        <f t="array" ref="AS65">IFERROR(ROUNDDOWN(IF(HLOOKUP($U65,加算と減算!$E$4:$P$10,5,FALSE)="○",IF(OR($U65=2,$U65=3),
INDEX(単価表!$AY$72:$CC$79,MATCH($V65&amp;$W65,INDEX(単価表!$AY$64:$AY$71&amp;単価表!$AZ$64:$AZ$71,),),MATCH(内訳計算!AS$6,単価表!$AY$63:$CC$63,0)),
INDEX(単価表!$AY$72:$CC$79,MATCH($V65&amp;$W65,INDEX(単価表!$AY$64:$AY$71&amp;単価表!$AZ$64:$AZ$71,),),MATCH(内訳計算!AS$6,単価表!$AY$63:$CC$63,0))),0)*$Y65/25,0),0)</f>
        <v>0</v>
      </c>
      <c r="AT65" s="1021" cm="1">
        <f t="array" ref="AT65">IFERROR(IF(HLOOKUP($U65,加算と減算!$E$4:$P$10,6,FALSE)="○",IF(OR($U65=2,$U65=3),
INDEX(単価表!$AY$72:$CC$79,MATCH($V65&amp;$W65,INDEX(単価表!$AY$64:$AY$71&amp;単価表!$AZ$64:$AZ$71,),),MATCH(内訳計算!AT$6,単価表!$AY$63:$CC$63,0)),
INDEX(単価表!$AY$72:$CC$79,MATCH($V65&amp;$W65,INDEX(単価表!$AY$64:$AY$71&amp;単価表!$AZ$64:$AZ$71,),),MATCH(内訳計算!AT$6,単価表!$AY$63:$CC$63,0))),0),0)</f>
        <v>0</v>
      </c>
      <c r="AU65" s="1023" cm="1">
        <f t="array" ref="AU65">IFERROR(ROUNDDOWN(IF(HLOOKUP($U65,加算と減算!$E$4:$P$10,6,FALSE)="○",IF(OR($U65=2,$U65=3),
INDEX(単価表!$AY$72:$CC$79,MATCH($V65&amp;$W65,INDEX(単価表!$AY$64:$AY$71&amp;単価表!$AZ$64:$AZ$71,),),MATCH(内訳計算!AU$6,単価表!$AY$63:$CC$63,0)),
INDEX(単価表!$AY$72:$CC$79,MATCH($V65&amp;$W65,INDEX(単価表!$AY$64:$AY$71&amp;単価表!$AZ$64:$AZ$71,),),MATCH(内訳計算!AU$6,単価表!$AY$63:$CC$63,0))),0)*$Y65/25,0),0)</f>
        <v>0</v>
      </c>
      <c r="AV65" s="1021" cm="1">
        <f t="array" ref="AV65">IFERROR(IF(HLOOKUP($U65,加算と減算!$E$4:$P$10,7,FALSE)="○",IF(OR($U65=2,$U65=3),
INDEX(単価表!$AY$72:$CC$79,MATCH($V65&amp;$W65,INDEX(単価表!$AY$64:$AY$71&amp;単価表!$AZ$64:$AZ$71,),),MATCH(内訳計算!AV$6,単価表!$AY$63:$CC$63,0)),
INDEX(単価表!$AY$72:$CC$79,MATCH($V65&amp;$W65,INDEX(単価表!$AY$64:$AY$71&amp;単価表!$AZ$64:$AZ$71,),),MATCH(内訳計算!AV$6,単価表!$AY$63:$CC$63,0))),0),0)</f>
        <v>0</v>
      </c>
      <c r="AW65" s="1022" cm="1">
        <f t="array" ref="AW65">IFERROR(ROUNDDOWN(IF(HLOOKUP($U65,加算と減算!$E$4:$P$10,7,FALSE)="○",IF(OR($U65=2,$U65=3),
INDEX(単価表!$AY$72:$CC$79,MATCH($V65&amp;$W65,INDEX(単価表!$AY$64:$AY$71&amp;単価表!$AZ$64:$AZ$71,),),MATCH(内訳計算!AW$6,単価表!$AY$63:$CC$63,0)),
INDEX(単価表!$AY$72:$CC$79,MATCH($V65&amp;$W65,INDEX(単価表!$AY$64:$AY$71&amp;単価表!$AZ$64:$AZ$71,),),MATCH(内訳計算!AW$6,単価表!$AY$63:$CC$63,0))),0)*$Y65/25,0),0)</f>
        <v>0</v>
      </c>
      <c r="AX65" s="1022" cm="1">
        <f t="array" ref="AX65">IFERROR(ROUNDDOWN(IF(HLOOKUP($U65,加算と減算!$E$4:$P$10,7,FALSE)="○",IF(OR($U65=2,$U65=3),
INDEX(単価表!$AY$72:$CC$79,MATCH($V65&amp;$W65,INDEX(単価表!$AY$64:$AY$71&amp;単価表!$AZ$64:$AZ$71,),),MATCH(内訳計算!AX$6,単価表!$AY$63:$CC$63,0)),
INDEX(単価表!$AY$72:$CC$79,MATCH($V65&amp;$W65,INDEX(単価表!$AY$64:$AY$71&amp;単価表!$AZ$64:$AZ$71,),),MATCH(内訳計算!AX$6,単価表!$AY$63:$CC$63,0))),0)*$Y65/25,0),0)</f>
        <v>0</v>
      </c>
      <c r="AY65" s="1023" cm="1">
        <f t="array" ref="AY65">IFERROR(ROUNDDOWN(IF(HLOOKUP($U65,加算と減算!$E$4:$P$10,7,FALSE)="○",IF(OR($U65=2,$U65=3),
INDEX(単価表!$AY$72:$CC$79,MATCH($V65&amp;$W65,INDEX(単価表!$AY$64:$AY$71&amp;単価表!$AZ$64:$AZ$71,),),MATCH(内訳計算!AY$6,単価表!$AY$63:$CC$63,0)),
INDEX(単価表!$AY$72:$CC$79,MATCH($V65&amp;$W65,INDEX(単価表!$AY$64:$AY$71&amp;単価表!$AZ$64:$AZ$71,),),MATCH(内訳計算!AY$6,単価表!$AY$63:$CC$63,0))),0)*$Y65/25,0),0)</f>
        <v>0</v>
      </c>
      <c r="AZ65" s="1021" cm="1">
        <f t="array" ref="AZ65">IFERROR(IF(X65="○",INDEX(単価表!$AY$72:$CC$79,MATCH($V65&amp;$W65,INDEX(単価表!$AY$64:$AY$71&amp;単価表!$AZ$64:$AZ$71,),),MATCH(内訳計算!AZ$6,単価表!$AY$63:$CC$63,0)),0),0)</f>
        <v>0</v>
      </c>
      <c r="BA65" s="1023" cm="1">
        <f t="array" ref="BA65">IFERROR(ROUNDDOWN(INDEX(単価表!$AY$72:$CC$79,MATCH($V65&amp;$W65,INDEX(単価表!$AY$64:$AY$71&amp;単価表!$AZ$64:$AZ$71,),),MATCH(内訳計算!BA$6,単価表!$AY$63:$CC$63,0))*$Y65/25,0),0)</f>
        <v>0</v>
      </c>
      <c r="BB65" s="1021" cm="1">
        <f t="array" ref="BB65">IFERROR(INDEX(単価表!$AY$72:$CC$79,MATCH($V65&amp;$W65,INDEX(単価表!$AY$64:$AY$71&amp;単価表!$AZ$64:$AZ$71,),),MATCH(内訳計算!BB$6,単価表!$AY$63:$CC$63,0)),0)</f>
        <v>0</v>
      </c>
      <c r="BC65" s="1023" cm="1">
        <f t="array" ref="BC65">IFERROR(ROUNDDOWN(INDEX(単価表!$AY$72:$CC$79,MATCH($V65&amp;$W65,INDEX(単価表!$AY$64:$AY$71&amp;単価表!$AZ$64:$AZ$71,),),MATCH(内訳計算!BC$6,単価表!$AY$63:$CC$63,0))*$Y65/25,0),0)</f>
        <v>0</v>
      </c>
      <c r="BD65" s="985">
        <f>IFERROR(IF(HLOOKUP($U65,加算と減算!$E$31:$P$32,2,FALSE)="○",IF(OR($U65=2,$U65=3),-(単価表!$AZ$23+単価表!$BA$23*基本情報!$G$7),-(単価表!$AZ$23+単価表!$BA$23*基本情報!$G$7)),0),0)</f>
        <v>0</v>
      </c>
      <c r="BE65" s="1007" t="e">
        <f t="shared" si="116"/>
        <v>#VALUE!</v>
      </c>
      <c r="BF65" s="1007" t="e">
        <f t="shared" si="117"/>
        <v>#VALUE!</v>
      </c>
      <c r="BG65" s="1030" t="e">
        <f t="shared" si="118"/>
        <v>#N/A</v>
      </c>
      <c r="BH65" s="1031">
        <f>IFERROR(IF(基本情報!$E$12&lt;&gt;"",-ROUNDDOWN((AA65+AE65+AH65+AL65)*基本情報!$H$13/100,-1),0),0)</f>
        <v>0</v>
      </c>
      <c r="BI65" s="1007" t="e">
        <f t="shared" si="119"/>
        <v>#VALUE!</v>
      </c>
      <c r="BJ65" s="1007" t="e">
        <f t="shared" si="120"/>
        <v>#VALUE!</v>
      </c>
      <c r="BK65" s="1008" t="e">
        <f t="shared" si="121"/>
        <v>#N/A</v>
      </c>
      <c r="BL65" s="1031">
        <f t="shared" si="122"/>
        <v>0</v>
      </c>
      <c r="BM65" s="1010" t="e">
        <f t="shared" si="123"/>
        <v>#VALUE!</v>
      </c>
      <c r="BN65" s="1010" t="e">
        <f t="shared" si="124"/>
        <v>#VALUE!</v>
      </c>
      <c r="BO65" s="1011" t="e">
        <f t="shared" si="125"/>
        <v>#N/A</v>
      </c>
      <c r="BP65" s="1009">
        <f>IFERROR(-ROUNDUP(SUM(AA65,AE65,AH65,AL65,AR65,AT65,AV65,BD65,BH65,BL65)*基本情報!$H$15/100,-1),0)</f>
        <v>0</v>
      </c>
      <c r="BQ65" s="1010" t="e">
        <f t="shared" si="126"/>
        <v>#VALUE!</v>
      </c>
      <c r="BR65" s="1010" t="e">
        <f t="shared" si="127"/>
        <v>#VALUE!</v>
      </c>
      <c r="BS65" s="1011" t="e">
        <f t="shared" si="128"/>
        <v>#N/A</v>
      </c>
      <c r="BT65" s="721"/>
      <c r="BU65" s="1043" t="e">
        <f t="shared" si="129"/>
        <v>#VALUE!</v>
      </c>
      <c r="BV65" s="1044" t="e">
        <f t="shared" si="130"/>
        <v>#VALUE!</v>
      </c>
      <c r="BW65" s="1044" t="e">
        <f t="shared" si="131"/>
        <v>#N/A</v>
      </c>
      <c r="BX65" s="1051">
        <f t="shared" si="132"/>
        <v>0</v>
      </c>
      <c r="BY65" s="1045">
        <f t="shared" si="133"/>
        <v>0</v>
      </c>
      <c r="CB65" s="1632"/>
      <c r="CC65" s="1423"/>
      <c r="CD65" s="1424" t="s">
        <v>43</v>
      </c>
      <c r="CE65" s="734" t="s">
        <v>169</v>
      </c>
      <c r="CF65" s="672">
        <f>'4月'!AQ44</f>
        <v>0</v>
      </c>
      <c r="CG65" s="672">
        <f>'5月'!AQ44</f>
        <v>0</v>
      </c>
      <c r="CH65" s="672">
        <f>'6月'!AQ44</f>
        <v>0</v>
      </c>
      <c r="CI65" s="672">
        <f>'7月'!AQ44</f>
        <v>0</v>
      </c>
      <c r="CJ65" s="672">
        <f>'8月'!AQ44</f>
        <v>0</v>
      </c>
      <c r="CK65" s="672">
        <f>'9月'!AQ44</f>
        <v>0</v>
      </c>
      <c r="CL65" s="672">
        <f>'10月'!AQ44</f>
        <v>0</v>
      </c>
      <c r="CM65" s="672">
        <f>'11月'!AQ44</f>
        <v>0</v>
      </c>
      <c r="CN65" s="672">
        <f>'12月'!AQ44</f>
        <v>0</v>
      </c>
      <c r="CO65" s="672">
        <f>'1月'!AQ44</f>
        <v>0</v>
      </c>
      <c r="CP65" s="672">
        <f>'2月'!AQ44</f>
        <v>0</v>
      </c>
      <c r="CQ65" s="756">
        <f>'3月'!AQ50</f>
        <v>0</v>
      </c>
      <c r="CR65" s="759">
        <f t="shared" si="108"/>
        <v>0</v>
      </c>
      <c r="CS65" s="1583"/>
      <c r="CT65" s="1614" t="s">
        <v>43</v>
      </c>
      <c r="CU65" s="1615"/>
      <c r="CV65" s="842" t="e">
        <f t="shared" si="109"/>
        <v>#VALUE!</v>
      </c>
      <c r="CW65" s="672" t="e">
        <f t="shared" si="110"/>
        <v>#VALUE!</v>
      </c>
      <c r="CX65" s="672" t="e">
        <f t="shared" si="111"/>
        <v>#N/A</v>
      </c>
      <c r="CY65" s="833" t="e">
        <f t="shared" si="112"/>
        <v>#VALUE!</v>
      </c>
      <c r="CZ65" s="1109"/>
      <c r="DC65" s="1669"/>
      <c r="DD65" s="1669"/>
      <c r="DE65" s="1669"/>
      <c r="DF65" s="1669"/>
      <c r="DG65" s="1669"/>
      <c r="DH65" s="1669"/>
      <c r="DI65" s="1669"/>
      <c r="DJ65" s="1669"/>
    </row>
    <row r="66" spans="1:114" ht="18.75">
      <c r="F66" s="664" t="s">
        <v>554</v>
      </c>
      <c r="T66" s="682">
        <v>5</v>
      </c>
      <c r="U66" s="918">
        <f>月途中入退所情報!D35</f>
        <v>0</v>
      </c>
      <c r="V66" s="918">
        <f>月途中入退所情報!H35</f>
        <v>0</v>
      </c>
      <c r="W66" s="918">
        <f>月途中入退所情報!G35</f>
        <v>0</v>
      </c>
      <c r="X66" s="945">
        <f>月途中入退所情報!I35</f>
        <v>0</v>
      </c>
      <c r="Y66" s="918">
        <f>月途中入退所情報!J35</f>
        <v>0</v>
      </c>
      <c r="Z66" s="840">
        <f t="shared" si="114"/>
        <v>0</v>
      </c>
      <c r="AA66" s="1021" cm="1">
        <f t="array" ref="AA66">IFERROR(IF(OR($U66=2,$U66=3),
INDEX(単価表!$AY$72:$CC$79,MATCH($V66&amp;$W66,INDEX(単価表!$AY$64:$AY$71&amp;単価表!$AZ$64:$AZ$71,),),MATCH(内訳計算!AA$6,単価表!$AY$63:$CC$63,0)),
INDEX(単価表!$AY$72:$CC$79,MATCH($V66&amp;$W66,INDEX(単価表!$AY$64:$AY$71&amp;単価表!$AZ$64:$AZ$71,),),MATCH(内訳計算!AA$6,単価表!$AY$63:$CC$63,0))),0)</f>
        <v>0</v>
      </c>
      <c r="AB66" s="1022" t="e">
        <f t="shared" si="115"/>
        <v>#VALUE!</v>
      </c>
      <c r="AC66" s="1022" cm="1">
        <f t="array" ref="AC66">IFERROR(ROUNDDOWN(IF(OR($U66=2,$U66=3),
INDEX(単価表!$AY$72:$CC$79,MATCH($V66&amp;$W66,INDEX(単価表!$AY$64:$AY$71&amp;単価表!$AZ$64:$AZ$71,),),MATCH(内訳計算!AC$6,単価表!$AY$63:$CC$63,0)),
INDEX(単価表!$AY$72:$CC$79,MATCH($V66&amp;$W66,INDEX(単価表!$AY$64:$AY$71&amp;単価表!$AZ$64:$AZ$71,),),MATCH(内訳計算!AC$6,単価表!$AY$63:$CC$63,0)))*$Y66/25,0),0)</f>
        <v>0</v>
      </c>
      <c r="AD66" s="1023" cm="1">
        <f t="array" ref="AD66">IFERROR(ROUNDDOWN(IF(OR($U66=2,$U66=3),
INDEX(単価表!$AY$72:$CC$79,MATCH($V66&amp;$W66,INDEX(単価表!$AY$64:$AY$71&amp;単価表!$AZ$64:$AZ$71,),),MATCH(内訳計算!AD$6,単価表!$AY$63:$CC$63,0)),
INDEX(単価表!$AY$72:$CC$79,MATCH($V66&amp;$W66,INDEX(単価表!$AY$64:$AY$71&amp;単価表!$AZ$64:$AZ$71,),),MATCH(内訳計算!AD$6,単価表!$AY$63:$CC$63,0)))*$Y66/25,0),0)</f>
        <v>0</v>
      </c>
      <c r="AE66" s="1021" cm="1">
        <f t="array" ref="AE66">IFERROR(IF(OR($U66=2,$U66=3),
INDEX(単価表!$AY$72:$CC$79,MATCH($V66&amp;$W66,INDEX(単価表!$AY$64:$AY$71&amp;単価表!$AZ$64:$AZ$71,),),MATCH(内訳計算!AE$6,単価表!$AY$63:$CC$63,0)),
INDEX(単価表!$AY$72:$CC$79,MATCH($V66&amp;$W66,INDEX(単価表!$AY$64:$AY$71&amp;単価表!$AZ$64:$AZ$71,),),MATCH(内訳計算!AE$6,単価表!$AY$63:$CC$63,0))),0)</f>
        <v>0</v>
      </c>
      <c r="AF66" s="1022" cm="1">
        <f t="array" ref="AF66">IFERROR(ROUNDDOWN(IF(OR($U66=2,$U66=3),
INDEX(単価表!$AY$72:$CC$79,MATCH($V66&amp;$W66,INDEX(単価表!$AY$64:$AY$71&amp;単価表!$AZ$64:$AZ$71,),),MATCH(内訳計算!AF$6,単価表!$AY$63:$CC$63,0)),
INDEX(単価表!$AY$72:$CC$79,MATCH($V66&amp;$W66,INDEX(単価表!$AY$64:$AY$71&amp;単価表!$AZ$64:$AZ$71,),),MATCH(内訳計算!AF$6,単価表!$AY$63:$CC$63,0)))*$Y66/25,0),0)</f>
        <v>0</v>
      </c>
      <c r="AG66" s="1023" cm="1">
        <f t="array" ref="AG66">IFERROR(ROUNDDOWN(IF(OR($U66=2,$U66=3),
INDEX(単価表!$AY$72:$CC$79,MATCH($V66&amp;$W66,INDEX(単価表!$AY$64:$AY$71&amp;単価表!$AZ$64:$AZ$71,),),MATCH(内訳計算!AG$6,単価表!$AY$63:$CC$63,0)),
INDEX(単価表!$AY$72:$CC$79,MATCH($V66&amp;$W66,INDEX(単価表!$AY$64:$AY$71&amp;単価表!$AZ$64:$AZ$71,),),MATCH(内訳計算!AG$6,単価表!$AY$63:$CC$63,0)))*$Y66/25,0),0)</f>
        <v>0</v>
      </c>
      <c r="AH66" s="1021" cm="1">
        <f t="array" ref="AH66">IFERROR(IF(HLOOKUP($U66,加算と減算!$E$4:$P$10,2,FALSE)="○",IF(OR($U66=2,$U66=3),
INDEX(単価表!$AY$72:$CC$79,MATCH($V66&amp;$W66,INDEX(単価表!$AY$64:$AY$71&amp;単価表!$AZ$64:$AZ$71,),),MATCH(内訳計算!AH$6,単価表!$AY$63:$CC$63,0)),
INDEX(単価表!$AY$72:$CC$79,MATCH($V66&amp;$W66,INDEX(単価表!$AY$64:$AY$71&amp;単価表!$AZ$64:$AZ$71,),),MATCH(内訳計算!AH$6,単価表!$AY$63:$CC$63,0))),0),0)</f>
        <v>0</v>
      </c>
      <c r="AI66" s="1024" cm="1">
        <f t="array" ref="AI66">IFERROR(ROUNDDOWN(IF(HLOOKUP($U66,加算と減算!$E$4:$P$10,2,FALSE)="○",IF(OR($U66=2,$U66=3),
INDEX(単価表!$AY$72:$CC$79,MATCH($V66&amp;$W66,INDEX(単価表!$AY$64:$AY$71&amp;単価表!$AZ$64:$AZ$71,),),MATCH(内訳計算!AI$6,単価表!$AY$63:$CC$63,0)),
INDEX(単価表!$AY$72:$CC$79,MATCH($V66&amp;$W66,INDEX(単価表!$AY$64:$AY$71&amp;単価表!$AZ$64:$AZ$71,),),MATCH(内訳計算!AI$6,単価表!$AY$63:$CC$63,0))),0)*$Y66/25,0),0)</f>
        <v>0</v>
      </c>
      <c r="AJ66" s="1022" cm="1">
        <f t="array" ref="AJ66">IFERROR(ROUNDDOWN(IF(HLOOKUP($U66,加算と減算!$E$4:$P$10,2,FALSE)="○",IF(OR($U66=2,$U66=3),
INDEX(単価表!$AY$72:$CC$79,MATCH($V66&amp;$W66,INDEX(単価表!$AY$64:$AY$71&amp;単価表!$AZ$64:$AZ$71,),),MATCH(内訳計算!AJ$6,単価表!$AY$63:$CC$63,0)),
INDEX(単価表!$AY$72:$CC$79,MATCH($V66&amp;$W66,INDEX(単価表!$AY$64:$AY$71&amp;単価表!$AZ$64:$AZ$71,),),MATCH(内訳計算!AJ$6,単価表!$AY$63:$CC$63,0))),0)*$Y66/25,0),0)</f>
        <v>0</v>
      </c>
      <c r="AK66" s="1023" cm="1">
        <f t="array" ref="AK66">IFERROR(ROUNDDOWN(IF(HLOOKUP($U66,加算と減算!$E$4:$P$10,2,FALSE)="○",IF(OR($U66=2,$U66=3),
INDEX(単価表!$AY$72:$CC$79,MATCH($V66&amp;$W66,INDEX(単価表!$AY$64:$AY$71&amp;単価表!$AZ$64:$AZ$71,),),MATCH(内訳計算!AK$6,単価表!$AY$63:$CC$63,0)),
INDEX(単価表!$AY$72:$CC$79,MATCH($V66&amp;$W66,INDEX(単価表!$AY$64:$AY$71&amp;単価表!$AZ$64:$AZ$71,),),MATCH(内訳計算!AK$6,単価表!$AY$63:$CC$63,0))),0)*$Y66/25,0),0)</f>
        <v>0</v>
      </c>
      <c r="AL66" s="1021" cm="1">
        <f t="array" ref="AL66">IFERROR(IF(HLOOKUP($U66,加算と減算!$E$4:$P$10,4,FALSE)="○",IF(OR($U66=2,$U66=3),
INDEX(単価表!$AY$72:$CC$79,MATCH($V66&amp;$W66,INDEX(単価表!$AY$64:$AY$71&amp;単価表!$AZ$64:$AZ$71,),),MATCH(内訳計算!AL$6,単価表!$AY$63:$CC$63,0)),
INDEX(単価表!$AY$72:$CC$79,MATCH($V66&amp;$W66,INDEX(単価表!$AY$64:$AY$71&amp;単価表!$AZ$64:$AZ$71,),),MATCH(内訳計算!AL$6,単価表!$AY$63:$CC$63,0))),0),0)</f>
        <v>0</v>
      </c>
      <c r="AM66" s="1022" cm="1">
        <f t="array" ref="AM66">IFERROR(ROUNDDOWN(IF(HLOOKUP($U66,加算と減算!$E$4:$P$10,4,FALSE)="○",IF(OR($U66=2,$U66=3),
INDEX(単価表!$AY$72:$CC$79,MATCH($V66&amp;$W66,INDEX(単価表!$AY$64:$AY$71&amp;単価表!$AZ$64:$AZ$71,),),MATCH(内訳計算!AM$6,単価表!$AY$63:$CC$63,0)),
INDEX(単価表!$AY$72:$CC$79,MATCH($V66&amp;$W66,INDEX(単価表!$AY$64:$AY$71&amp;単価表!$AZ$64:$AZ$71,),),MATCH(内訳計算!AM$6,単価表!$AY$63:$CC$63,0))),0)*$Y66/25,0),0)</f>
        <v>0</v>
      </c>
      <c r="AN66" s="1022" cm="1">
        <f t="array" ref="AN66">IFERROR(ROUNDDOWN(IF(HLOOKUP($U66,加算と減算!$E$4:$P$10,4,FALSE)="○",IF(OR($U66=2,$U66=3),
INDEX(単価表!$AY$72:$CC$79,MATCH($V66&amp;$W66,INDEX(単価表!$AY$64:$AY$71&amp;単価表!$AZ$64:$AZ$71,),),MATCH(内訳計算!AN$6,単価表!$AY$63:$CC$63,0)),
INDEX(単価表!$AY$72:$CC$79,MATCH($V66&amp;$W66,INDEX(単価表!$AY$64:$AY$71&amp;単価表!$AZ$64:$AZ$71,),),MATCH(内訳計算!AN$6,単価表!$AY$63:$CC$63,0))),0)*$Y66/25,0),0)</f>
        <v>0</v>
      </c>
      <c r="AO66" s="1022" cm="1">
        <f t="array" ref="AO66">IFERROR(ROUNDDOWN(IF(HLOOKUP($U66,加算と減算!$E$4:$P$10,4,FALSE)="○",IF(OR($U66=2,$U66=3),
INDEX(単価表!$AY$72:$CC$79,MATCH($V66&amp;$W66,INDEX(単価表!$AY$64:$AY$71&amp;単価表!$AZ$64:$AZ$71,),),MATCH(内訳計算!AO$6,単価表!$AY$63:$CC$63,0)),
INDEX(単価表!$AY$72:$CC$79,MATCH($V66&amp;$W66,INDEX(単価表!$AY$64:$AY$71&amp;単価表!$AZ$64:$AZ$71,),),MATCH(内訳計算!AO$6,単価表!$AY$63:$CC$63,0))),0)*$Y66/25,0),0)</f>
        <v>0</v>
      </c>
      <c r="AP66" s="1022" cm="1">
        <f t="array" ref="AP66">IFERROR(ROUNDDOWN(IF(HLOOKUP($U66,加算と減算!$E$4:$P$10,4,FALSE)="○",IF(OR($U66=2,$U66=3),
INDEX(単価表!$AY$72:$CC$79,MATCH($V66&amp;$W66,INDEX(単価表!$AY$64:$AY$71&amp;単価表!$AZ$64:$AZ$71,),),MATCH(内訳計算!AP$6,単価表!$AY$63:$CC$63,0)),
INDEX(単価表!$AY$72:$CC$79,MATCH($V66&amp;$W66,INDEX(単価表!$AY$64:$AY$71&amp;単価表!$AZ$64:$AZ$71,),),MATCH(内訳計算!AP$6,単価表!$AY$63:$CC$63,0))),0)*$Y66/25,0),0)</f>
        <v>0</v>
      </c>
      <c r="AQ66" s="1023" cm="1">
        <f t="array" ref="AQ66">IFERROR(ROUNDDOWN(IF(HLOOKUP($U66,加算と減算!$E$4:$P$10,4,FALSE)="○",IF(OR($U66=2,$U66=3),
INDEX(単価表!$AY$72:$CC$79,MATCH($V66&amp;$W66,INDEX(単価表!$AY$64:$AY$71&amp;単価表!$AZ$64:$AZ$71,),),MATCH(内訳計算!AQ$6,単価表!$AY$63:$CC$63,0)),
INDEX(単価表!$AY$72:$CC$79,MATCH($V66&amp;$W66,INDEX(単価表!$AY$64:$AY$71&amp;単価表!$AZ$64:$AZ$71,),),MATCH(内訳計算!AQ$6,単価表!$AY$63:$CC$63,0))),0)*$Y66/25,0),0)</f>
        <v>0</v>
      </c>
      <c r="AR66" s="1021" cm="1">
        <f t="array" ref="AR66">IFERROR(IF(HLOOKUP($U66,加算と減算!$E$4:$P$10,5,FALSE)="○",IF(OR($U66=2,$U66=3),
INDEX(単価表!$AY$72:$CC$79,MATCH($V66&amp;$W66,INDEX(単価表!$AY$64:$AY$71&amp;単価表!$AZ$64:$AZ$71,),),MATCH(内訳計算!AR$6,単価表!$AY$63:$CC$63,0)),
INDEX(単価表!$AY$72:$CC$79,MATCH($V66&amp;$W66,INDEX(単価表!$AY$64:$AY$71&amp;単価表!$AZ$64:$AZ$71,),),MATCH(内訳計算!AR$6,単価表!$AY$63:$CC$63,0))),0),0)</f>
        <v>0</v>
      </c>
      <c r="AS66" s="1023" cm="1">
        <f t="array" ref="AS66">IFERROR(ROUNDDOWN(IF(HLOOKUP($U66,加算と減算!$E$4:$P$10,5,FALSE)="○",IF(OR($U66=2,$U66=3),
INDEX(単価表!$AY$72:$CC$79,MATCH($V66&amp;$W66,INDEX(単価表!$AY$64:$AY$71&amp;単価表!$AZ$64:$AZ$71,),),MATCH(内訳計算!AS$6,単価表!$AY$63:$CC$63,0)),
INDEX(単価表!$AY$72:$CC$79,MATCH($V66&amp;$W66,INDEX(単価表!$AY$64:$AY$71&amp;単価表!$AZ$64:$AZ$71,),),MATCH(内訳計算!AS$6,単価表!$AY$63:$CC$63,0))),0)*$Y66/25,0),0)</f>
        <v>0</v>
      </c>
      <c r="AT66" s="1021" cm="1">
        <f t="array" ref="AT66">IFERROR(IF(HLOOKUP($U66,加算と減算!$E$4:$P$10,6,FALSE)="○",IF(OR($U66=2,$U66=3),
INDEX(単価表!$AY$72:$CC$79,MATCH($V66&amp;$W66,INDEX(単価表!$AY$64:$AY$71&amp;単価表!$AZ$64:$AZ$71,),),MATCH(内訳計算!AT$6,単価表!$AY$63:$CC$63,0)),
INDEX(単価表!$AY$72:$CC$79,MATCH($V66&amp;$W66,INDEX(単価表!$AY$64:$AY$71&amp;単価表!$AZ$64:$AZ$71,),),MATCH(内訳計算!AT$6,単価表!$AY$63:$CC$63,0))),0),0)</f>
        <v>0</v>
      </c>
      <c r="AU66" s="1023" cm="1">
        <f t="array" ref="AU66">IFERROR(ROUNDDOWN(IF(HLOOKUP($U66,加算と減算!$E$4:$P$10,6,FALSE)="○",IF(OR($U66=2,$U66=3),
INDEX(単価表!$AY$72:$CC$79,MATCH($V66&amp;$W66,INDEX(単価表!$AY$64:$AY$71&amp;単価表!$AZ$64:$AZ$71,),),MATCH(内訳計算!AU$6,単価表!$AY$63:$CC$63,0)),
INDEX(単価表!$AY$72:$CC$79,MATCH($V66&amp;$W66,INDEX(単価表!$AY$64:$AY$71&amp;単価表!$AZ$64:$AZ$71,),),MATCH(内訳計算!AU$6,単価表!$AY$63:$CC$63,0))),0)*$Y66/25,0),0)</f>
        <v>0</v>
      </c>
      <c r="AV66" s="1021" cm="1">
        <f t="array" ref="AV66">IFERROR(IF(HLOOKUP($U66,加算と減算!$E$4:$P$10,7,FALSE)="○",IF(OR($U66=2,$U66=3),
INDEX(単価表!$AY$72:$CC$79,MATCH($V66&amp;$W66,INDEX(単価表!$AY$64:$AY$71&amp;単価表!$AZ$64:$AZ$71,),),MATCH(内訳計算!AV$6,単価表!$AY$63:$CC$63,0)),
INDEX(単価表!$AY$72:$CC$79,MATCH($V66&amp;$W66,INDEX(単価表!$AY$64:$AY$71&amp;単価表!$AZ$64:$AZ$71,),),MATCH(内訳計算!AV$6,単価表!$AY$63:$CC$63,0))),0),0)</f>
        <v>0</v>
      </c>
      <c r="AW66" s="1022" cm="1">
        <f t="array" ref="AW66">IFERROR(ROUNDDOWN(IF(HLOOKUP($U66,加算と減算!$E$4:$P$10,7,FALSE)="○",IF(OR($U66=2,$U66=3),
INDEX(単価表!$AY$72:$CC$79,MATCH($V66&amp;$W66,INDEX(単価表!$AY$64:$AY$71&amp;単価表!$AZ$64:$AZ$71,),),MATCH(内訳計算!AW$6,単価表!$AY$63:$CC$63,0)),
INDEX(単価表!$AY$72:$CC$79,MATCH($V66&amp;$W66,INDEX(単価表!$AY$64:$AY$71&amp;単価表!$AZ$64:$AZ$71,),),MATCH(内訳計算!AW$6,単価表!$AY$63:$CC$63,0))),0)*$Y66/25,0),0)</f>
        <v>0</v>
      </c>
      <c r="AX66" s="1022" cm="1">
        <f t="array" ref="AX66">IFERROR(ROUNDDOWN(IF(HLOOKUP($U66,加算と減算!$E$4:$P$10,7,FALSE)="○",IF(OR($U66=2,$U66=3),
INDEX(単価表!$AY$72:$CC$79,MATCH($V66&amp;$W66,INDEX(単価表!$AY$64:$AY$71&amp;単価表!$AZ$64:$AZ$71,),),MATCH(内訳計算!AX$6,単価表!$AY$63:$CC$63,0)),
INDEX(単価表!$AY$72:$CC$79,MATCH($V66&amp;$W66,INDEX(単価表!$AY$64:$AY$71&amp;単価表!$AZ$64:$AZ$71,),),MATCH(内訳計算!AX$6,単価表!$AY$63:$CC$63,0))),0)*$Y66/25,0),0)</f>
        <v>0</v>
      </c>
      <c r="AY66" s="1023" cm="1">
        <f t="array" ref="AY66">IFERROR(ROUNDDOWN(IF(HLOOKUP($U66,加算と減算!$E$4:$P$10,7,FALSE)="○",IF(OR($U66=2,$U66=3),
INDEX(単価表!$AY$72:$CC$79,MATCH($V66&amp;$W66,INDEX(単価表!$AY$64:$AY$71&amp;単価表!$AZ$64:$AZ$71,),),MATCH(内訳計算!AY$6,単価表!$AY$63:$CC$63,0)),
INDEX(単価表!$AY$72:$CC$79,MATCH($V66&amp;$W66,INDEX(単価表!$AY$64:$AY$71&amp;単価表!$AZ$64:$AZ$71,),),MATCH(内訳計算!AY$6,単価表!$AY$63:$CC$63,0))),0)*$Y66/25,0),0)</f>
        <v>0</v>
      </c>
      <c r="AZ66" s="1021" cm="1">
        <f t="array" ref="AZ66">IFERROR(IF(X66="○",INDEX(単価表!$AY$72:$CC$79,MATCH($V66&amp;$W66,INDEX(単価表!$AY$64:$AY$71&amp;単価表!$AZ$64:$AZ$71,),),MATCH(内訳計算!AZ$6,単価表!$AY$63:$CC$63,0)),0),0)</f>
        <v>0</v>
      </c>
      <c r="BA66" s="1023" cm="1">
        <f t="array" ref="BA66">IFERROR(ROUNDDOWN(INDEX(単価表!$AY$72:$CC$79,MATCH($V66&amp;$W66,INDEX(単価表!$AY$64:$AY$71&amp;単価表!$AZ$64:$AZ$71,),),MATCH(内訳計算!BA$6,単価表!$AY$63:$CC$63,0))*$Y66/25,0),0)</f>
        <v>0</v>
      </c>
      <c r="BB66" s="1021" cm="1">
        <f t="array" ref="BB66">IFERROR(INDEX(単価表!$AY$72:$CC$79,MATCH($V66&amp;$W66,INDEX(単価表!$AY$64:$AY$71&amp;単価表!$AZ$64:$AZ$71,),),MATCH(内訳計算!BB$6,単価表!$AY$63:$CC$63,0)),0)</f>
        <v>0</v>
      </c>
      <c r="BC66" s="1023" cm="1">
        <f t="array" ref="BC66">IFERROR(ROUNDDOWN(INDEX(単価表!$AY$72:$CC$79,MATCH($V66&amp;$W66,INDEX(単価表!$AY$64:$AY$71&amp;単価表!$AZ$64:$AZ$71,),),MATCH(内訳計算!BC$6,単価表!$AY$63:$CC$63,0))*$Y66/25,0),0)</f>
        <v>0</v>
      </c>
      <c r="BD66" s="985">
        <f>IFERROR(IF(HLOOKUP($U66,加算と減算!$E$31:$P$32,2,FALSE)="○",IF(OR($U66=2,$U66=3),-(単価表!$AZ$23+単価表!$BA$23*基本情報!$G$7),-(単価表!$AZ$23+単価表!$BA$23*基本情報!$G$7)),0),0)</f>
        <v>0</v>
      </c>
      <c r="BE66" s="1007" t="e">
        <f t="shared" si="116"/>
        <v>#VALUE!</v>
      </c>
      <c r="BF66" s="1007" t="e">
        <f t="shared" si="117"/>
        <v>#VALUE!</v>
      </c>
      <c r="BG66" s="1030" t="e">
        <f t="shared" si="118"/>
        <v>#N/A</v>
      </c>
      <c r="BH66" s="1031">
        <f>IFERROR(IF(基本情報!$E$12&lt;&gt;"",-ROUNDDOWN((AA66+AE66+AH66+AL66)*基本情報!$H$13/100,-1),0),0)</f>
        <v>0</v>
      </c>
      <c r="BI66" s="1007" t="e">
        <f t="shared" si="119"/>
        <v>#VALUE!</v>
      </c>
      <c r="BJ66" s="1007" t="e">
        <f t="shared" si="120"/>
        <v>#VALUE!</v>
      </c>
      <c r="BK66" s="1008" t="e">
        <f t="shared" si="121"/>
        <v>#N/A</v>
      </c>
      <c r="BL66" s="1031">
        <f t="shared" si="122"/>
        <v>0</v>
      </c>
      <c r="BM66" s="1007" t="e">
        <f t="shared" si="123"/>
        <v>#VALUE!</v>
      </c>
      <c r="BN66" s="1007" t="e">
        <f t="shared" si="124"/>
        <v>#VALUE!</v>
      </c>
      <c r="BO66" s="1008" t="e">
        <f t="shared" si="125"/>
        <v>#N/A</v>
      </c>
      <c r="BP66" s="1006">
        <f>IFERROR(-ROUNDUP(SUM(AA66,AE66,AH66,AL66,AR66,AT66,AV66,BD66,BH66,BL66)*基本情報!$H$15/100,-1),0)</f>
        <v>0</v>
      </c>
      <c r="BQ66" s="1007" t="e">
        <f t="shared" si="126"/>
        <v>#VALUE!</v>
      </c>
      <c r="BR66" s="1007" t="e">
        <f t="shared" si="127"/>
        <v>#VALUE!</v>
      </c>
      <c r="BS66" s="1008" t="e">
        <f t="shared" si="128"/>
        <v>#N/A</v>
      </c>
      <c r="BT66" s="721"/>
      <c r="BU66" s="1043" t="e">
        <f t="shared" si="129"/>
        <v>#VALUE!</v>
      </c>
      <c r="BV66" s="1044" t="e">
        <f t="shared" si="130"/>
        <v>#VALUE!</v>
      </c>
      <c r="BW66" s="1044" t="e">
        <f t="shared" si="131"/>
        <v>#N/A</v>
      </c>
      <c r="BX66" s="1051">
        <f t="shared" si="132"/>
        <v>0</v>
      </c>
      <c r="BY66" s="1045">
        <f t="shared" si="133"/>
        <v>0</v>
      </c>
      <c r="CB66" s="1632"/>
      <c r="CC66" s="1423"/>
      <c r="CD66" s="1424"/>
      <c r="CE66" s="734" t="s">
        <v>167</v>
      </c>
      <c r="CF66" s="672">
        <f>'4月'!AQ45</f>
        <v>0</v>
      </c>
      <c r="CG66" s="672">
        <f>'5月'!AQ45</f>
        <v>0</v>
      </c>
      <c r="CH66" s="672">
        <f>'6月'!AQ45</f>
        <v>0</v>
      </c>
      <c r="CI66" s="672">
        <f>'7月'!AQ45</f>
        <v>0</v>
      </c>
      <c r="CJ66" s="672">
        <f>'8月'!AQ45</f>
        <v>0</v>
      </c>
      <c r="CK66" s="672">
        <f>'9月'!AQ45</f>
        <v>0</v>
      </c>
      <c r="CL66" s="672">
        <f>'10月'!AQ45</f>
        <v>0</v>
      </c>
      <c r="CM66" s="672">
        <f>'11月'!AQ45</f>
        <v>0</v>
      </c>
      <c r="CN66" s="672">
        <f>'12月'!AQ45</f>
        <v>0</v>
      </c>
      <c r="CO66" s="672">
        <f>'1月'!AQ45</f>
        <v>0</v>
      </c>
      <c r="CP66" s="672">
        <f>'2月'!AQ45</f>
        <v>0</v>
      </c>
      <c r="CQ66" s="756">
        <f>'3月'!AQ51</f>
        <v>0</v>
      </c>
      <c r="CR66" s="759">
        <f t="shared" si="108"/>
        <v>0</v>
      </c>
      <c r="CS66" s="1583"/>
      <c r="CT66" s="1614"/>
      <c r="CU66" s="1615"/>
      <c r="CV66" s="842" t="e">
        <f t="shared" si="109"/>
        <v>#VALUE!</v>
      </c>
      <c r="CW66" s="672" t="e">
        <f t="shared" si="110"/>
        <v>#VALUE!</v>
      </c>
      <c r="CX66" s="672" t="e">
        <f t="shared" si="111"/>
        <v>#N/A</v>
      </c>
      <c r="CY66" s="833" t="e">
        <f t="shared" si="112"/>
        <v>#VALUE!</v>
      </c>
      <c r="CZ66" s="1109"/>
      <c r="DC66" s="1035" t="s">
        <v>695</v>
      </c>
      <c r="DD66" s="1071"/>
      <c r="DE66" s="1071"/>
      <c r="DF66" s="1071"/>
      <c r="DG66" s="1071"/>
      <c r="DH66" s="1071"/>
      <c r="DI66" s="1071"/>
      <c r="DJ66" s="1071"/>
    </row>
    <row r="67" spans="1:114" ht="16.5" customHeight="1">
      <c r="F67" s="664" t="s">
        <v>555</v>
      </c>
      <c r="T67" s="682">
        <v>6</v>
      </c>
      <c r="U67" s="918">
        <f>月途中入退所情報!D36</f>
        <v>0</v>
      </c>
      <c r="V67" s="918">
        <f>月途中入退所情報!H36</f>
        <v>0</v>
      </c>
      <c r="W67" s="918">
        <f>月途中入退所情報!G36</f>
        <v>0</v>
      </c>
      <c r="X67" s="945">
        <f>月途中入退所情報!I36</f>
        <v>0</v>
      </c>
      <c r="Y67" s="918">
        <f>月途中入退所情報!J36</f>
        <v>0</v>
      </c>
      <c r="Z67" s="993">
        <f t="shared" si="114"/>
        <v>0</v>
      </c>
      <c r="AA67" s="1021" cm="1">
        <f t="array" ref="AA67">IFERROR(IF(OR($U67=2,$U67=3),
INDEX(単価表!$AY$72:$CC$79,MATCH($V67&amp;$W67,INDEX(単価表!$AY$64:$AY$71&amp;単価表!$AZ$64:$AZ$71,),),MATCH(内訳計算!AA$6,単価表!$AY$63:$CC$63,0)),
INDEX(単価表!$AY$72:$CC$79,MATCH($V67&amp;$W67,INDEX(単価表!$AY$64:$AY$71&amp;単価表!$AZ$64:$AZ$71,),),MATCH(内訳計算!AA$6,単価表!$AY$63:$CC$63,0))),0)</f>
        <v>0</v>
      </c>
      <c r="AB67" s="1022" t="e">
        <f t="shared" si="115"/>
        <v>#VALUE!</v>
      </c>
      <c r="AC67" s="1022" cm="1">
        <f t="array" ref="AC67">IFERROR(ROUNDDOWN(IF(OR($U67=2,$U67=3),
INDEX(単価表!$AY$72:$CC$79,MATCH($V67&amp;$W67,INDEX(単価表!$AY$64:$AY$71&amp;単価表!$AZ$64:$AZ$71,),),MATCH(内訳計算!AC$6,単価表!$AY$63:$CC$63,0)),
INDEX(単価表!$AY$72:$CC$79,MATCH($V67&amp;$W67,INDEX(単価表!$AY$64:$AY$71&amp;単価表!$AZ$64:$AZ$71,),),MATCH(内訳計算!AC$6,単価表!$AY$63:$CC$63,0)))*$Y67/25,0),0)</f>
        <v>0</v>
      </c>
      <c r="AD67" s="1023" cm="1">
        <f t="array" ref="AD67">IFERROR(ROUNDDOWN(IF(OR($U67=2,$U67=3),
INDEX(単価表!$AY$72:$CC$79,MATCH($V67&amp;$W67,INDEX(単価表!$AY$64:$AY$71&amp;単価表!$AZ$64:$AZ$71,),),MATCH(内訳計算!AD$6,単価表!$AY$63:$CC$63,0)),
INDEX(単価表!$AY$72:$CC$79,MATCH($V67&amp;$W67,INDEX(単価表!$AY$64:$AY$71&amp;単価表!$AZ$64:$AZ$71,),),MATCH(内訳計算!AD$6,単価表!$AY$63:$CC$63,0)))*$Y67/25,0),0)</f>
        <v>0</v>
      </c>
      <c r="AE67" s="1021" cm="1">
        <f t="array" ref="AE67">IFERROR(IF(OR($U67=2,$U67=3),
INDEX(単価表!$AY$72:$CC$79,MATCH($V67&amp;$W67,INDEX(単価表!$AY$64:$AY$71&amp;単価表!$AZ$64:$AZ$71,),),MATCH(内訳計算!AE$6,単価表!$AY$63:$CC$63,0)),
INDEX(単価表!$AY$72:$CC$79,MATCH($V67&amp;$W67,INDEX(単価表!$AY$64:$AY$71&amp;単価表!$AZ$64:$AZ$71,),),MATCH(内訳計算!AE$6,単価表!$AY$63:$CC$63,0))),0)</f>
        <v>0</v>
      </c>
      <c r="AF67" s="1022" cm="1">
        <f t="array" ref="AF67">IFERROR(ROUNDDOWN(IF(OR($U67=2,$U67=3),
INDEX(単価表!$AY$72:$CC$79,MATCH($V67&amp;$W67,INDEX(単価表!$AY$64:$AY$71&amp;単価表!$AZ$64:$AZ$71,),),MATCH(内訳計算!AF$6,単価表!$AY$63:$CC$63,0)),
INDEX(単価表!$AY$72:$CC$79,MATCH($V67&amp;$W67,INDEX(単価表!$AY$64:$AY$71&amp;単価表!$AZ$64:$AZ$71,),),MATCH(内訳計算!AF$6,単価表!$AY$63:$CC$63,0)))*$Y67/25,0),0)</f>
        <v>0</v>
      </c>
      <c r="AG67" s="1023" cm="1">
        <f t="array" ref="AG67">IFERROR(ROUNDDOWN(IF(OR($U67=2,$U67=3),
INDEX(単価表!$AY$72:$CC$79,MATCH($V67&amp;$W67,INDEX(単価表!$AY$64:$AY$71&amp;単価表!$AZ$64:$AZ$71,),),MATCH(内訳計算!AG$6,単価表!$AY$63:$CC$63,0)),
INDEX(単価表!$AY$72:$CC$79,MATCH($V67&amp;$W67,INDEX(単価表!$AY$64:$AY$71&amp;単価表!$AZ$64:$AZ$71,),),MATCH(内訳計算!AG$6,単価表!$AY$63:$CC$63,0)))*$Y67/25,0),0)</f>
        <v>0</v>
      </c>
      <c r="AH67" s="1021" cm="1">
        <f t="array" ref="AH67">IFERROR(IF(HLOOKUP($U67,加算と減算!$E$4:$P$10,2,FALSE)="○",IF(OR($U67=2,$U67=3),
INDEX(単価表!$AY$72:$CC$79,MATCH($V67&amp;$W67,INDEX(単価表!$AY$64:$AY$71&amp;単価表!$AZ$64:$AZ$71,),),MATCH(内訳計算!AH$6,単価表!$AY$63:$CC$63,0)),
INDEX(単価表!$AY$72:$CC$79,MATCH($V67&amp;$W67,INDEX(単価表!$AY$64:$AY$71&amp;単価表!$AZ$64:$AZ$71,),),MATCH(内訳計算!AH$6,単価表!$AY$63:$CC$63,0))),0),0)</f>
        <v>0</v>
      </c>
      <c r="AI67" s="1024" cm="1">
        <f t="array" ref="AI67">IFERROR(ROUNDDOWN(IF(HLOOKUP($U67,加算と減算!$E$4:$P$10,2,FALSE)="○",IF(OR($U67=2,$U67=3),
INDEX(単価表!$AY$72:$CC$79,MATCH($V67&amp;$W67,INDEX(単価表!$AY$64:$AY$71&amp;単価表!$AZ$64:$AZ$71,),),MATCH(内訳計算!AI$6,単価表!$AY$63:$CC$63,0)),
INDEX(単価表!$AY$72:$CC$79,MATCH($V67&amp;$W67,INDEX(単価表!$AY$64:$AY$71&amp;単価表!$AZ$64:$AZ$71,),),MATCH(内訳計算!AI$6,単価表!$AY$63:$CC$63,0))),0)*$Y67/25,0),0)</f>
        <v>0</v>
      </c>
      <c r="AJ67" s="1022" cm="1">
        <f t="array" ref="AJ67">IFERROR(ROUNDDOWN(IF(HLOOKUP($U67,加算と減算!$E$4:$P$10,2,FALSE)="○",IF(OR($U67=2,$U67=3),
INDEX(単価表!$AY$72:$CC$79,MATCH($V67&amp;$W67,INDEX(単価表!$AY$64:$AY$71&amp;単価表!$AZ$64:$AZ$71,),),MATCH(内訳計算!AJ$6,単価表!$AY$63:$CC$63,0)),
INDEX(単価表!$AY$72:$CC$79,MATCH($V67&amp;$W67,INDEX(単価表!$AY$64:$AY$71&amp;単価表!$AZ$64:$AZ$71,),),MATCH(内訳計算!AJ$6,単価表!$AY$63:$CC$63,0))),0)*$Y67/25,0),0)</f>
        <v>0</v>
      </c>
      <c r="AK67" s="1023" cm="1">
        <f t="array" ref="AK67">IFERROR(ROUNDDOWN(IF(HLOOKUP($U67,加算と減算!$E$4:$P$10,2,FALSE)="○",IF(OR($U67=2,$U67=3),
INDEX(単価表!$AY$72:$CC$79,MATCH($V67&amp;$W67,INDEX(単価表!$AY$64:$AY$71&amp;単価表!$AZ$64:$AZ$71,),),MATCH(内訳計算!AK$6,単価表!$AY$63:$CC$63,0)),
INDEX(単価表!$AY$72:$CC$79,MATCH($V67&amp;$W67,INDEX(単価表!$AY$64:$AY$71&amp;単価表!$AZ$64:$AZ$71,),),MATCH(内訳計算!AK$6,単価表!$AY$63:$CC$63,0))),0)*$Y67/25,0),0)</f>
        <v>0</v>
      </c>
      <c r="AL67" s="1021" cm="1">
        <f t="array" ref="AL67">IFERROR(IF(HLOOKUP($U67,加算と減算!$E$4:$P$10,4,FALSE)="○",IF(OR($U67=2,$U67=3),
INDEX(単価表!$AY$72:$CC$79,MATCH($V67&amp;$W67,INDEX(単価表!$AY$64:$AY$71&amp;単価表!$AZ$64:$AZ$71,),),MATCH(内訳計算!AL$6,単価表!$AY$63:$CC$63,0)),
INDEX(単価表!$AY$72:$CC$79,MATCH($V67&amp;$W67,INDEX(単価表!$AY$64:$AY$71&amp;単価表!$AZ$64:$AZ$71,),),MATCH(内訳計算!AL$6,単価表!$AY$63:$CC$63,0))),0),0)</f>
        <v>0</v>
      </c>
      <c r="AM67" s="1022" cm="1">
        <f t="array" ref="AM67">IFERROR(ROUNDDOWN(IF(HLOOKUP($U67,加算と減算!$E$4:$P$10,4,FALSE)="○",IF(OR($U67=2,$U67=3),
INDEX(単価表!$AY$72:$CC$79,MATCH($V67&amp;$W67,INDEX(単価表!$AY$64:$AY$71&amp;単価表!$AZ$64:$AZ$71,),),MATCH(内訳計算!AM$6,単価表!$AY$63:$CC$63,0)),
INDEX(単価表!$AY$72:$CC$79,MATCH($V67&amp;$W67,INDEX(単価表!$AY$64:$AY$71&amp;単価表!$AZ$64:$AZ$71,),),MATCH(内訳計算!AM$6,単価表!$AY$63:$CC$63,0))),0)*$Y67/25,0),0)</f>
        <v>0</v>
      </c>
      <c r="AN67" s="1022" cm="1">
        <f t="array" ref="AN67">IFERROR(ROUNDDOWN(IF(HLOOKUP($U67,加算と減算!$E$4:$P$10,4,FALSE)="○",IF(OR($U67=2,$U67=3),
INDEX(単価表!$AY$72:$CC$79,MATCH($V67&amp;$W67,INDEX(単価表!$AY$64:$AY$71&amp;単価表!$AZ$64:$AZ$71,),),MATCH(内訳計算!AN$6,単価表!$AY$63:$CC$63,0)),
INDEX(単価表!$AY$72:$CC$79,MATCH($V67&amp;$W67,INDEX(単価表!$AY$64:$AY$71&amp;単価表!$AZ$64:$AZ$71,),),MATCH(内訳計算!AN$6,単価表!$AY$63:$CC$63,0))),0)*$Y67/25,0),0)</f>
        <v>0</v>
      </c>
      <c r="AO67" s="1022" cm="1">
        <f t="array" ref="AO67">IFERROR(ROUNDDOWN(IF(HLOOKUP($U67,加算と減算!$E$4:$P$10,4,FALSE)="○",IF(OR($U67=2,$U67=3),
INDEX(単価表!$AY$72:$CC$79,MATCH($V67&amp;$W67,INDEX(単価表!$AY$64:$AY$71&amp;単価表!$AZ$64:$AZ$71,),),MATCH(内訳計算!AO$6,単価表!$AY$63:$CC$63,0)),
INDEX(単価表!$AY$72:$CC$79,MATCH($V67&amp;$W67,INDEX(単価表!$AY$64:$AY$71&amp;単価表!$AZ$64:$AZ$71,),),MATCH(内訳計算!AO$6,単価表!$AY$63:$CC$63,0))),0)*$Y67/25,0),0)</f>
        <v>0</v>
      </c>
      <c r="AP67" s="1022" cm="1">
        <f t="array" ref="AP67">IFERROR(ROUNDDOWN(IF(HLOOKUP($U67,加算と減算!$E$4:$P$10,4,FALSE)="○",IF(OR($U67=2,$U67=3),
INDEX(単価表!$AY$72:$CC$79,MATCH($V67&amp;$W67,INDEX(単価表!$AY$64:$AY$71&amp;単価表!$AZ$64:$AZ$71,),),MATCH(内訳計算!AP$6,単価表!$AY$63:$CC$63,0)),
INDEX(単価表!$AY$72:$CC$79,MATCH($V67&amp;$W67,INDEX(単価表!$AY$64:$AY$71&amp;単価表!$AZ$64:$AZ$71,),),MATCH(内訳計算!AP$6,単価表!$AY$63:$CC$63,0))),0)*$Y67/25,0),0)</f>
        <v>0</v>
      </c>
      <c r="AQ67" s="1023" cm="1">
        <f t="array" ref="AQ67">IFERROR(ROUNDDOWN(IF(HLOOKUP($U67,加算と減算!$E$4:$P$10,4,FALSE)="○",IF(OR($U67=2,$U67=3),
INDEX(単価表!$AY$72:$CC$79,MATCH($V67&amp;$W67,INDEX(単価表!$AY$64:$AY$71&amp;単価表!$AZ$64:$AZ$71,),),MATCH(内訳計算!AQ$6,単価表!$AY$63:$CC$63,0)),
INDEX(単価表!$AY$72:$CC$79,MATCH($V67&amp;$W67,INDEX(単価表!$AY$64:$AY$71&amp;単価表!$AZ$64:$AZ$71,),),MATCH(内訳計算!AQ$6,単価表!$AY$63:$CC$63,0))),0)*$Y67/25,0),0)</f>
        <v>0</v>
      </c>
      <c r="AR67" s="1021" cm="1">
        <f t="array" ref="AR67">IFERROR(IF(HLOOKUP($U67,加算と減算!$E$4:$P$10,5,FALSE)="○",IF(OR($U67=2,$U67=3),
INDEX(単価表!$AY$72:$CC$79,MATCH($V67&amp;$W67,INDEX(単価表!$AY$64:$AY$71&amp;単価表!$AZ$64:$AZ$71,),),MATCH(内訳計算!AR$6,単価表!$AY$63:$CC$63,0)),
INDEX(単価表!$AY$72:$CC$79,MATCH($V67&amp;$W67,INDEX(単価表!$AY$64:$AY$71&amp;単価表!$AZ$64:$AZ$71,),),MATCH(内訳計算!AR$6,単価表!$AY$63:$CC$63,0))),0),0)</f>
        <v>0</v>
      </c>
      <c r="AS67" s="1023" cm="1">
        <f t="array" ref="AS67">IFERROR(ROUNDDOWN(IF(HLOOKUP($U67,加算と減算!$E$4:$P$10,5,FALSE)="○",IF(OR($U67=2,$U67=3),
INDEX(単価表!$AY$72:$CC$79,MATCH($V67&amp;$W67,INDEX(単価表!$AY$64:$AY$71&amp;単価表!$AZ$64:$AZ$71,),),MATCH(内訳計算!AS$6,単価表!$AY$63:$CC$63,0)),
INDEX(単価表!$AY$72:$CC$79,MATCH($V67&amp;$W67,INDEX(単価表!$AY$64:$AY$71&amp;単価表!$AZ$64:$AZ$71,),),MATCH(内訳計算!AS$6,単価表!$AY$63:$CC$63,0))),0)*$Y67/25,0),0)</f>
        <v>0</v>
      </c>
      <c r="AT67" s="1021" cm="1">
        <f t="array" ref="AT67">IFERROR(IF(HLOOKUP($U67,加算と減算!$E$4:$P$10,6,FALSE)="○",IF(OR($U67=2,$U67=3),
INDEX(単価表!$AY$72:$CC$79,MATCH($V67&amp;$W67,INDEX(単価表!$AY$64:$AY$71&amp;単価表!$AZ$64:$AZ$71,),),MATCH(内訳計算!AT$6,単価表!$AY$63:$CC$63,0)),
INDEX(単価表!$AY$72:$CC$79,MATCH($V67&amp;$W67,INDEX(単価表!$AY$64:$AY$71&amp;単価表!$AZ$64:$AZ$71,),),MATCH(内訳計算!AT$6,単価表!$AY$63:$CC$63,0))),0),0)</f>
        <v>0</v>
      </c>
      <c r="AU67" s="1023" cm="1">
        <f t="array" ref="AU67">IFERROR(ROUNDDOWN(IF(HLOOKUP($U67,加算と減算!$E$4:$P$10,6,FALSE)="○",IF(OR($U67=2,$U67=3),
INDEX(単価表!$AY$72:$CC$79,MATCH($V67&amp;$W67,INDEX(単価表!$AY$64:$AY$71&amp;単価表!$AZ$64:$AZ$71,),),MATCH(内訳計算!AU$6,単価表!$AY$63:$CC$63,0)),
INDEX(単価表!$AY$72:$CC$79,MATCH($V67&amp;$W67,INDEX(単価表!$AY$64:$AY$71&amp;単価表!$AZ$64:$AZ$71,),),MATCH(内訳計算!AU$6,単価表!$AY$63:$CC$63,0))),0)*$Y67/25,0),0)</f>
        <v>0</v>
      </c>
      <c r="AV67" s="1021" cm="1">
        <f t="array" ref="AV67">IFERROR(IF(HLOOKUP($U67,加算と減算!$E$4:$P$10,7,FALSE)="○",IF(OR($U67=2,$U67=3),
INDEX(単価表!$AY$72:$CC$79,MATCH($V67&amp;$W67,INDEX(単価表!$AY$64:$AY$71&amp;単価表!$AZ$64:$AZ$71,),),MATCH(内訳計算!AV$6,単価表!$AY$63:$CC$63,0)),
INDEX(単価表!$AY$72:$CC$79,MATCH($V67&amp;$W67,INDEX(単価表!$AY$64:$AY$71&amp;単価表!$AZ$64:$AZ$71,),),MATCH(内訳計算!AV$6,単価表!$AY$63:$CC$63,0))),0),0)</f>
        <v>0</v>
      </c>
      <c r="AW67" s="1022" cm="1">
        <f t="array" ref="AW67">IFERROR(ROUNDDOWN(IF(HLOOKUP($U67,加算と減算!$E$4:$P$10,7,FALSE)="○",IF(OR($U67=2,$U67=3),
INDEX(単価表!$AY$72:$CC$79,MATCH($V67&amp;$W67,INDEX(単価表!$AY$64:$AY$71&amp;単価表!$AZ$64:$AZ$71,),),MATCH(内訳計算!AW$6,単価表!$AY$63:$CC$63,0)),
INDEX(単価表!$AY$72:$CC$79,MATCH($V67&amp;$W67,INDEX(単価表!$AY$64:$AY$71&amp;単価表!$AZ$64:$AZ$71,),),MATCH(内訳計算!AW$6,単価表!$AY$63:$CC$63,0))),0)*$Y67/25,0),0)</f>
        <v>0</v>
      </c>
      <c r="AX67" s="1022" cm="1">
        <f t="array" ref="AX67">IFERROR(ROUNDDOWN(IF(HLOOKUP($U67,加算と減算!$E$4:$P$10,7,FALSE)="○",IF(OR($U67=2,$U67=3),
INDEX(単価表!$AY$72:$CC$79,MATCH($V67&amp;$W67,INDEX(単価表!$AY$64:$AY$71&amp;単価表!$AZ$64:$AZ$71,),),MATCH(内訳計算!AX$6,単価表!$AY$63:$CC$63,0)),
INDEX(単価表!$AY$72:$CC$79,MATCH($V67&amp;$W67,INDEX(単価表!$AY$64:$AY$71&amp;単価表!$AZ$64:$AZ$71,),),MATCH(内訳計算!AX$6,単価表!$AY$63:$CC$63,0))),0)*$Y67/25,0),0)</f>
        <v>0</v>
      </c>
      <c r="AY67" s="1023" cm="1">
        <f t="array" ref="AY67">IFERROR(ROUNDDOWN(IF(HLOOKUP($U67,加算と減算!$E$4:$P$10,7,FALSE)="○",IF(OR($U67=2,$U67=3),
INDEX(単価表!$AY$72:$CC$79,MATCH($V67&amp;$W67,INDEX(単価表!$AY$64:$AY$71&amp;単価表!$AZ$64:$AZ$71,),),MATCH(内訳計算!AY$6,単価表!$AY$63:$CC$63,0)),
INDEX(単価表!$AY$72:$CC$79,MATCH($V67&amp;$W67,INDEX(単価表!$AY$64:$AY$71&amp;単価表!$AZ$64:$AZ$71,),),MATCH(内訳計算!AY$6,単価表!$AY$63:$CC$63,0))),0)*$Y67/25,0),0)</f>
        <v>0</v>
      </c>
      <c r="AZ67" s="1021" cm="1">
        <f t="array" ref="AZ67">IFERROR(IF(X67="○",INDEX(単価表!$AY$72:$CC$79,MATCH($V67&amp;$W67,INDEX(単価表!$AY$64:$AY$71&amp;単価表!$AZ$64:$AZ$71,),),MATCH(内訳計算!AZ$6,単価表!$AY$63:$CC$63,0)),0),0)</f>
        <v>0</v>
      </c>
      <c r="BA67" s="1023" cm="1">
        <f t="array" ref="BA67">IFERROR(ROUNDDOWN(INDEX(単価表!$AY$72:$CC$79,MATCH($V67&amp;$W67,INDEX(単価表!$AY$64:$AY$71&amp;単価表!$AZ$64:$AZ$71,),),MATCH(内訳計算!BA$6,単価表!$AY$63:$CC$63,0))*$Y67/25,0),0)</f>
        <v>0</v>
      </c>
      <c r="BB67" s="1021" cm="1">
        <f t="array" ref="BB67">IFERROR(INDEX(単価表!$AY$72:$CC$79,MATCH($V67&amp;$W67,INDEX(単価表!$AY$64:$AY$71&amp;単価表!$AZ$64:$AZ$71,),),MATCH(内訳計算!BB$6,単価表!$AY$63:$CC$63,0)),0)</f>
        <v>0</v>
      </c>
      <c r="BC67" s="1023" cm="1">
        <f t="array" ref="BC67">IFERROR(ROUNDDOWN(INDEX(単価表!$AY$72:$CC$79,MATCH($V67&amp;$W67,INDEX(単価表!$AY$64:$AY$71&amp;単価表!$AZ$64:$AZ$71,),),MATCH(内訳計算!BC$6,単価表!$AY$63:$CC$63,0))*$Y67/25,0),0)</f>
        <v>0</v>
      </c>
      <c r="BD67" s="985">
        <f>IFERROR(IF(HLOOKUP($U67,加算と減算!$E$31:$P$32,2,FALSE)="○",IF(OR($U67=2,$U67=3),-(単価表!$AZ$23+単価表!$BA$23*基本情報!$G$7),-(単価表!$AZ$23+単価表!$BA$23*基本情報!$G$7)),0),0)</f>
        <v>0</v>
      </c>
      <c r="BE67" s="1007" t="e">
        <f t="shared" si="116"/>
        <v>#VALUE!</v>
      </c>
      <c r="BF67" s="1007" t="e">
        <f t="shared" si="117"/>
        <v>#VALUE!</v>
      </c>
      <c r="BG67" s="1030" t="e">
        <f t="shared" si="118"/>
        <v>#N/A</v>
      </c>
      <c r="BH67" s="1031">
        <f>IFERROR(IF(基本情報!$E$12&lt;&gt;"",-ROUNDDOWN((AA67+AE67+AH67+AL67)*基本情報!$H$13/100,-1),0),0)</f>
        <v>0</v>
      </c>
      <c r="BI67" s="1007" t="e">
        <f t="shared" si="119"/>
        <v>#VALUE!</v>
      </c>
      <c r="BJ67" s="1007" t="e">
        <f t="shared" si="120"/>
        <v>#VALUE!</v>
      </c>
      <c r="BK67" s="1008" t="e">
        <f t="shared" si="121"/>
        <v>#N/A</v>
      </c>
      <c r="BL67" s="1031">
        <f t="shared" si="122"/>
        <v>0</v>
      </c>
      <c r="BM67" s="1007" t="e">
        <f t="shared" si="123"/>
        <v>#VALUE!</v>
      </c>
      <c r="BN67" s="1007" t="e">
        <f t="shared" si="124"/>
        <v>#VALUE!</v>
      </c>
      <c r="BO67" s="1008" t="e">
        <f t="shared" si="125"/>
        <v>#N/A</v>
      </c>
      <c r="BP67" s="1006">
        <f>IFERROR(-ROUNDUP(SUM(AA67,AE67,AH67,AL67,AR67,AT67,AV67,BD67,BH67,BL67)*基本情報!$H$15/100,-1),0)</f>
        <v>0</v>
      </c>
      <c r="BQ67" s="1007" t="e">
        <f t="shared" si="126"/>
        <v>#VALUE!</v>
      </c>
      <c r="BR67" s="1007" t="e">
        <f t="shared" si="127"/>
        <v>#VALUE!</v>
      </c>
      <c r="BS67" s="1008" t="e">
        <f t="shared" si="128"/>
        <v>#N/A</v>
      </c>
      <c r="BT67" s="721"/>
      <c r="BU67" s="1043" t="e">
        <f t="shared" si="129"/>
        <v>#VALUE!</v>
      </c>
      <c r="BV67" s="1044" t="e">
        <f t="shared" si="130"/>
        <v>#VALUE!</v>
      </c>
      <c r="BW67" s="1044" t="e">
        <f t="shared" si="131"/>
        <v>#N/A</v>
      </c>
      <c r="BX67" s="1051">
        <f t="shared" si="132"/>
        <v>0</v>
      </c>
      <c r="BY67" s="1045">
        <f t="shared" si="133"/>
        <v>0</v>
      </c>
      <c r="CB67" s="1632"/>
      <c r="CC67" s="1423"/>
      <c r="CD67" s="717" t="s">
        <v>165</v>
      </c>
      <c r="CE67" s="738"/>
      <c r="CF67" s="672">
        <f>'4月'!AQ46</f>
        <v>0</v>
      </c>
      <c r="CG67" s="672">
        <f>'5月'!AQ46</f>
        <v>0</v>
      </c>
      <c r="CH67" s="672">
        <f>'6月'!AQ46</f>
        <v>0</v>
      </c>
      <c r="CI67" s="672">
        <f>'7月'!AQ46</f>
        <v>0</v>
      </c>
      <c r="CJ67" s="672">
        <f>'8月'!AQ46</f>
        <v>0</v>
      </c>
      <c r="CK67" s="672">
        <f>'9月'!AQ46</f>
        <v>0</v>
      </c>
      <c r="CL67" s="672">
        <f>'10月'!AQ46</f>
        <v>0</v>
      </c>
      <c r="CM67" s="672">
        <f>'11月'!AQ46</f>
        <v>0</v>
      </c>
      <c r="CN67" s="672">
        <f>'12月'!AQ46</f>
        <v>0</v>
      </c>
      <c r="CO67" s="672">
        <f>'1月'!AQ46</f>
        <v>0</v>
      </c>
      <c r="CP67" s="672">
        <f>'2月'!AQ46</f>
        <v>0</v>
      </c>
      <c r="CQ67" s="756">
        <f>'3月'!AQ52</f>
        <v>0</v>
      </c>
      <c r="CR67" s="759">
        <f t="shared" si="108"/>
        <v>0</v>
      </c>
      <c r="CS67" s="1583"/>
      <c r="CT67" s="1614" t="s">
        <v>165</v>
      </c>
      <c r="CU67" s="1615"/>
      <c r="CV67" s="842" t="e">
        <f t="shared" si="109"/>
        <v>#VALUE!</v>
      </c>
      <c r="CW67" s="672" t="e">
        <f t="shared" si="110"/>
        <v>#VALUE!</v>
      </c>
      <c r="CX67" s="672" t="e">
        <f t="shared" si="111"/>
        <v>#N/A</v>
      </c>
      <c r="CY67" s="833" t="e">
        <f t="shared" si="112"/>
        <v>#VALUE!</v>
      </c>
      <c r="CZ67" s="1109"/>
      <c r="DC67" s="1035" t="s">
        <v>704</v>
      </c>
      <c r="DD67" s="1071"/>
      <c r="DE67" s="1071"/>
      <c r="DF67" s="1071"/>
      <c r="DG67" s="1071"/>
      <c r="DH67" s="1071"/>
      <c r="DI67" s="1071"/>
      <c r="DJ67" s="1071"/>
    </row>
    <row r="68" spans="1:114" ht="19.5" customHeight="1" thickBot="1">
      <c r="C68" s="1662" t="s">
        <v>601</v>
      </c>
      <c r="D68" s="1662"/>
      <c r="E68" s="960">
        <f>基本情報!G7</f>
        <v>0</v>
      </c>
      <c r="T68" s="682">
        <v>7</v>
      </c>
      <c r="U68" s="918">
        <f>月途中入退所情報!D37</f>
        <v>0</v>
      </c>
      <c r="V68" s="918">
        <f>月途中入退所情報!H37</f>
        <v>0</v>
      </c>
      <c r="W68" s="918">
        <f>月途中入退所情報!G37</f>
        <v>0</v>
      </c>
      <c r="X68" s="945">
        <f>月途中入退所情報!I37</f>
        <v>0</v>
      </c>
      <c r="Y68" s="918">
        <f>月途中入退所情報!J37</f>
        <v>0</v>
      </c>
      <c r="Z68" s="840">
        <f t="shared" si="114"/>
        <v>0</v>
      </c>
      <c r="AA68" s="1021" cm="1">
        <f t="array" ref="AA68">IFERROR(IF(OR($U68=2,$U68=3),
INDEX(単価表!$AY$72:$CC$79,MATCH($V68&amp;$W68,INDEX(単価表!$AY$64:$AY$71&amp;単価表!$AZ$64:$AZ$71,),),MATCH(内訳計算!AA$6,単価表!$AY$63:$CC$63,0)),
INDEX(単価表!$AY$72:$CC$79,MATCH($V68&amp;$W68,INDEX(単価表!$AY$64:$AY$71&amp;単価表!$AZ$64:$AZ$71,),),MATCH(内訳計算!AA$6,単価表!$AY$63:$CC$63,0))),0)</f>
        <v>0</v>
      </c>
      <c r="AB68" s="1022" t="e">
        <f t="shared" si="115"/>
        <v>#VALUE!</v>
      </c>
      <c r="AC68" s="1022" cm="1">
        <f t="array" ref="AC68">IFERROR(ROUNDDOWN(IF(OR($U68=2,$U68=3),
INDEX(単価表!$AY$72:$CC$79,MATCH($V68&amp;$W68,INDEX(単価表!$AY$64:$AY$71&amp;単価表!$AZ$64:$AZ$71,),),MATCH(内訳計算!AC$6,単価表!$AY$63:$CC$63,0)),
INDEX(単価表!$AY$72:$CC$79,MATCH($V68&amp;$W68,INDEX(単価表!$AY$64:$AY$71&amp;単価表!$AZ$64:$AZ$71,),),MATCH(内訳計算!AC$6,単価表!$AY$63:$CC$63,0)))*$Y68/25,0),0)</f>
        <v>0</v>
      </c>
      <c r="AD68" s="1023" cm="1">
        <f t="array" ref="AD68">IFERROR(ROUNDDOWN(IF(OR($U68=2,$U68=3),
INDEX(単価表!$AY$72:$CC$79,MATCH($V68&amp;$W68,INDEX(単価表!$AY$64:$AY$71&amp;単価表!$AZ$64:$AZ$71,),),MATCH(内訳計算!AD$6,単価表!$AY$63:$CC$63,0)),
INDEX(単価表!$AY$72:$CC$79,MATCH($V68&amp;$W68,INDEX(単価表!$AY$64:$AY$71&amp;単価表!$AZ$64:$AZ$71,),),MATCH(内訳計算!AD$6,単価表!$AY$63:$CC$63,0)))*$Y68/25,0),0)</f>
        <v>0</v>
      </c>
      <c r="AE68" s="1021" cm="1">
        <f t="array" ref="AE68">IFERROR(IF(OR($U68=2,$U68=3),
INDEX(単価表!$AY$72:$CC$79,MATCH($V68&amp;$W68,INDEX(単価表!$AY$64:$AY$71&amp;単価表!$AZ$64:$AZ$71,),),MATCH(内訳計算!AE$6,単価表!$AY$63:$CC$63,0)),
INDEX(単価表!$AY$72:$CC$79,MATCH($V68&amp;$W68,INDEX(単価表!$AY$64:$AY$71&amp;単価表!$AZ$64:$AZ$71,),),MATCH(内訳計算!AE$6,単価表!$AY$63:$CC$63,0))),0)</f>
        <v>0</v>
      </c>
      <c r="AF68" s="1022" cm="1">
        <f t="array" ref="AF68">IFERROR(ROUNDDOWN(IF(OR($U68=2,$U68=3),
INDEX(単価表!$AY$72:$CC$79,MATCH($V68&amp;$W68,INDEX(単価表!$AY$64:$AY$71&amp;単価表!$AZ$64:$AZ$71,),),MATCH(内訳計算!AF$6,単価表!$AY$63:$CC$63,0)),
INDEX(単価表!$AY$72:$CC$79,MATCH($V68&amp;$W68,INDEX(単価表!$AY$64:$AY$71&amp;単価表!$AZ$64:$AZ$71,),),MATCH(内訳計算!AF$6,単価表!$AY$63:$CC$63,0)))*$Y68/25,0),0)</f>
        <v>0</v>
      </c>
      <c r="AG68" s="1023" cm="1">
        <f t="array" ref="AG68">IFERROR(ROUNDDOWN(IF(OR($U68=2,$U68=3),
INDEX(単価表!$AY$72:$CC$79,MATCH($V68&amp;$W68,INDEX(単価表!$AY$64:$AY$71&amp;単価表!$AZ$64:$AZ$71,),),MATCH(内訳計算!AG$6,単価表!$AY$63:$CC$63,0)),
INDEX(単価表!$AY$72:$CC$79,MATCH($V68&amp;$W68,INDEX(単価表!$AY$64:$AY$71&amp;単価表!$AZ$64:$AZ$71,),),MATCH(内訳計算!AG$6,単価表!$AY$63:$CC$63,0)))*$Y68/25,0),0)</f>
        <v>0</v>
      </c>
      <c r="AH68" s="1021" cm="1">
        <f t="array" ref="AH68">IFERROR(IF(HLOOKUP($U68,加算と減算!$E$4:$P$10,2,FALSE)="○",IF(OR($U68=2,$U68=3),
INDEX(単価表!$AY$72:$CC$79,MATCH($V68&amp;$W68,INDEX(単価表!$AY$64:$AY$71&amp;単価表!$AZ$64:$AZ$71,),),MATCH(内訳計算!AH$6,単価表!$AY$63:$CC$63,0)),
INDEX(単価表!$AY$72:$CC$79,MATCH($V68&amp;$W68,INDEX(単価表!$AY$64:$AY$71&amp;単価表!$AZ$64:$AZ$71,),),MATCH(内訳計算!AH$6,単価表!$AY$63:$CC$63,0))),0),0)</f>
        <v>0</v>
      </c>
      <c r="AI68" s="1024" cm="1">
        <f t="array" ref="AI68">IFERROR(ROUNDDOWN(IF(HLOOKUP($U68,加算と減算!$E$4:$P$10,2,FALSE)="○",IF(OR($U68=2,$U68=3),
INDEX(単価表!$AY$72:$CC$79,MATCH($V68&amp;$W68,INDEX(単価表!$AY$64:$AY$71&amp;単価表!$AZ$64:$AZ$71,),),MATCH(内訳計算!AI$6,単価表!$AY$63:$CC$63,0)),
INDEX(単価表!$AY$72:$CC$79,MATCH($V68&amp;$W68,INDEX(単価表!$AY$64:$AY$71&amp;単価表!$AZ$64:$AZ$71,),),MATCH(内訳計算!AI$6,単価表!$AY$63:$CC$63,0))),0)*$Y68/25,0),0)</f>
        <v>0</v>
      </c>
      <c r="AJ68" s="1022" cm="1">
        <f t="array" ref="AJ68">IFERROR(ROUNDDOWN(IF(HLOOKUP($U68,加算と減算!$E$4:$P$10,2,FALSE)="○",IF(OR($U68=2,$U68=3),
INDEX(単価表!$AY$72:$CC$79,MATCH($V68&amp;$W68,INDEX(単価表!$AY$64:$AY$71&amp;単価表!$AZ$64:$AZ$71,),),MATCH(内訳計算!AJ$6,単価表!$AY$63:$CC$63,0)),
INDEX(単価表!$AY$72:$CC$79,MATCH($V68&amp;$W68,INDEX(単価表!$AY$64:$AY$71&amp;単価表!$AZ$64:$AZ$71,),),MATCH(内訳計算!AJ$6,単価表!$AY$63:$CC$63,0))),0)*$Y68/25,0),0)</f>
        <v>0</v>
      </c>
      <c r="AK68" s="1023" cm="1">
        <f t="array" ref="AK68">IFERROR(ROUNDDOWN(IF(HLOOKUP($U68,加算と減算!$E$4:$P$10,2,FALSE)="○",IF(OR($U68=2,$U68=3),
INDEX(単価表!$AY$72:$CC$79,MATCH($V68&amp;$W68,INDEX(単価表!$AY$64:$AY$71&amp;単価表!$AZ$64:$AZ$71,),),MATCH(内訳計算!AK$6,単価表!$AY$63:$CC$63,0)),
INDEX(単価表!$AY$72:$CC$79,MATCH($V68&amp;$W68,INDEX(単価表!$AY$64:$AY$71&amp;単価表!$AZ$64:$AZ$71,),),MATCH(内訳計算!AK$6,単価表!$AY$63:$CC$63,0))),0)*$Y68/25,0),0)</f>
        <v>0</v>
      </c>
      <c r="AL68" s="1021" cm="1">
        <f t="array" ref="AL68">IFERROR(IF(HLOOKUP($U68,加算と減算!$E$4:$P$10,4,FALSE)="○",IF(OR($U68=2,$U68=3),
INDEX(単価表!$AY$72:$CC$79,MATCH($V68&amp;$W68,INDEX(単価表!$AY$64:$AY$71&amp;単価表!$AZ$64:$AZ$71,),),MATCH(内訳計算!AL$6,単価表!$AY$63:$CC$63,0)),
INDEX(単価表!$AY$72:$CC$79,MATCH($V68&amp;$W68,INDEX(単価表!$AY$64:$AY$71&amp;単価表!$AZ$64:$AZ$71,),),MATCH(内訳計算!AL$6,単価表!$AY$63:$CC$63,0))),0),0)</f>
        <v>0</v>
      </c>
      <c r="AM68" s="1022" cm="1">
        <f t="array" ref="AM68">IFERROR(ROUNDDOWN(IF(HLOOKUP($U68,加算と減算!$E$4:$P$10,4,FALSE)="○",IF(OR($U68=2,$U68=3),
INDEX(単価表!$AY$72:$CC$79,MATCH($V68&amp;$W68,INDEX(単価表!$AY$64:$AY$71&amp;単価表!$AZ$64:$AZ$71,),),MATCH(内訳計算!AM$6,単価表!$AY$63:$CC$63,0)),
INDEX(単価表!$AY$72:$CC$79,MATCH($V68&amp;$W68,INDEX(単価表!$AY$64:$AY$71&amp;単価表!$AZ$64:$AZ$71,),),MATCH(内訳計算!AM$6,単価表!$AY$63:$CC$63,0))),0)*$Y68/25,0),0)</f>
        <v>0</v>
      </c>
      <c r="AN68" s="1022" cm="1">
        <f t="array" ref="AN68">IFERROR(ROUNDDOWN(IF(HLOOKUP($U68,加算と減算!$E$4:$P$10,4,FALSE)="○",IF(OR($U68=2,$U68=3),
INDEX(単価表!$AY$72:$CC$79,MATCH($V68&amp;$W68,INDEX(単価表!$AY$64:$AY$71&amp;単価表!$AZ$64:$AZ$71,),),MATCH(内訳計算!AN$6,単価表!$AY$63:$CC$63,0)),
INDEX(単価表!$AY$72:$CC$79,MATCH($V68&amp;$W68,INDEX(単価表!$AY$64:$AY$71&amp;単価表!$AZ$64:$AZ$71,),),MATCH(内訳計算!AN$6,単価表!$AY$63:$CC$63,0))),0)*$Y68/25,0),0)</f>
        <v>0</v>
      </c>
      <c r="AO68" s="1022" cm="1">
        <f t="array" ref="AO68">IFERROR(ROUNDDOWN(IF(HLOOKUP($U68,加算と減算!$E$4:$P$10,4,FALSE)="○",IF(OR($U68=2,$U68=3),
INDEX(単価表!$AY$72:$CC$79,MATCH($V68&amp;$W68,INDEX(単価表!$AY$64:$AY$71&amp;単価表!$AZ$64:$AZ$71,),),MATCH(内訳計算!AO$6,単価表!$AY$63:$CC$63,0)),
INDEX(単価表!$AY$72:$CC$79,MATCH($V68&amp;$W68,INDEX(単価表!$AY$64:$AY$71&amp;単価表!$AZ$64:$AZ$71,),),MATCH(内訳計算!AO$6,単価表!$AY$63:$CC$63,0))),0)*$Y68/25,0),0)</f>
        <v>0</v>
      </c>
      <c r="AP68" s="1022" cm="1">
        <f t="array" ref="AP68">IFERROR(ROUNDDOWN(IF(HLOOKUP($U68,加算と減算!$E$4:$P$10,4,FALSE)="○",IF(OR($U68=2,$U68=3),
INDEX(単価表!$AY$72:$CC$79,MATCH($V68&amp;$W68,INDEX(単価表!$AY$64:$AY$71&amp;単価表!$AZ$64:$AZ$71,),),MATCH(内訳計算!AP$6,単価表!$AY$63:$CC$63,0)),
INDEX(単価表!$AY$72:$CC$79,MATCH($V68&amp;$W68,INDEX(単価表!$AY$64:$AY$71&amp;単価表!$AZ$64:$AZ$71,),),MATCH(内訳計算!AP$6,単価表!$AY$63:$CC$63,0))),0)*$Y68/25,0),0)</f>
        <v>0</v>
      </c>
      <c r="AQ68" s="1023" cm="1">
        <f t="array" ref="AQ68">IFERROR(ROUNDDOWN(IF(HLOOKUP($U68,加算と減算!$E$4:$P$10,4,FALSE)="○",IF(OR($U68=2,$U68=3),
INDEX(単価表!$AY$72:$CC$79,MATCH($V68&amp;$W68,INDEX(単価表!$AY$64:$AY$71&amp;単価表!$AZ$64:$AZ$71,),),MATCH(内訳計算!AQ$6,単価表!$AY$63:$CC$63,0)),
INDEX(単価表!$AY$72:$CC$79,MATCH($V68&amp;$W68,INDEX(単価表!$AY$64:$AY$71&amp;単価表!$AZ$64:$AZ$71,),),MATCH(内訳計算!AQ$6,単価表!$AY$63:$CC$63,0))),0)*$Y68/25,0),0)</f>
        <v>0</v>
      </c>
      <c r="AR68" s="1021" cm="1">
        <f t="array" ref="AR68">IFERROR(IF(HLOOKUP($U68,加算と減算!$E$4:$P$10,5,FALSE)="○",IF(OR($U68=2,$U68=3),
INDEX(単価表!$AY$72:$CC$79,MATCH($V68&amp;$W68,INDEX(単価表!$AY$64:$AY$71&amp;単価表!$AZ$64:$AZ$71,),),MATCH(内訳計算!AR$6,単価表!$AY$63:$CC$63,0)),
INDEX(単価表!$AY$72:$CC$79,MATCH($V68&amp;$W68,INDEX(単価表!$AY$64:$AY$71&amp;単価表!$AZ$64:$AZ$71,),),MATCH(内訳計算!AR$6,単価表!$AY$63:$CC$63,0))),0),0)</f>
        <v>0</v>
      </c>
      <c r="AS68" s="1023" cm="1">
        <f t="array" ref="AS68">IFERROR(ROUNDDOWN(IF(HLOOKUP($U68,加算と減算!$E$4:$P$10,5,FALSE)="○",IF(OR($U68=2,$U68=3),
INDEX(単価表!$AY$72:$CC$79,MATCH($V68&amp;$W68,INDEX(単価表!$AY$64:$AY$71&amp;単価表!$AZ$64:$AZ$71,),),MATCH(内訳計算!AS$6,単価表!$AY$63:$CC$63,0)),
INDEX(単価表!$AY$72:$CC$79,MATCH($V68&amp;$W68,INDEX(単価表!$AY$64:$AY$71&amp;単価表!$AZ$64:$AZ$71,),),MATCH(内訳計算!AS$6,単価表!$AY$63:$CC$63,0))),0)*$Y68/25,0),0)</f>
        <v>0</v>
      </c>
      <c r="AT68" s="1021" cm="1">
        <f t="array" ref="AT68">IFERROR(IF(HLOOKUP($U68,加算と減算!$E$4:$P$10,6,FALSE)="○",IF(OR($U68=2,$U68=3),
INDEX(単価表!$AY$72:$CC$79,MATCH($V68&amp;$W68,INDEX(単価表!$AY$64:$AY$71&amp;単価表!$AZ$64:$AZ$71,),),MATCH(内訳計算!AT$6,単価表!$AY$63:$CC$63,0)),
INDEX(単価表!$AY$72:$CC$79,MATCH($V68&amp;$W68,INDEX(単価表!$AY$64:$AY$71&amp;単価表!$AZ$64:$AZ$71,),),MATCH(内訳計算!AT$6,単価表!$AY$63:$CC$63,0))),0),0)</f>
        <v>0</v>
      </c>
      <c r="AU68" s="1023" cm="1">
        <f t="array" ref="AU68">IFERROR(ROUNDDOWN(IF(HLOOKUP($U68,加算と減算!$E$4:$P$10,6,FALSE)="○",IF(OR($U68=2,$U68=3),
INDEX(単価表!$AY$72:$CC$79,MATCH($V68&amp;$W68,INDEX(単価表!$AY$64:$AY$71&amp;単価表!$AZ$64:$AZ$71,),),MATCH(内訳計算!AU$6,単価表!$AY$63:$CC$63,0)),
INDEX(単価表!$AY$72:$CC$79,MATCH($V68&amp;$W68,INDEX(単価表!$AY$64:$AY$71&amp;単価表!$AZ$64:$AZ$71,),),MATCH(内訳計算!AU$6,単価表!$AY$63:$CC$63,0))),0)*$Y68/25,0),0)</f>
        <v>0</v>
      </c>
      <c r="AV68" s="1021" cm="1">
        <f t="array" ref="AV68">IFERROR(IF(HLOOKUP($U68,加算と減算!$E$4:$P$10,7,FALSE)="○",IF(OR($U68=2,$U68=3),
INDEX(単価表!$AY$72:$CC$79,MATCH($V68&amp;$W68,INDEX(単価表!$AY$64:$AY$71&amp;単価表!$AZ$64:$AZ$71,),),MATCH(内訳計算!AV$6,単価表!$AY$63:$CC$63,0)),
INDEX(単価表!$AY$72:$CC$79,MATCH($V68&amp;$W68,INDEX(単価表!$AY$64:$AY$71&amp;単価表!$AZ$64:$AZ$71,),),MATCH(内訳計算!AV$6,単価表!$AY$63:$CC$63,0))),0),0)</f>
        <v>0</v>
      </c>
      <c r="AW68" s="1022" cm="1">
        <f t="array" ref="AW68">IFERROR(ROUNDDOWN(IF(HLOOKUP($U68,加算と減算!$E$4:$P$10,7,FALSE)="○",IF(OR($U68=2,$U68=3),
INDEX(単価表!$AY$72:$CC$79,MATCH($V68&amp;$W68,INDEX(単価表!$AY$64:$AY$71&amp;単価表!$AZ$64:$AZ$71,),),MATCH(内訳計算!AW$6,単価表!$AY$63:$CC$63,0)),
INDEX(単価表!$AY$72:$CC$79,MATCH($V68&amp;$W68,INDEX(単価表!$AY$64:$AY$71&amp;単価表!$AZ$64:$AZ$71,),),MATCH(内訳計算!AW$6,単価表!$AY$63:$CC$63,0))),0)*$Y68/25,0),0)</f>
        <v>0</v>
      </c>
      <c r="AX68" s="1022" cm="1">
        <f t="array" ref="AX68">IFERROR(ROUNDDOWN(IF(HLOOKUP($U68,加算と減算!$E$4:$P$10,7,FALSE)="○",IF(OR($U68=2,$U68=3),
INDEX(単価表!$AY$72:$CC$79,MATCH($V68&amp;$W68,INDEX(単価表!$AY$64:$AY$71&amp;単価表!$AZ$64:$AZ$71,),),MATCH(内訳計算!AX$6,単価表!$AY$63:$CC$63,0)),
INDEX(単価表!$AY$72:$CC$79,MATCH($V68&amp;$W68,INDEX(単価表!$AY$64:$AY$71&amp;単価表!$AZ$64:$AZ$71,),),MATCH(内訳計算!AX$6,単価表!$AY$63:$CC$63,0))),0)*$Y68/25,0),0)</f>
        <v>0</v>
      </c>
      <c r="AY68" s="1023" cm="1">
        <f t="array" ref="AY68">IFERROR(ROUNDDOWN(IF(HLOOKUP($U68,加算と減算!$E$4:$P$10,7,FALSE)="○",IF(OR($U68=2,$U68=3),
INDEX(単価表!$AY$72:$CC$79,MATCH($V68&amp;$W68,INDEX(単価表!$AY$64:$AY$71&amp;単価表!$AZ$64:$AZ$71,),),MATCH(内訳計算!AY$6,単価表!$AY$63:$CC$63,0)),
INDEX(単価表!$AY$72:$CC$79,MATCH($V68&amp;$W68,INDEX(単価表!$AY$64:$AY$71&amp;単価表!$AZ$64:$AZ$71,),),MATCH(内訳計算!AY$6,単価表!$AY$63:$CC$63,0))),0)*$Y68/25,0),0)</f>
        <v>0</v>
      </c>
      <c r="AZ68" s="1021" cm="1">
        <f t="array" ref="AZ68">IFERROR(IF(X68="○",INDEX(単価表!$AY$72:$CC$79,MATCH($V68&amp;$W68,INDEX(単価表!$AY$64:$AY$71&amp;単価表!$AZ$64:$AZ$71,),),MATCH(内訳計算!AZ$6,単価表!$AY$63:$CC$63,0)),0),0)</f>
        <v>0</v>
      </c>
      <c r="BA68" s="1023" cm="1">
        <f t="array" ref="BA68">IFERROR(ROUNDDOWN(INDEX(単価表!$AY$72:$CC$79,MATCH($V68&amp;$W68,INDEX(単価表!$AY$64:$AY$71&amp;単価表!$AZ$64:$AZ$71,),),MATCH(内訳計算!BA$6,単価表!$AY$63:$CC$63,0))*$Y68/25,0),0)</f>
        <v>0</v>
      </c>
      <c r="BB68" s="1021" cm="1">
        <f t="array" ref="BB68">IFERROR(INDEX(単価表!$AY$72:$CC$79,MATCH($V68&amp;$W68,INDEX(単価表!$AY$64:$AY$71&amp;単価表!$AZ$64:$AZ$71,),),MATCH(内訳計算!BB$6,単価表!$AY$63:$CC$63,0)),0)</f>
        <v>0</v>
      </c>
      <c r="BC68" s="1023" cm="1">
        <f t="array" ref="BC68">IFERROR(ROUNDDOWN(INDEX(単価表!$AY$72:$CC$79,MATCH($V68&amp;$W68,INDEX(単価表!$AY$64:$AY$71&amp;単価表!$AZ$64:$AZ$71,),),MATCH(内訳計算!BC$6,単価表!$AY$63:$CC$63,0))*$Y68/25,0),0)</f>
        <v>0</v>
      </c>
      <c r="BD68" s="985">
        <f>IFERROR(IF(HLOOKUP($U68,加算と減算!$E$31:$P$32,2,FALSE)="○",IF(OR($U68=2,$U68=3),-(単価表!$AZ$23+単価表!$BA$23*基本情報!$G$7),-(単価表!$AZ$23+単価表!$BA$23*基本情報!$G$7)),0),0)</f>
        <v>0</v>
      </c>
      <c r="BE68" s="1007" t="e">
        <f t="shared" si="116"/>
        <v>#VALUE!</v>
      </c>
      <c r="BF68" s="1007" t="e">
        <f t="shared" si="117"/>
        <v>#VALUE!</v>
      </c>
      <c r="BG68" s="1030" t="e">
        <f t="shared" si="118"/>
        <v>#N/A</v>
      </c>
      <c r="BH68" s="1031">
        <f>IFERROR(IF(基本情報!$E$12&lt;&gt;"",-ROUNDDOWN((AA68+AE68+AH68+AL68)*基本情報!$H$13/100,-1),0),0)</f>
        <v>0</v>
      </c>
      <c r="BI68" s="1007" t="e">
        <f t="shared" si="119"/>
        <v>#VALUE!</v>
      </c>
      <c r="BJ68" s="1007" t="e">
        <f t="shared" si="120"/>
        <v>#VALUE!</v>
      </c>
      <c r="BK68" s="1008" t="e">
        <f t="shared" si="121"/>
        <v>#N/A</v>
      </c>
      <c r="BL68" s="1031">
        <f t="shared" si="122"/>
        <v>0</v>
      </c>
      <c r="BM68" s="1007" t="e">
        <f t="shared" si="123"/>
        <v>#VALUE!</v>
      </c>
      <c r="BN68" s="1007" t="e">
        <f t="shared" si="124"/>
        <v>#VALUE!</v>
      </c>
      <c r="BO68" s="1008" t="e">
        <f t="shared" si="125"/>
        <v>#N/A</v>
      </c>
      <c r="BP68" s="1006">
        <f>IFERROR(-ROUNDUP(SUM(AA68,AE68,AH68,AL68,AR68,AT68,AV68,BD68,BH68,BL68)*基本情報!$H$15/100,-1),0)</f>
        <v>0</v>
      </c>
      <c r="BQ68" s="1007" t="e">
        <f t="shared" si="126"/>
        <v>#VALUE!</v>
      </c>
      <c r="BR68" s="1007" t="e">
        <f t="shared" si="127"/>
        <v>#VALUE!</v>
      </c>
      <c r="BS68" s="1008" t="e">
        <f t="shared" si="128"/>
        <v>#N/A</v>
      </c>
      <c r="BT68" s="721"/>
      <c r="BU68" s="1043" t="e">
        <f t="shared" si="129"/>
        <v>#VALUE!</v>
      </c>
      <c r="BV68" s="1044" t="e">
        <f t="shared" si="130"/>
        <v>#VALUE!</v>
      </c>
      <c r="BW68" s="1044" t="e">
        <f t="shared" si="131"/>
        <v>#N/A</v>
      </c>
      <c r="BX68" s="1051">
        <f t="shared" si="132"/>
        <v>0</v>
      </c>
      <c r="BY68" s="1045">
        <f t="shared" si="133"/>
        <v>0</v>
      </c>
      <c r="CB68" s="1633"/>
      <c r="CC68" s="1611"/>
      <c r="CD68" s="752" t="s">
        <v>166</v>
      </c>
      <c r="CE68" s="753"/>
      <c r="CF68" s="754">
        <f>'4月'!AQ47</f>
        <v>0</v>
      </c>
      <c r="CG68" s="754">
        <f>'5月'!AQ47</f>
        <v>0</v>
      </c>
      <c r="CH68" s="754">
        <f>'6月'!AQ47</f>
        <v>0</v>
      </c>
      <c r="CI68" s="754">
        <f>'7月'!AQ47</f>
        <v>0</v>
      </c>
      <c r="CJ68" s="754">
        <f>'8月'!AQ47</f>
        <v>0</v>
      </c>
      <c r="CK68" s="754">
        <f>'9月'!AQ47</f>
        <v>0</v>
      </c>
      <c r="CL68" s="754">
        <f>'10月'!AQ47</f>
        <v>0</v>
      </c>
      <c r="CM68" s="754">
        <f>'11月'!AQ47</f>
        <v>0</v>
      </c>
      <c r="CN68" s="754">
        <f>'12月'!AQ47</f>
        <v>0</v>
      </c>
      <c r="CO68" s="754">
        <f>'1月'!AQ47</f>
        <v>0</v>
      </c>
      <c r="CP68" s="754">
        <f>'2月'!AQ47</f>
        <v>0</v>
      </c>
      <c r="CQ68" s="757">
        <f>'3月'!AQ53</f>
        <v>0</v>
      </c>
      <c r="CR68" s="760">
        <f t="shared" si="108"/>
        <v>0</v>
      </c>
      <c r="CS68" s="1584"/>
      <c r="CT68" s="1616" t="s">
        <v>166</v>
      </c>
      <c r="CU68" s="1617"/>
      <c r="CV68" s="876" t="e">
        <f t="shared" si="109"/>
        <v>#VALUE!</v>
      </c>
      <c r="CW68" s="754" t="e">
        <f t="shared" si="110"/>
        <v>#VALUE!</v>
      </c>
      <c r="CX68" s="754" t="e">
        <f t="shared" si="111"/>
        <v>#N/A</v>
      </c>
      <c r="CY68" s="1102" t="e">
        <f>ROUNDDOWN(CR68*$CY$58,0)</f>
        <v>#VALUE!</v>
      </c>
      <c r="CZ68" s="1110"/>
      <c r="DC68" s="1035" t="s">
        <v>696</v>
      </c>
      <c r="DD68" s="1071"/>
      <c r="DE68" s="1071"/>
      <c r="DF68" s="1071"/>
      <c r="DG68" s="1071"/>
      <c r="DH68" s="1071"/>
      <c r="DI68" s="1071"/>
      <c r="DJ68" s="1071"/>
    </row>
    <row r="69" spans="1:114" ht="19.5" customHeight="1" thickBot="1">
      <c r="C69" s="1662" t="s">
        <v>691</v>
      </c>
      <c r="D69" s="1662"/>
      <c r="E69" s="960">
        <f>基本情報!E7</f>
        <v>0</v>
      </c>
      <c r="T69" s="682">
        <v>8</v>
      </c>
      <c r="U69" s="918">
        <f>月途中入退所情報!D38</f>
        <v>0</v>
      </c>
      <c r="V69" s="918">
        <f>月途中入退所情報!H38</f>
        <v>0</v>
      </c>
      <c r="W69" s="918">
        <f>月途中入退所情報!G38</f>
        <v>0</v>
      </c>
      <c r="X69" s="945">
        <f>月途中入退所情報!I38</f>
        <v>0</v>
      </c>
      <c r="Y69" s="918">
        <f>月途中入退所情報!J38</f>
        <v>0</v>
      </c>
      <c r="Z69" s="840">
        <f t="shared" si="114"/>
        <v>0</v>
      </c>
      <c r="AA69" s="1021" cm="1">
        <f t="array" ref="AA69">IFERROR(IF(OR($U69=2,$U69=3),
INDEX(単価表!$AY$72:$CC$79,MATCH($V69&amp;$W69,INDEX(単価表!$AY$64:$AY$71&amp;単価表!$AZ$64:$AZ$71,),),MATCH(内訳計算!AA$6,単価表!$AY$63:$CC$63,0)),
INDEX(単価表!$AY$72:$CC$79,MATCH($V69&amp;$W69,INDEX(単価表!$AY$64:$AY$71&amp;単価表!$AZ$64:$AZ$71,),),MATCH(内訳計算!AA$6,単価表!$AY$63:$CC$63,0))),0)</f>
        <v>0</v>
      </c>
      <c r="AB69" s="1022" t="e">
        <f t="shared" si="115"/>
        <v>#VALUE!</v>
      </c>
      <c r="AC69" s="1022" cm="1">
        <f t="array" ref="AC69">IFERROR(ROUNDDOWN(IF(OR($U69=2,$U69=3),
INDEX(単価表!$AY$72:$CC$79,MATCH($V69&amp;$W69,INDEX(単価表!$AY$64:$AY$71&amp;単価表!$AZ$64:$AZ$71,),),MATCH(内訳計算!AC$6,単価表!$AY$63:$CC$63,0)),
INDEX(単価表!$AY$72:$CC$79,MATCH($V69&amp;$W69,INDEX(単価表!$AY$64:$AY$71&amp;単価表!$AZ$64:$AZ$71,),),MATCH(内訳計算!AC$6,単価表!$AY$63:$CC$63,0)))*$Y69/25,0),0)</f>
        <v>0</v>
      </c>
      <c r="AD69" s="1023" cm="1">
        <f t="array" ref="AD69">IFERROR(ROUNDDOWN(IF(OR($U69=2,$U69=3),
INDEX(単価表!$AY$72:$CC$79,MATCH($V69&amp;$W69,INDEX(単価表!$AY$64:$AY$71&amp;単価表!$AZ$64:$AZ$71,),),MATCH(内訳計算!AD$6,単価表!$AY$63:$CC$63,0)),
INDEX(単価表!$AY$72:$CC$79,MATCH($V69&amp;$W69,INDEX(単価表!$AY$64:$AY$71&amp;単価表!$AZ$64:$AZ$71,),),MATCH(内訳計算!AD$6,単価表!$AY$63:$CC$63,0)))*$Y69/25,0),0)</f>
        <v>0</v>
      </c>
      <c r="AE69" s="1021" cm="1">
        <f t="array" ref="AE69">IFERROR(IF(OR($U69=2,$U69=3),
INDEX(単価表!$AY$72:$CC$79,MATCH($V69&amp;$W69,INDEX(単価表!$AY$64:$AY$71&amp;単価表!$AZ$64:$AZ$71,),),MATCH(内訳計算!AE$6,単価表!$AY$63:$CC$63,0)),
INDEX(単価表!$AY$72:$CC$79,MATCH($V69&amp;$W69,INDEX(単価表!$AY$64:$AY$71&amp;単価表!$AZ$64:$AZ$71,),),MATCH(内訳計算!AE$6,単価表!$AY$63:$CC$63,0))),0)</f>
        <v>0</v>
      </c>
      <c r="AF69" s="1022" cm="1">
        <f t="array" ref="AF69">IFERROR(ROUNDDOWN(IF(OR($U69=2,$U69=3),
INDEX(単価表!$AY$72:$CC$79,MATCH($V69&amp;$W69,INDEX(単価表!$AY$64:$AY$71&amp;単価表!$AZ$64:$AZ$71,),),MATCH(内訳計算!AF$6,単価表!$AY$63:$CC$63,0)),
INDEX(単価表!$AY$72:$CC$79,MATCH($V69&amp;$W69,INDEX(単価表!$AY$64:$AY$71&amp;単価表!$AZ$64:$AZ$71,),),MATCH(内訳計算!AF$6,単価表!$AY$63:$CC$63,0)))*$Y69/25,0),0)</f>
        <v>0</v>
      </c>
      <c r="AG69" s="1023" cm="1">
        <f t="array" ref="AG69">IFERROR(ROUNDDOWN(IF(OR($U69=2,$U69=3),
INDEX(単価表!$AY$72:$CC$79,MATCH($V69&amp;$W69,INDEX(単価表!$AY$64:$AY$71&amp;単価表!$AZ$64:$AZ$71,),),MATCH(内訳計算!AG$6,単価表!$AY$63:$CC$63,0)),
INDEX(単価表!$AY$72:$CC$79,MATCH($V69&amp;$W69,INDEX(単価表!$AY$64:$AY$71&amp;単価表!$AZ$64:$AZ$71,),),MATCH(内訳計算!AG$6,単価表!$AY$63:$CC$63,0)))*$Y69/25,0),0)</f>
        <v>0</v>
      </c>
      <c r="AH69" s="1021" cm="1">
        <f t="array" ref="AH69">IFERROR(IF(HLOOKUP($U69,加算と減算!$E$4:$P$10,2,FALSE)="○",IF(OR($U69=2,$U69=3),
INDEX(単価表!$AY$72:$CC$79,MATCH($V69&amp;$W69,INDEX(単価表!$AY$64:$AY$71&amp;単価表!$AZ$64:$AZ$71,),),MATCH(内訳計算!AH$6,単価表!$AY$63:$CC$63,0)),
INDEX(単価表!$AY$72:$CC$79,MATCH($V69&amp;$W69,INDEX(単価表!$AY$64:$AY$71&amp;単価表!$AZ$64:$AZ$71,),),MATCH(内訳計算!AH$6,単価表!$AY$63:$CC$63,0))),0),0)</f>
        <v>0</v>
      </c>
      <c r="AI69" s="1024" cm="1">
        <f t="array" ref="AI69">IFERROR(ROUNDDOWN(IF(HLOOKUP($U69,加算と減算!$E$4:$P$10,2,FALSE)="○",IF(OR($U69=2,$U69=3),
INDEX(単価表!$AY$72:$CC$79,MATCH($V69&amp;$W69,INDEX(単価表!$AY$64:$AY$71&amp;単価表!$AZ$64:$AZ$71,),),MATCH(内訳計算!AI$6,単価表!$AY$63:$CC$63,0)),
INDEX(単価表!$AY$72:$CC$79,MATCH($V69&amp;$W69,INDEX(単価表!$AY$64:$AY$71&amp;単価表!$AZ$64:$AZ$71,),),MATCH(内訳計算!AI$6,単価表!$AY$63:$CC$63,0))),0)*$Y69/25,0),0)</f>
        <v>0</v>
      </c>
      <c r="AJ69" s="1022" cm="1">
        <f t="array" ref="AJ69">IFERROR(ROUNDDOWN(IF(HLOOKUP($U69,加算と減算!$E$4:$P$10,2,FALSE)="○",IF(OR($U69=2,$U69=3),
INDEX(単価表!$AY$72:$CC$79,MATCH($V69&amp;$W69,INDEX(単価表!$AY$64:$AY$71&amp;単価表!$AZ$64:$AZ$71,),),MATCH(内訳計算!AJ$6,単価表!$AY$63:$CC$63,0)),
INDEX(単価表!$AY$72:$CC$79,MATCH($V69&amp;$W69,INDEX(単価表!$AY$64:$AY$71&amp;単価表!$AZ$64:$AZ$71,),),MATCH(内訳計算!AJ$6,単価表!$AY$63:$CC$63,0))),0)*$Y69/25,0),0)</f>
        <v>0</v>
      </c>
      <c r="AK69" s="1023" cm="1">
        <f t="array" ref="AK69">IFERROR(ROUNDDOWN(IF(HLOOKUP($U69,加算と減算!$E$4:$P$10,2,FALSE)="○",IF(OR($U69=2,$U69=3),
INDEX(単価表!$AY$72:$CC$79,MATCH($V69&amp;$W69,INDEX(単価表!$AY$64:$AY$71&amp;単価表!$AZ$64:$AZ$71,),),MATCH(内訳計算!AK$6,単価表!$AY$63:$CC$63,0)),
INDEX(単価表!$AY$72:$CC$79,MATCH($V69&amp;$W69,INDEX(単価表!$AY$64:$AY$71&amp;単価表!$AZ$64:$AZ$71,),),MATCH(内訳計算!AK$6,単価表!$AY$63:$CC$63,0))),0)*$Y69/25,0),0)</f>
        <v>0</v>
      </c>
      <c r="AL69" s="1021" cm="1">
        <f t="array" ref="AL69">IFERROR(IF(HLOOKUP($U69,加算と減算!$E$4:$P$10,4,FALSE)="○",IF(OR($U69=2,$U69=3),
INDEX(単価表!$AY$72:$CC$79,MATCH($V69&amp;$W69,INDEX(単価表!$AY$64:$AY$71&amp;単価表!$AZ$64:$AZ$71,),),MATCH(内訳計算!AL$6,単価表!$AY$63:$CC$63,0)),
INDEX(単価表!$AY$72:$CC$79,MATCH($V69&amp;$W69,INDEX(単価表!$AY$64:$AY$71&amp;単価表!$AZ$64:$AZ$71,),),MATCH(内訳計算!AL$6,単価表!$AY$63:$CC$63,0))),0),0)</f>
        <v>0</v>
      </c>
      <c r="AM69" s="1022" cm="1">
        <f t="array" ref="AM69">IFERROR(ROUNDDOWN(IF(HLOOKUP($U69,加算と減算!$E$4:$P$10,4,FALSE)="○",IF(OR($U69=2,$U69=3),
INDEX(単価表!$AY$72:$CC$79,MATCH($V69&amp;$W69,INDEX(単価表!$AY$64:$AY$71&amp;単価表!$AZ$64:$AZ$71,),),MATCH(内訳計算!AM$6,単価表!$AY$63:$CC$63,0)),
INDEX(単価表!$AY$72:$CC$79,MATCH($V69&amp;$W69,INDEX(単価表!$AY$64:$AY$71&amp;単価表!$AZ$64:$AZ$71,),),MATCH(内訳計算!AM$6,単価表!$AY$63:$CC$63,0))),0)*$Y69/25,0),0)</f>
        <v>0</v>
      </c>
      <c r="AN69" s="1022" cm="1">
        <f t="array" ref="AN69">IFERROR(ROUNDDOWN(IF(HLOOKUP($U69,加算と減算!$E$4:$P$10,4,FALSE)="○",IF(OR($U69=2,$U69=3),
INDEX(単価表!$AY$72:$CC$79,MATCH($V69&amp;$W69,INDEX(単価表!$AY$64:$AY$71&amp;単価表!$AZ$64:$AZ$71,),),MATCH(内訳計算!AN$6,単価表!$AY$63:$CC$63,0)),
INDEX(単価表!$AY$72:$CC$79,MATCH($V69&amp;$W69,INDEX(単価表!$AY$64:$AY$71&amp;単価表!$AZ$64:$AZ$71,),),MATCH(内訳計算!AN$6,単価表!$AY$63:$CC$63,0))),0)*$Y69/25,0),0)</f>
        <v>0</v>
      </c>
      <c r="AO69" s="1022" cm="1">
        <f t="array" ref="AO69">IFERROR(ROUNDDOWN(IF(HLOOKUP($U69,加算と減算!$E$4:$P$10,4,FALSE)="○",IF(OR($U69=2,$U69=3),
INDEX(単価表!$AY$72:$CC$79,MATCH($V69&amp;$W69,INDEX(単価表!$AY$64:$AY$71&amp;単価表!$AZ$64:$AZ$71,),),MATCH(内訳計算!AO$6,単価表!$AY$63:$CC$63,0)),
INDEX(単価表!$AY$72:$CC$79,MATCH($V69&amp;$W69,INDEX(単価表!$AY$64:$AY$71&amp;単価表!$AZ$64:$AZ$71,),),MATCH(内訳計算!AO$6,単価表!$AY$63:$CC$63,0))),0)*$Y69/25,0),0)</f>
        <v>0</v>
      </c>
      <c r="AP69" s="1022" cm="1">
        <f t="array" ref="AP69">IFERROR(ROUNDDOWN(IF(HLOOKUP($U69,加算と減算!$E$4:$P$10,4,FALSE)="○",IF(OR($U69=2,$U69=3),
INDEX(単価表!$AY$72:$CC$79,MATCH($V69&amp;$W69,INDEX(単価表!$AY$64:$AY$71&amp;単価表!$AZ$64:$AZ$71,),),MATCH(内訳計算!AP$6,単価表!$AY$63:$CC$63,0)),
INDEX(単価表!$AY$72:$CC$79,MATCH($V69&amp;$W69,INDEX(単価表!$AY$64:$AY$71&amp;単価表!$AZ$64:$AZ$71,),),MATCH(内訳計算!AP$6,単価表!$AY$63:$CC$63,0))),0)*$Y69/25,0),0)</f>
        <v>0</v>
      </c>
      <c r="AQ69" s="1023" cm="1">
        <f t="array" ref="AQ69">IFERROR(ROUNDDOWN(IF(HLOOKUP($U69,加算と減算!$E$4:$P$10,4,FALSE)="○",IF(OR($U69=2,$U69=3),
INDEX(単価表!$AY$72:$CC$79,MATCH($V69&amp;$W69,INDEX(単価表!$AY$64:$AY$71&amp;単価表!$AZ$64:$AZ$71,),),MATCH(内訳計算!AQ$6,単価表!$AY$63:$CC$63,0)),
INDEX(単価表!$AY$72:$CC$79,MATCH($V69&amp;$W69,INDEX(単価表!$AY$64:$AY$71&amp;単価表!$AZ$64:$AZ$71,),),MATCH(内訳計算!AQ$6,単価表!$AY$63:$CC$63,0))),0)*$Y69/25,0),0)</f>
        <v>0</v>
      </c>
      <c r="AR69" s="1021" cm="1">
        <f t="array" ref="AR69">IFERROR(IF(HLOOKUP($U69,加算と減算!$E$4:$P$10,5,FALSE)="○",IF(OR($U69=2,$U69=3),
INDEX(単価表!$AY$72:$CC$79,MATCH($V69&amp;$W69,INDEX(単価表!$AY$64:$AY$71&amp;単価表!$AZ$64:$AZ$71,),),MATCH(内訳計算!AR$6,単価表!$AY$63:$CC$63,0)),
INDEX(単価表!$AY$72:$CC$79,MATCH($V69&amp;$W69,INDEX(単価表!$AY$64:$AY$71&amp;単価表!$AZ$64:$AZ$71,),),MATCH(内訳計算!AR$6,単価表!$AY$63:$CC$63,0))),0),0)</f>
        <v>0</v>
      </c>
      <c r="AS69" s="1023" cm="1">
        <f t="array" ref="AS69">IFERROR(ROUNDDOWN(IF(HLOOKUP($U69,加算と減算!$E$4:$P$10,5,FALSE)="○",IF(OR($U69=2,$U69=3),
INDEX(単価表!$AY$72:$CC$79,MATCH($V69&amp;$W69,INDEX(単価表!$AY$64:$AY$71&amp;単価表!$AZ$64:$AZ$71,),),MATCH(内訳計算!AS$6,単価表!$AY$63:$CC$63,0)),
INDEX(単価表!$AY$72:$CC$79,MATCH($V69&amp;$W69,INDEX(単価表!$AY$64:$AY$71&amp;単価表!$AZ$64:$AZ$71,),),MATCH(内訳計算!AS$6,単価表!$AY$63:$CC$63,0))),0)*$Y69/25,0),0)</f>
        <v>0</v>
      </c>
      <c r="AT69" s="1021" cm="1">
        <f t="array" ref="AT69">IFERROR(IF(HLOOKUP($U69,加算と減算!$E$4:$P$10,6,FALSE)="○",IF(OR($U69=2,$U69=3),
INDEX(単価表!$AY$72:$CC$79,MATCH($V69&amp;$W69,INDEX(単価表!$AY$64:$AY$71&amp;単価表!$AZ$64:$AZ$71,),),MATCH(内訳計算!AT$6,単価表!$AY$63:$CC$63,0)),
INDEX(単価表!$AY$72:$CC$79,MATCH($V69&amp;$W69,INDEX(単価表!$AY$64:$AY$71&amp;単価表!$AZ$64:$AZ$71,),),MATCH(内訳計算!AT$6,単価表!$AY$63:$CC$63,0))),0),0)</f>
        <v>0</v>
      </c>
      <c r="AU69" s="1023" cm="1">
        <f t="array" ref="AU69">IFERROR(ROUNDDOWN(IF(HLOOKUP($U69,加算と減算!$E$4:$P$10,6,FALSE)="○",IF(OR($U69=2,$U69=3),
INDEX(単価表!$AY$72:$CC$79,MATCH($V69&amp;$W69,INDEX(単価表!$AY$64:$AY$71&amp;単価表!$AZ$64:$AZ$71,),),MATCH(内訳計算!AU$6,単価表!$AY$63:$CC$63,0)),
INDEX(単価表!$AY$72:$CC$79,MATCH($V69&amp;$W69,INDEX(単価表!$AY$64:$AY$71&amp;単価表!$AZ$64:$AZ$71,),),MATCH(内訳計算!AU$6,単価表!$AY$63:$CC$63,0))),0)*$Y69/25,0),0)</f>
        <v>0</v>
      </c>
      <c r="AV69" s="1021" cm="1">
        <f t="array" ref="AV69">IFERROR(IF(HLOOKUP($U69,加算と減算!$E$4:$P$10,7,FALSE)="○",IF(OR($U69=2,$U69=3),
INDEX(単価表!$AY$72:$CC$79,MATCH($V69&amp;$W69,INDEX(単価表!$AY$64:$AY$71&amp;単価表!$AZ$64:$AZ$71,),),MATCH(内訳計算!AV$6,単価表!$AY$63:$CC$63,0)),
INDEX(単価表!$AY$72:$CC$79,MATCH($V69&amp;$W69,INDEX(単価表!$AY$64:$AY$71&amp;単価表!$AZ$64:$AZ$71,),),MATCH(内訳計算!AV$6,単価表!$AY$63:$CC$63,0))),0),0)</f>
        <v>0</v>
      </c>
      <c r="AW69" s="1022" cm="1">
        <f t="array" ref="AW69">IFERROR(ROUNDDOWN(IF(HLOOKUP($U69,加算と減算!$E$4:$P$10,7,FALSE)="○",IF(OR($U69=2,$U69=3),
INDEX(単価表!$AY$72:$CC$79,MATCH($V69&amp;$W69,INDEX(単価表!$AY$64:$AY$71&amp;単価表!$AZ$64:$AZ$71,),),MATCH(内訳計算!AW$6,単価表!$AY$63:$CC$63,0)),
INDEX(単価表!$AY$72:$CC$79,MATCH($V69&amp;$W69,INDEX(単価表!$AY$64:$AY$71&amp;単価表!$AZ$64:$AZ$71,),),MATCH(内訳計算!AW$6,単価表!$AY$63:$CC$63,0))),0)*$Y69/25,0),0)</f>
        <v>0</v>
      </c>
      <c r="AX69" s="1022" cm="1">
        <f t="array" ref="AX69">IFERROR(ROUNDDOWN(IF(HLOOKUP($U69,加算と減算!$E$4:$P$10,7,FALSE)="○",IF(OR($U69=2,$U69=3),
INDEX(単価表!$AY$72:$CC$79,MATCH($V69&amp;$W69,INDEX(単価表!$AY$64:$AY$71&amp;単価表!$AZ$64:$AZ$71,),),MATCH(内訳計算!AX$6,単価表!$AY$63:$CC$63,0)),
INDEX(単価表!$AY$72:$CC$79,MATCH($V69&amp;$W69,INDEX(単価表!$AY$64:$AY$71&amp;単価表!$AZ$64:$AZ$71,),),MATCH(内訳計算!AX$6,単価表!$AY$63:$CC$63,0))),0)*$Y69/25,0),0)</f>
        <v>0</v>
      </c>
      <c r="AY69" s="1023" cm="1">
        <f t="array" ref="AY69">IFERROR(ROUNDDOWN(IF(HLOOKUP($U69,加算と減算!$E$4:$P$10,7,FALSE)="○",IF(OR($U69=2,$U69=3),
INDEX(単価表!$AY$72:$CC$79,MATCH($V69&amp;$W69,INDEX(単価表!$AY$64:$AY$71&amp;単価表!$AZ$64:$AZ$71,),),MATCH(内訳計算!AY$6,単価表!$AY$63:$CC$63,0)),
INDEX(単価表!$AY$72:$CC$79,MATCH($V69&amp;$W69,INDEX(単価表!$AY$64:$AY$71&amp;単価表!$AZ$64:$AZ$71,),),MATCH(内訳計算!AY$6,単価表!$AY$63:$CC$63,0))),0)*$Y69/25,0),0)</f>
        <v>0</v>
      </c>
      <c r="AZ69" s="1021" cm="1">
        <f t="array" ref="AZ69">IFERROR(IF(X69="○",INDEX(単価表!$AY$72:$CC$79,MATCH($V69&amp;$W69,INDEX(単価表!$AY$64:$AY$71&amp;単価表!$AZ$64:$AZ$71,),),MATCH(内訳計算!AZ$6,単価表!$AY$63:$CC$63,0)),0),0)</f>
        <v>0</v>
      </c>
      <c r="BA69" s="1023" cm="1">
        <f t="array" ref="BA69">IFERROR(ROUNDDOWN(INDEX(単価表!$AY$72:$CC$79,MATCH($V69&amp;$W69,INDEX(単価表!$AY$64:$AY$71&amp;単価表!$AZ$64:$AZ$71,),),MATCH(内訳計算!BA$6,単価表!$AY$63:$CC$63,0))*$Y69/25,0),0)</f>
        <v>0</v>
      </c>
      <c r="BB69" s="1021" cm="1">
        <f t="array" ref="BB69">IFERROR(INDEX(単価表!$AY$72:$CC$79,MATCH($V69&amp;$W69,INDEX(単価表!$AY$64:$AY$71&amp;単価表!$AZ$64:$AZ$71,),),MATCH(内訳計算!BB$6,単価表!$AY$63:$CC$63,0)),0)</f>
        <v>0</v>
      </c>
      <c r="BC69" s="1023" cm="1">
        <f t="array" ref="BC69">IFERROR(ROUNDDOWN(INDEX(単価表!$AY$72:$CC$79,MATCH($V69&amp;$W69,INDEX(単価表!$AY$64:$AY$71&amp;単価表!$AZ$64:$AZ$71,),),MATCH(内訳計算!BC$6,単価表!$AY$63:$CC$63,0))*$Y69/25,0),0)</f>
        <v>0</v>
      </c>
      <c r="BD69" s="985">
        <f>IFERROR(IF(HLOOKUP($U69,加算と減算!$E$31:$P$32,2,FALSE)="○",IF(OR($U69=2,$U69=3),-(単価表!$AZ$23+単価表!$BA$23*基本情報!$G$7),-(単価表!$AZ$23+単価表!$BA$23*基本情報!$G$7)),0),0)</f>
        <v>0</v>
      </c>
      <c r="BE69" s="1007" t="e">
        <f t="shared" si="116"/>
        <v>#VALUE!</v>
      </c>
      <c r="BF69" s="1007" t="e">
        <f t="shared" si="117"/>
        <v>#VALUE!</v>
      </c>
      <c r="BG69" s="1030" t="e">
        <f t="shared" si="118"/>
        <v>#N/A</v>
      </c>
      <c r="BH69" s="1031">
        <f>IFERROR(IF(基本情報!$E$12&lt;&gt;"",-ROUNDDOWN((AA69+AE69+AH69+AL69)*基本情報!$H$13/100,-1),0),0)</f>
        <v>0</v>
      </c>
      <c r="BI69" s="1007" t="e">
        <f t="shared" si="119"/>
        <v>#VALUE!</v>
      </c>
      <c r="BJ69" s="1007" t="e">
        <f t="shared" si="120"/>
        <v>#VALUE!</v>
      </c>
      <c r="BK69" s="1008" t="e">
        <f t="shared" si="121"/>
        <v>#N/A</v>
      </c>
      <c r="BL69" s="1031">
        <f t="shared" si="122"/>
        <v>0</v>
      </c>
      <c r="BM69" s="1007" t="e">
        <f t="shared" si="123"/>
        <v>#VALUE!</v>
      </c>
      <c r="BN69" s="1007" t="e">
        <f t="shared" si="124"/>
        <v>#VALUE!</v>
      </c>
      <c r="BO69" s="1008" t="e">
        <f t="shared" si="125"/>
        <v>#N/A</v>
      </c>
      <c r="BP69" s="1006">
        <f>IFERROR(-ROUNDUP(SUM(AA69,AE69,AH69,AL69,AR69,AT69,AV69,BD69,BH69,BL69)*基本情報!$H$15/100,-1),0)</f>
        <v>0</v>
      </c>
      <c r="BQ69" s="1007" t="e">
        <f t="shared" si="126"/>
        <v>#VALUE!</v>
      </c>
      <c r="BR69" s="1007" t="e">
        <f t="shared" si="127"/>
        <v>#VALUE!</v>
      </c>
      <c r="BS69" s="1008" t="e">
        <f t="shared" si="128"/>
        <v>#N/A</v>
      </c>
      <c r="BT69" s="721"/>
      <c r="BU69" s="1043" t="e">
        <f t="shared" si="129"/>
        <v>#VALUE!</v>
      </c>
      <c r="BV69" s="1044" t="e">
        <f t="shared" si="130"/>
        <v>#VALUE!</v>
      </c>
      <c r="BW69" s="1044" t="e">
        <f t="shared" si="131"/>
        <v>#N/A</v>
      </c>
      <c r="BX69" s="1051">
        <f t="shared" si="132"/>
        <v>0</v>
      </c>
      <c r="BY69" s="1045">
        <f t="shared" si="133"/>
        <v>0</v>
      </c>
      <c r="DC69" s="1068" t="s">
        <v>698</v>
      </c>
      <c r="DD69" s="1069"/>
      <c r="DE69" s="1069"/>
      <c r="DF69" s="1069"/>
      <c r="DG69" s="1069"/>
      <c r="DH69" s="1069"/>
      <c r="DI69" s="1069"/>
      <c r="DJ69" s="1069"/>
    </row>
    <row r="70" spans="1:114" ht="19.5" customHeight="1" thickBot="1">
      <c r="C70" s="1662" t="s">
        <v>682</v>
      </c>
      <c r="D70" s="1662"/>
      <c r="E70" s="960">
        <f>基本情報!C7</f>
        <v>0</v>
      </c>
      <c r="T70" s="682">
        <v>9</v>
      </c>
      <c r="U70" s="918">
        <f>月途中入退所情報!D39</f>
        <v>0</v>
      </c>
      <c r="V70" s="918">
        <f>月途中入退所情報!H39</f>
        <v>0</v>
      </c>
      <c r="W70" s="918">
        <f>月途中入退所情報!G39</f>
        <v>0</v>
      </c>
      <c r="X70" s="945">
        <f>月途中入退所情報!I39</f>
        <v>0</v>
      </c>
      <c r="Y70" s="918">
        <f>月途中入退所情報!J39</f>
        <v>0</v>
      </c>
      <c r="Z70" s="840">
        <f t="shared" si="114"/>
        <v>0</v>
      </c>
      <c r="AA70" s="1021" cm="1">
        <f t="array" ref="AA70">IFERROR(IF(OR($U70=2,$U70=3),
INDEX(単価表!$AY$72:$CC$79,MATCH($V70&amp;$W70,INDEX(単価表!$AY$64:$AY$71&amp;単価表!$AZ$64:$AZ$71,),),MATCH(内訳計算!AA$6,単価表!$AY$63:$CC$63,0)),
INDEX(単価表!$AY$72:$CC$79,MATCH($V70&amp;$W70,INDEX(単価表!$AY$64:$AY$71&amp;単価表!$AZ$64:$AZ$71,),),MATCH(内訳計算!AA$6,単価表!$AY$63:$CC$63,0))),0)</f>
        <v>0</v>
      </c>
      <c r="AB70" s="1022" t="e">
        <f t="shared" si="115"/>
        <v>#VALUE!</v>
      </c>
      <c r="AC70" s="1022" cm="1">
        <f t="array" ref="AC70">IFERROR(ROUNDDOWN(IF(OR($U70=2,$U70=3),
INDEX(単価表!$AY$72:$CC$79,MATCH($V70&amp;$W70,INDEX(単価表!$AY$64:$AY$71&amp;単価表!$AZ$64:$AZ$71,),),MATCH(内訳計算!AC$6,単価表!$AY$63:$CC$63,0)),
INDEX(単価表!$AY$72:$CC$79,MATCH($V70&amp;$W70,INDEX(単価表!$AY$64:$AY$71&amp;単価表!$AZ$64:$AZ$71,),),MATCH(内訳計算!AC$6,単価表!$AY$63:$CC$63,0)))*$Y70/25,0),0)</f>
        <v>0</v>
      </c>
      <c r="AD70" s="1023" cm="1">
        <f t="array" ref="AD70">IFERROR(ROUNDDOWN(IF(OR($U70=2,$U70=3),
INDEX(単価表!$AY$72:$CC$79,MATCH($V70&amp;$W70,INDEX(単価表!$AY$64:$AY$71&amp;単価表!$AZ$64:$AZ$71,),),MATCH(内訳計算!AD$6,単価表!$AY$63:$CC$63,0)),
INDEX(単価表!$AY$72:$CC$79,MATCH($V70&amp;$W70,INDEX(単価表!$AY$64:$AY$71&amp;単価表!$AZ$64:$AZ$71,),),MATCH(内訳計算!AD$6,単価表!$AY$63:$CC$63,0)))*$Y70/25,0),0)</f>
        <v>0</v>
      </c>
      <c r="AE70" s="1021" cm="1">
        <f t="array" ref="AE70">IFERROR(IF(OR($U70=2,$U70=3),
INDEX(単価表!$AY$72:$CC$79,MATCH($V70&amp;$W70,INDEX(単価表!$AY$64:$AY$71&amp;単価表!$AZ$64:$AZ$71,),),MATCH(内訳計算!AE$6,単価表!$AY$63:$CC$63,0)),
INDEX(単価表!$AY$72:$CC$79,MATCH($V70&amp;$W70,INDEX(単価表!$AY$64:$AY$71&amp;単価表!$AZ$64:$AZ$71,),),MATCH(内訳計算!AE$6,単価表!$AY$63:$CC$63,0))),0)</f>
        <v>0</v>
      </c>
      <c r="AF70" s="1022" cm="1">
        <f t="array" ref="AF70">IFERROR(ROUNDDOWN(IF(OR($U70=2,$U70=3),
INDEX(単価表!$AY$72:$CC$79,MATCH($V70&amp;$W70,INDEX(単価表!$AY$64:$AY$71&amp;単価表!$AZ$64:$AZ$71,),),MATCH(内訳計算!AF$6,単価表!$AY$63:$CC$63,0)),
INDEX(単価表!$AY$72:$CC$79,MATCH($V70&amp;$W70,INDEX(単価表!$AY$64:$AY$71&amp;単価表!$AZ$64:$AZ$71,),),MATCH(内訳計算!AF$6,単価表!$AY$63:$CC$63,0)))*$Y70/25,0),0)</f>
        <v>0</v>
      </c>
      <c r="AG70" s="1023" cm="1">
        <f t="array" ref="AG70">IFERROR(ROUNDDOWN(IF(OR($U70=2,$U70=3),
INDEX(単価表!$AY$72:$CC$79,MATCH($V70&amp;$W70,INDEX(単価表!$AY$64:$AY$71&amp;単価表!$AZ$64:$AZ$71,),),MATCH(内訳計算!AG$6,単価表!$AY$63:$CC$63,0)),
INDEX(単価表!$AY$72:$CC$79,MATCH($V70&amp;$W70,INDEX(単価表!$AY$64:$AY$71&amp;単価表!$AZ$64:$AZ$71,),),MATCH(内訳計算!AG$6,単価表!$AY$63:$CC$63,0)))*$Y70/25,0),0)</f>
        <v>0</v>
      </c>
      <c r="AH70" s="1021" cm="1">
        <f t="array" ref="AH70">IFERROR(IF(HLOOKUP($U70,加算と減算!$E$4:$P$10,2,FALSE)="○",IF(OR($U70=2,$U70=3),
INDEX(単価表!$AY$72:$CC$79,MATCH($V70&amp;$W70,INDEX(単価表!$AY$64:$AY$71&amp;単価表!$AZ$64:$AZ$71,),),MATCH(内訳計算!AH$6,単価表!$AY$63:$CC$63,0)),
INDEX(単価表!$AY$72:$CC$79,MATCH($V70&amp;$W70,INDEX(単価表!$AY$64:$AY$71&amp;単価表!$AZ$64:$AZ$71,),),MATCH(内訳計算!AH$6,単価表!$AY$63:$CC$63,0))),0),0)</f>
        <v>0</v>
      </c>
      <c r="AI70" s="1024" cm="1">
        <f t="array" ref="AI70">IFERROR(ROUNDDOWN(IF(HLOOKUP($U70,加算と減算!$E$4:$P$10,2,FALSE)="○",IF(OR($U70=2,$U70=3),
INDEX(単価表!$AY$72:$CC$79,MATCH($V70&amp;$W70,INDEX(単価表!$AY$64:$AY$71&amp;単価表!$AZ$64:$AZ$71,),),MATCH(内訳計算!AI$6,単価表!$AY$63:$CC$63,0)),
INDEX(単価表!$AY$72:$CC$79,MATCH($V70&amp;$W70,INDEX(単価表!$AY$64:$AY$71&amp;単価表!$AZ$64:$AZ$71,),),MATCH(内訳計算!AI$6,単価表!$AY$63:$CC$63,0))),0)*$Y70/25,0),0)</f>
        <v>0</v>
      </c>
      <c r="AJ70" s="1022" cm="1">
        <f t="array" ref="AJ70">IFERROR(ROUNDDOWN(IF(HLOOKUP($U70,加算と減算!$E$4:$P$10,2,FALSE)="○",IF(OR($U70=2,$U70=3),
INDEX(単価表!$AY$72:$CC$79,MATCH($V70&amp;$W70,INDEX(単価表!$AY$64:$AY$71&amp;単価表!$AZ$64:$AZ$71,),),MATCH(内訳計算!AJ$6,単価表!$AY$63:$CC$63,0)),
INDEX(単価表!$AY$72:$CC$79,MATCH($V70&amp;$W70,INDEX(単価表!$AY$64:$AY$71&amp;単価表!$AZ$64:$AZ$71,),),MATCH(内訳計算!AJ$6,単価表!$AY$63:$CC$63,0))),0)*$Y70/25,0),0)</f>
        <v>0</v>
      </c>
      <c r="AK70" s="1023" cm="1">
        <f t="array" ref="AK70">IFERROR(ROUNDDOWN(IF(HLOOKUP($U70,加算と減算!$E$4:$P$10,2,FALSE)="○",IF(OR($U70=2,$U70=3),
INDEX(単価表!$AY$72:$CC$79,MATCH($V70&amp;$W70,INDEX(単価表!$AY$64:$AY$71&amp;単価表!$AZ$64:$AZ$71,),),MATCH(内訳計算!AK$6,単価表!$AY$63:$CC$63,0)),
INDEX(単価表!$AY$72:$CC$79,MATCH($V70&amp;$W70,INDEX(単価表!$AY$64:$AY$71&amp;単価表!$AZ$64:$AZ$71,),),MATCH(内訳計算!AK$6,単価表!$AY$63:$CC$63,0))),0)*$Y70/25,0),0)</f>
        <v>0</v>
      </c>
      <c r="AL70" s="1021" cm="1">
        <f t="array" ref="AL70">IFERROR(IF(HLOOKUP($U70,加算と減算!$E$4:$P$10,4,FALSE)="○",IF(OR($U70=2,$U70=3),
INDEX(単価表!$AY$72:$CC$79,MATCH($V70&amp;$W70,INDEX(単価表!$AY$64:$AY$71&amp;単価表!$AZ$64:$AZ$71,),),MATCH(内訳計算!AL$6,単価表!$AY$63:$CC$63,0)),
INDEX(単価表!$AY$72:$CC$79,MATCH($V70&amp;$W70,INDEX(単価表!$AY$64:$AY$71&amp;単価表!$AZ$64:$AZ$71,),),MATCH(内訳計算!AL$6,単価表!$AY$63:$CC$63,0))),0),0)</f>
        <v>0</v>
      </c>
      <c r="AM70" s="1022" cm="1">
        <f t="array" ref="AM70">IFERROR(ROUNDDOWN(IF(HLOOKUP($U70,加算と減算!$E$4:$P$10,4,FALSE)="○",IF(OR($U70=2,$U70=3),
INDEX(単価表!$AY$72:$CC$79,MATCH($V70&amp;$W70,INDEX(単価表!$AY$64:$AY$71&amp;単価表!$AZ$64:$AZ$71,),),MATCH(内訳計算!AM$6,単価表!$AY$63:$CC$63,0)),
INDEX(単価表!$AY$72:$CC$79,MATCH($V70&amp;$W70,INDEX(単価表!$AY$64:$AY$71&amp;単価表!$AZ$64:$AZ$71,),),MATCH(内訳計算!AM$6,単価表!$AY$63:$CC$63,0))),0)*$Y70/25,0),0)</f>
        <v>0</v>
      </c>
      <c r="AN70" s="1022" cm="1">
        <f t="array" ref="AN70">IFERROR(ROUNDDOWN(IF(HLOOKUP($U70,加算と減算!$E$4:$P$10,4,FALSE)="○",IF(OR($U70=2,$U70=3),
INDEX(単価表!$AY$72:$CC$79,MATCH($V70&amp;$W70,INDEX(単価表!$AY$64:$AY$71&amp;単価表!$AZ$64:$AZ$71,),),MATCH(内訳計算!AN$6,単価表!$AY$63:$CC$63,0)),
INDEX(単価表!$AY$72:$CC$79,MATCH($V70&amp;$W70,INDEX(単価表!$AY$64:$AY$71&amp;単価表!$AZ$64:$AZ$71,),),MATCH(内訳計算!AN$6,単価表!$AY$63:$CC$63,0))),0)*$Y70/25,0),0)</f>
        <v>0</v>
      </c>
      <c r="AO70" s="1022" cm="1">
        <f t="array" ref="AO70">IFERROR(ROUNDDOWN(IF(HLOOKUP($U70,加算と減算!$E$4:$P$10,4,FALSE)="○",IF(OR($U70=2,$U70=3),
INDEX(単価表!$AY$72:$CC$79,MATCH($V70&amp;$W70,INDEX(単価表!$AY$64:$AY$71&amp;単価表!$AZ$64:$AZ$71,),),MATCH(内訳計算!AO$6,単価表!$AY$63:$CC$63,0)),
INDEX(単価表!$AY$72:$CC$79,MATCH($V70&amp;$W70,INDEX(単価表!$AY$64:$AY$71&amp;単価表!$AZ$64:$AZ$71,),),MATCH(内訳計算!AO$6,単価表!$AY$63:$CC$63,0))),0)*$Y70/25,0),0)</f>
        <v>0</v>
      </c>
      <c r="AP70" s="1022" cm="1">
        <f t="array" ref="AP70">IFERROR(ROUNDDOWN(IF(HLOOKUP($U70,加算と減算!$E$4:$P$10,4,FALSE)="○",IF(OR($U70=2,$U70=3),
INDEX(単価表!$AY$72:$CC$79,MATCH($V70&amp;$W70,INDEX(単価表!$AY$64:$AY$71&amp;単価表!$AZ$64:$AZ$71,),),MATCH(内訳計算!AP$6,単価表!$AY$63:$CC$63,0)),
INDEX(単価表!$AY$72:$CC$79,MATCH($V70&amp;$W70,INDEX(単価表!$AY$64:$AY$71&amp;単価表!$AZ$64:$AZ$71,),),MATCH(内訳計算!AP$6,単価表!$AY$63:$CC$63,0))),0)*$Y70/25,0),0)</f>
        <v>0</v>
      </c>
      <c r="AQ70" s="1023" cm="1">
        <f t="array" ref="AQ70">IFERROR(ROUNDDOWN(IF(HLOOKUP($U70,加算と減算!$E$4:$P$10,4,FALSE)="○",IF(OR($U70=2,$U70=3),
INDEX(単価表!$AY$72:$CC$79,MATCH($V70&amp;$W70,INDEX(単価表!$AY$64:$AY$71&amp;単価表!$AZ$64:$AZ$71,),),MATCH(内訳計算!AQ$6,単価表!$AY$63:$CC$63,0)),
INDEX(単価表!$AY$72:$CC$79,MATCH($V70&amp;$W70,INDEX(単価表!$AY$64:$AY$71&amp;単価表!$AZ$64:$AZ$71,),),MATCH(内訳計算!AQ$6,単価表!$AY$63:$CC$63,0))),0)*$Y70/25,0),0)</f>
        <v>0</v>
      </c>
      <c r="AR70" s="1021" cm="1">
        <f t="array" ref="AR70">IFERROR(IF(HLOOKUP($U70,加算と減算!$E$4:$P$10,5,FALSE)="○",IF(OR($U70=2,$U70=3),
INDEX(単価表!$AY$72:$CC$79,MATCH($V70&amp;$W70,INDEX(単価表!$AY$64:$AY$71&amp;単価表!$AZ$64:$AZ$71,),),MATCH(内訳計算!AR$6,単価表!$AY$63:$CC$63,0)),
INDEX(単価表!$AY$72:$CC$79,MATCH($V70&amp;$W70,INDEX(単価表!$AY$64:$AY$71&amp;単価表!$AZ$64:$AZ$71,),),MATCH(内訳計算!AR$6,単価表!$AY$63:$CC$63,0))),0),0)</f>
        <v>0</v>
      </c>
      <c r="AS70" s="1023" cm="1">
        <f t="array" ref="AS70">IFERROR(ROUNDDOWN(IF(HLOOKUP($U70,加算と減算!$E$4:$P$10,5,FALSE)="○",IF(OR($U70=2,$U70=3),
INDEX(単価表!$AY$72:$CC$79,MATCH($V70&amp;$W70,INDEX(単価表!$AY$64:$AY$71&amp;単価表!$AZ$64:$AZ$71,),),MATCH(内訳計算!AS$6,単価表!$AY$63:$CC$63,0)),
INDEX(単価表!$AY$72:$CC$79,MATCH($V70&amp;$W70,INDEX(単価表!$AY$64:$AY$71&amp;単価表!$AZ$64:$AZ$71,),),MATCH(内訳計算!AS$6,単価表!$AY$63:$CC$63,0))),0)*$Y70/25,0),0)</f>
        <v>0</v>
      </c>
      <c r="AT70" s="1021" cm="1">
        <f t="array" ref="AT70">IFERROR(IF(HLOOKUP($U70,加算と減算!$E$4:$P$10,6,FALSE)="○",IF(OR($U70=2,$U70=3),
INDEX(単価表!$AY$72:$CC$79,MATCH($V70&amp;$W70,INDEX(単価表!$AY$64:$AY$71&amp;単価表!$AZ$64:$AZ$71,),),MATCH(内訳計算!AT$6,単価表!$AY$63:$CC$63,0)),
INDEX(単価表!$AY$72:$CC$79,MATCH($V70&amp;$W70,INDEX(単価表!$AY$64:$AY$71&amp;単価表!$AZ$64:$AZ$71,),),MATCH(内訳計算!AT$6,単価表!$AY$63:$CC$63,0))),0),0)</f>
        <v>0</v>
      </c>
      <c r="AU70" s="1023" cm="1">
        <f t="array" ref="AU70">IFERROR(ROUNDDOWN(IF(HLOOKUP($U70,加算と減算!$E$4:$P$10,6,FALSE)="○",IF(OR($U70=2,$U70=3),
INDEX(単価表!$AY$72:$CC$79,MATCH($V70&amp;$W70,INDEX(単価表!$AY$64:$AY$71&amp;単価表!$AZ$64:$AZ$71,),),MATCH(内訳計算!AU$6,単価表!$AY$63:$CC$63,0)),
INDEX(単価表!$AY$72:$CC$79,MATCH($V70&amp;$W70,INDEX(単価表!$AY$64:$AY$71&amp;単価表!$AZ$64:$AZ$71,),),MATCH(内訳計算!AU$6,単価表!$AY$63:$CC$63,0))),0)*$Y70/25,0),0)</f>
        <v>0</v>
      </c>
      <c r="AV70" s="1021" cm="1">
        <f t="array" ref="AV70">IFERROR(IF(HLOOKUP($U70,加算と減算!$E$4:$P$10,7,FALSE)="○",IF(OR($U70=2,$U70=3),
INDEX(単価表!$AY$72:$CC$79,MATCH($V70&amp;$W70,INDEX(単価表!$AY$64:$AY$71&amp;単価表!$AZ$64:$AZ$71,),),MATCH(内訳計算!AV$6,単価表!$AY$63:$CC$63,0)),
INDEX(単価表!$AY$72:$CC$79,MATCH($V70&amp;$W70,INDEX(単価表!$AY$64:$AY$71&amp;単価表!$AZ$64:$AZ$71,),),MATCH(内訳計算!AV$6,単価表!$AY$63:$CC$63,0))),0),0)</f>
        <v>0</v>
      </c>
      <c r="AW70" s="1022" cm="1">
        <f t="array" ref="AW70">IFERROR(ROUNDDOWN(IF(HLOOKUP($U70,加算と減算!$E$4:$P$10,7,FALSE)="○",IF(OR($U70=2,$U70=3),
INDEX(単価表!$AY$72:$CC$79,MATCH($V70&amp;$W70,INDEX(単価表!$AY$64:$AY$71&amp;単価表!$AZ$64:$AZ$71,),),MATCH(内訳計算!AW$6,単価表!$AY$63:$CC$63,0)),
INDEX(単価表!$AY$72:$CC$79,MATCH($V70&amp;$W70,INDEX(単価表!$AY$64:$AY$71&amp;単価表!$AZ$64:$AZ$71,),),MATCH(内訳計算!AW$6,単価表!$AY$63:$CC$63,0))),0)*$Y70/25,0),0)</f>
        <v>0</v>
      </c>
      <c r="AX70" s="1022" cm="1">
        <f t="array" ref="AX70">IFERROR(ROUNDDOWN(IF(HLOOKUP($U70,加算と減算!$E$4:$P$10,7,FALSE)="○",IF(OR($U70=2,$U70=3),
INDEX(単価表!$AY$72:$CC$79,MATCH($V70&amp;$W70,INDEX(単価表!$AY$64:$AY$71&amp;単価表!$AZ$64:$AZ$71,),),MATCH(内訳計算!AX$6,単価表!$AY$63:$CC$63,0)),
INDEX(単価表!$AY$72:$CC$79,MATCH($V70&amp;$W70,INDEX(単価表!$AY$64:$AY$71&amp;単価表!$AZ$64:$AZ$71,),),MATCH(内訳計算!AX$6,単価表!$AY$63:$CC$63,0))),0)*$Y70/25,0),0)</f>
        <v>0</v>
      </c>
      <c r="AY70" s="1023" cm="1">
        <f t="array" ref="AY70">IFERROR(ROUNDDOWN(IF(HLOOKUP($U70,加算と減算!$E$4:$P$10,7,FALSE)="○",IF(OR($U70=2,$U70=3),
INDEX(単価表!$AY$72:$CC$79,MATCH($V70&amp;$W70,INDEX(単価表!$AY$64:$AY$71&amp;単価表!$AZ$64:$AZ$71,),),MATCH(内訳計算!AY$6,単価表!$AY$63:$CC$63,0)),
INDEX(単価表!$AY$72:$CC$79,MATCH($V70&amp;$W70,INDEX(単価表!$AY$64:$AY$71&amp;単価表!$AZ$64:$AZ$71,),),MATCH(内訳計算!AY$6,単価表!$AY$63:$CC$63,0))),0)*$Y70/25,0),0)</f>
        <v>0</v>
      </c>
      <c r="AZ70" s="1021" cm="1">
        <f t="array" ref="AZ70">IFERROR(IF(X70="○",INDEX(単価表!$AY$72:$CC$79,MATCH($V70&amp;$W70,INDEX(単価表!$AY$64:$AY$71&amp;単価表!$AZ$64:$AZ$71,),),MATCH(内訳計算!AZ$6,単価表!$AY$63:$CC$63,0)),0),0)</f>
        <v>0</v>
      </c>
      <c r="BA70" s="1023" cm="1">
        <f t="array" ref="BA70">IFERROR(ROUNDDOWN(INDEX(単価表!$AY$72:$CC$79,MATCH($V70&amp;$W70,INDEX(単価表!$AY$64:$AY$71&amp;単価表!$AZ$64:$AZ$71,),),MATCH(内訳計算!BA$6,単価表!$AY$63:$CC$63,0))*$Y70/25,0),0)</f>
        <v>0</v>
      </c>
      <c r="BB70" s="1021" cm="1">
        <f t="array" ref="BB70">IFERROR(INDEX(単価表!$AY$72:$CC$79,MATCH($V70&amp;$W70,INDEX(単価表!$AY$64:$AY$71&amp;単価表!$AZ$64:$AZ$71,),),MATCH(内訳計算!BB$6,単価表!$AY$63:$CC$63,0)),0)</f>
        <v>0</v>
      </c>
      <c r="BC70" s="1023" cm="1">
        <f t="array" ref="BC70">IFERROR(ROUNDDOWN(INDEX(単価表!$AY$72:$CC$79,MATCH($V70&amp;$W70,INDEX(単価表!$AY$64:$AY$71&amp;単価表!$AZ$64:$AZ$71,),),MATCH(内訳計算!BC$6,単価表!$AY$63:$CC$63,0))*$Y70/25,0),0)</f>
        <v>0</v>
      </c>
      <c r="BD70" s="985">
        <f>IFERROR(IF(HLOOKUP($U70,加算と減算!$E$31:$P$32,2,FALSE)="○",IF(OR($U70=2,$U70=3),-(単価表!$AZ$23+単価表!$BA$23*基本情報!$G$7),-(単価表!$AZ$23+単価表!$BA$23*基本情報!$G$7)),0),0)</f>
        <v>0</v>
      </c>
      <c r="BE70" s="1007" t="e">
        <f t="shared" si="116"/>
        <v>#VALUE!</v>
      </c>
      <c r="BF70" s="1007" t="e">
        <f t="shared" si="117"/>
        <v>#VALUE!</v>
      </c>
      <c r="BG70" s="1030" t="e">
        <f t="shared" si="118"/>
        <v>#N/A</v>
      </c>
      <c r="BH70" s="1031">
        <f>IFERROR(IF(基本情報!$E$12&lt;&gt;"",-ROUNDDOWN((AA70+AE70+AH70+AL70)*基本情報!$H$13/100,-1),0),0)</f>
        <v>0</v>
      </c>
      <c r="BI70" s="1007" t="e">
        <f t="shared" si="119"/>
        <v>#VALUE!</v>
      </c>
      <c r="BJ70" s="1007" t="e">
        <f t="shared" si="120"/>
        <v>#VALUE!</v>
      </c>
      <c r="BK70" s="1008" t="e">
        <f t="shared" si="121"/>
        <v>#N/A</v>
      </c>
      <c r="BL70" s="1031">
        <f t="shared" si="122"/>
        <v>0</v>
      </c>
      <c r="BM70" s="1007" t="e">
        <f t="shared" si="123"/>
        <v>#VALUE!</v>
      </c>
      <c r="BN70" s="1007" t="e">
        <f t="shared" si="124"/>
        <v>#VALUE!</v>
      </c>
      <c r="BO70" s="1008" t="e">
        <f t="shared" si="125"/>
        <v>#N/A</v>
      </c>
      <c r="BP70" s="1006">
        <f>IFERROR(-ROUNDUP(SUM(AA70,AE70,AH70,AL70,AR70,AT70,AV70,BD70,BH70,BL70)*基本情報!$H$15/100,-1),0)</f>
        <v>0</v>
      </c>
      <c r="BQ70" s="1007" t="e">
        <f t="shared" si="126"/>
        <v>#VALUE!</v>
      </c>
      <c r="BR70" s="1007" t="e">
        <f t="shared" si="127"/>
        <v>#VALUE!</v>
      </c>
      <c r="BS70" s="1008" t="e">
        <f t="shared" si="128"/>
        <v>#N/A</v>
      </c>
      <c r="BT70" s="721"/>
      <c r="BU70" s="1043" t="e">
        <f t="shared" si="129"/>
        <v>#VALUE!</v>
      </c>
      <c r="BV70" s="1044" t="e">
        <f t="shared" si="130"/>
        <v>#VALUE!</v>
      </c>
      <c r="BW70" s="1044" t="e">
        <f t="shared" si="131"/>
        <v>#N/A</v>
      </c>
      <c r="BX70" s="1051">
        <f t="shared" si="132"/>
        <v>0</v>
      </c>
      <c r="BY70" s="1045">
        <f t="shared" si="133"/>
        <v>0</v>
      </c>
      <c r="CB70" s="1624" t="s">
        <v>710</v>
      </c>
      <c r="CC70" s="1624"/>
      <c r="CD70" s="1624"/>
      <c r="CE70" s="1624"/>
      <c r="CF70" s="746" t="e">
        <f>SUM(CF7:CF69)</f>
        <v>#VALUE!</v>
      </c>
      <c r="CG70" s="747" t="e">
        <f t="shared" ref="CG70:CR70" si="134">SUM(CG7:CG69)</f>
        <v>#VALUE!</v>
      </c>
      <c r="CH70" s="747" t="e">
        <f t="shared" si="134"/>
        <v>#VALUE!</v>
      </c>
      <c r="CI70" s="747" t="e">
        <f t="shared" si="134"/>
        <v>#VALUE!</v>
      </c>
      <c r="CJ70" s="747" t="e">
        <f t="shared" si="134"/>
        <v>#VALUE!</v>
      </c>
      <c r="CK70" s="747" t="e">
        <f t="shared" si="134"/>
        <v>#VALUE!</v>
      </c>
      <c r="CL70" s="747" t="e">
        <f t="shared" si="134"/>
        <v>#VALUE!</v>
      </c>
      <c r="CM70" s="747" t="e">
        <f t="shared" si="134"/>
        <v>#VALUE!</v>
      </c>
      <c r="CN70" s="747" t="e">
        <f t="shared" si="134"/>
        <v>#VALUE!</v>
      </c>
      <c r="CO70" s="747" t="e">
        <f t="shared" si="134"/>
        <v>#VALUE!</v>
      </c>
      <c r="CP70" s="747" t="e">
        <f t="shared" si="134"/>
        <v>#VALUE!</v>
      </c>
      <c r="CQ70" s="748" t="e">
        <f t="shared" si="134"/>
        <v>#VALUE!</v>
      </c>
      <c r="CR70" s="749" t="e">
        <f t="shared" si="134"/>
        <v>#VALUE!</v>
      </c>
      <c r="CS70" s="707"/>
      <c r="CT70" s="707"/>
      <c r="DC70" s="1070" t="s">
        <v>697</v>
      </c>
      <c r="DD70" s="1069"/>
      <c r="DE70" s="1069"/>
      <c r="DF70" s="1069"/>
      <c r="DG70" s="1069"/>
      <c r="DH70" s="1069"/>
      <c r="DI70" s="1069"/>
      <c r="DJ70" s="1069"/>
    </row>
    <row r="71" spans="1:114" ht="19.5" thickBot="1">
      <c r="A71" s="1640" t="s">
        <v>600</v>
      </c>
      <c r="E71" s="671">
        <f>加算と減算!E6</f>
        <v>0</v>
      </c>
      <c r="F71" s="671" t="str">
        <f>加算と減算!F6</f>
        <v/>
      </c>
      <c r="G71" s="671" t="str">
        <f>加算と減算!G6</f>
        <v/>
      </c>
      <c r="H71" s="671" t="str">
        <f>加算と減算!H6</f>
        <v/>
      </c>
      <c r="I71" s="671" t="str">
        <f>加算と減算!I6</f>
        <v/>
      </c>
      <c r="J71" s="671" t="str">
        <f>加算と減算!J6</f>
        <v/>
      </c>
      <c r="K71" s="671" t="str">
        <f>加算と減算!K6</f>
        <v/>
      </c>
      <c r="L71" s="671" t="str">
        <f>加算と減算!L6</f>
        <v/>
      </c>
      <c r="M71" s="671" t="str">
        <f>加算と減算!M6</f>
        <v/>
      </c>
      <c r="N71" s="671" t="str">
        <f>加算と減算!N6</f>
        <v/>
      </c>
      <c r="O71" s="671" t="str">
        <f>加算と減算!O6</f>
        <v/>
      </c>
      <c r="P71" s="671" t="str">
        <f>加算と減算!P6</f>
        <v/>
      </c>
      <c r="T71" s="682">
        <v>10</v>
      </c>
      <c r="U71" s="918">
        <f>月途中入退所情報!D40</f>
        <v>0</v>
      </c>
      <c r="V71" s="918">
        <f>月途中入退所情報!H40</f>
        <v>0</v>
      </c>
      <c r="W71" s="918">
        <f>月途中入退所情報!G40</f>
        <v>0</v>
      </c>
      <c r="X71" s="945">
        <f>月途中入退所情報!I40</f>
        <v>0</v>
      </c>
      <c r="Y71" s="918">
        <f>月途中入退所情報!J40</f>
        <v>0</v>
      </c>
      <c r="Z71" s="840">
        <f t="shared" si="114"/>
        <v>0</v>
      </c>
      <c r="AA71" s="1021" cm="1">
        <f t="array" ref="AA71">IFERROR(IF(OR($U71=2,$U71=3),
INDEX(単価表!$AY$72:$CC$79,MATCH($V71&amp;$W71,INDEX(単価表!$AY$64:$AY$71&amp;単価表!$AZ$64:$AZ$71,),),MATCH(内訳計算!AA$6,単価表!$AY$63:$CC$63,0)),
INDEX(単価表!$AY$72:$CC$79,MATCH($V71&amp;$W71,INDEX(単価表!$AY$64:$AY$71&amp;単価表!$AZ$64:$AZ$71,),),MATCH(内訳計算!AA$6,単価表!$AY$63:$CC$63,0))),0)</f>
        <v>0</v>
      </c>
      <c r="AB71" s="1022" t="e">
        <f t="shared" si="115"/>
        <v>#VALUE!</v>
      </c>
      <c r="AC71" s="1022" cm="1">
        <f t="array" ref="AC71">IFERROR(ROUNDDOWN(IF(OR($U71=2,$U71=3),
INDEX(単価表!$AY$72:$CC$79,MATCH($V71&amp;$W71,INDEX(単価表!$AY$64:$AY$71&amp;単価表!$AZ$64:$AZ$71,),),MATCH(内訳計算!AC$6,単価表!$AY$63:$CC$63,0)),
INDEX(単価表!$AY$72:$CC$79,MATCH($V71&amp;$W71,INDEX(単価表!$AY$64:$AY$71&amp;単価表!$AZ$64:$AZ$71,),),MATCH(内訳計算!AC$6,単価表!$AY$63:$CC$63,0)))*$Y71/25,0),0)</f>
        <v>0</v>
      </c>
      <c r="AD71" s="1023" cm="1">
        <f t="array" ref="AD71">IFERROR(ROUNDDOWN(IF(OR($U71=2,$U71=3),
INDEX(単価表!$AY$72:$CC$79,MATCH($V71&amp;$W71,INDEX(単価表!$AY$64:$AY$71&amp;単価表!$AZ$64:$AZ$71,),),MATCH(内訳計算!AD$6,単価表!$AY$63:$CC$63,0)),
INDEX(単価表!$AY$72:$CC$79,MATCH($V71&amp;$W71,INDEX(単価表!$AY$64:$AY$71&amp;単価表!$AZ$64:$AZ$71,),),MATCH(内訳計算!AD$6,単価表!$AY$63:$CC$63,0)))*$Y71/25,0),0)</f>
        <v>0</v>
      </c>
      <c r="AE71" s="1021" cm="1">
        <f t="array" ref="AE71">IFERROR(IF(OR($U71=2,$U71=3),
INDEX(単価表!$AY$72:$CC$79,MATCH($V71&amp;$W71,INDEX(単価表!$AY$64:$AY$71&amp;単価表!$AZ$64:$AZ$71,),),MATCH(内訳計算!AE$6,単価表!$AY$63:$CC$63,0)),
INDEX(単価表!$AY$72:$CC$79,MATCH($V71&amp;$W71,INDEX(単価表!$AY$64:$AY$71&amp;単価表!$AZ$64:$AZ$71,),),MATCH(内訳計算!AE$6,単価表!$AY$63:$CC$63,0))),0)</f>
        <v>0</v>
      </c>
      <c r="AF71" s="1022" cm="1">
        <f t="array" ref="AF71">IFERROR(ROUNDDOWN(IF(OR($U71=2,$U71=3),
INDEX(単価表!$AY$72:$CC$79,MATCH($V71&amp;$W71,INDEX(単価表!$AY$64:$AY$71&amp;単価表!$AZ$64:$AZ$71,),),MATCH(内訳計算!AF$6,単価表!$AY$63:$CC$63,0)),
INDEX(単価表!$AY$72:$CC$79,MATCH($V71&amp;$W71,INDEX(単価表!$AY$64:$AY$71&amp;単価表!$AZ$64:$AZ$71,),),MATCH(内訳計算!AF$6,単価表!$AY$63:$CC$63,0)))*$Y71/25,0),0)</f>
        <v>0</v>
      </c>
      <c r="AG71" s="1023" cm="1">
        <f t="array" ref="AG71">IFERROR(ROUNDDOWN(IF(OR($U71=2,$U71=3),
INDEX(単価表!$AY$72:$CC$79,MATCH($V71&amp;$W71,INDEX(単価表!$AY$64:$AY$71&amp;単価表!$AZ$64:$AZ$71,),),MATCH(内訳計算!AG$6,単価表!$AY$63:$CC$63,0)),
INDEX(単価表!$AY$72:$CC$79,MATCH($V71&amp;$W71,INDEX(単価表!$AY$64:$AY$71&amp;単価表!$AZ$64:$AZ$71,),),MATCH(内訳計算!AG$6,単価表!$AY$63:$CC$63,0)))*$Y71/25,0),0)</f>
        <v>0</v>
      </c>
      <c r="AH71" s="1021" cm="1">
        <f t="array" ref="AH71">IFERROR(IF(HLOOKUP($U71,加算と減算!$E$4:$P$10,2,FALSE)="○",IF(OR($U71=2,$U71=3),
INDEX(単価表!$AY$72:$CC$79,MATCH($V71&amp;$W71,INDEX(単価表!$AY$64:$AY$71&amp;単価表!$AZ$64:$AZ$71,),),MATCH(内訳計算!AH$6,単価表!$AY$63:$CC$63,0)),
INDEX(単価表!$AY$72:$CC$79,MATCH($V71&amp;$W71,INDEX(単価表!$AY$64:$AY$71&amp;単価表!$AZ$64:$AZ$71,),),MATCH(内訳計算!AH$6,単価表!$AY$63:$CC$63,0))),0),0)</f>
        <v>0</v>
      </c>
      <c r="AI71" s="1024" cm="1">
        <f t="array" ref="AI71">IFERROR(ROUNDDOWN(IF(HLOOKUP($U71,加算と減算!$E$4:$P$10,2,FALSE)="○",IF(OR($U71=2,$U71=3),
INDEX(単価表!$AY$72:$CC$79,MATCH($V71&amp;$W71,INDEX(単価表!$AY$64:$AY$71&amp;単価表!$AZ$64:$AZ$71,),),MATCH(内訳計算!AI$6,単価表!$AY$63:$CC$63,0)),
INDEX(単価表!$AY$72:$CC$79,MATCH($V71&amp;$W71,INDEX(単価表!$AY$64:$AY$71&amp;単価表!$AZ$64:$AZ$71,),),MATCH(内訳計算!AI$6,単価表!$AY$63:$CC$63,0))),0)*$Y71/25,0),0)</f>
        <v>0</v>
      </c>
      <c r="AJ71" s="1022" cm="1">
        <f t="array" ref="AJ71">IFERROR(ROUNDDOWN(IF(HLOOKUP($U71,加算と減算!$E$4:$P$10,2,FALSE)="○",IF(OR($U71=2,$U71=3),
INDEX(単価表!$AY$72:$CC$79,MATCH($V71&amp;$W71,INDEX(単価表!$AY$64:$AY$71&amp;単価表!$AZ$64:$AZ$71,),),MATCH(内訳計算!AJ$6,単価表!$AY$63:$CC$63,0)),
INDEX(単価表!$AY$72:$CC$79,MATCH($V71&amp;$W71,INDEX(単価表!$AY$64:$AY$71&amp;単価表!$AZ$64:$AZ$71,),),MATCH(内訳計算!AJ$6,単価表!$AY$63:$CC$63,0))),0)*$Y71/25,0),0)</f>
        <v>0</v>
      </c>
      <c r="AK71" s="1023" cm="1">
        <f t="array" ref="AK71">IFERROR(ROUNDDOWN(IF(HLOOKUP($U71,加算と減算!$E$4:$P$10,2,FALSE)="○",IF(OR($U71=2,$U71=3),
INDEX(単価表!$AY$72:$CC$79,MATCH($V71&amp;$W71,INDEX(単価表!$AY$64:$AY$71&amp;単価表!$AZ$64:$AZ$71,),),MATCH(内訳計算!AK$6,単価表!$AY$63:$CC$63,0)),
INDEX(単価表!$AY$72:$CC$79,MATCH($V71&amp;$W71,INDEX(単価表!$AY$64:$AY$71&amp;単価表!$AZ$64:$AZ$71,),),MATCH(内訳計算!AK$6,単価表!$AY$63:$CC$63,0))),0)*$Y71/25,0),0)</f>
        <v>0</v>
      </c>
      <c r="AL71" s="1021" cm="1">
        <f t="array" ref="AL71">IFERROR(IF(HLOOKUP($U71,加算と減算!$E$4:$P$10,4,FALSE)="○",IF(OR($U71=2,$U71=3),
INDEX(単価表!$AY$72:$CC$79,MATCH($V71&amp;$W71,INDEX(単価表!$AY$64:$AY$71&amp;単価表!$AZ$64:$AZ$71,),),MATCH(内訳計算!AL$6,単価表!$AY$63:$CC$63,0)),
INDEX(単価表!$AY$72:$CC$79,MATCH($V71&amp;$W71,INDEX(単価表!$AY$64:$AY$71&amp;単価表!$AZ$64:$AZ$71,),),MATCH(内訳計算!AL$6,単価表!$AY$63:$CC$63,0))),0),0)</f>
        <v>0</v>
      </c>
      <c r="AM71" s="1022" cm="1">
        <f t="array" ref="AM71">IFERROR(ROUNDDOWN(IF(HLOOKUP($U71,加算と減算!$E$4:$P$10,4,FALSE)="○",IF(OR($U71=2,$U71=3),
INDEX(単価表!$AY$72:$CC$79,MATCH($V71&amp;$W71,INDEX(単価表!$AY$64:$AY$71&amp;単価表!$AZ$64:$AZ$71,),),MATCH(内訳計算!AM$6,単価表!$AY$63:$CC$63,0)),
INDEX(単価表!$AY$72:$CC$79,MATCH($V71&amp;$W71,INDEX(単価表!$AY$64:$AY$71&amp;単価表!$AZ$64:$AZ$71,),),MATCH(内訳計算!AM$6,単価表!$AY$63:$CC$63,0))),0)*$Y71/25,0),0)</f>
        <v>0</v>
      </c>
      <c r="AN71" s="1022" cm="1">
        <f t="array" ref="AN71">IFERROR(ROUNDDOWN(IF(HLOOKUP($U71,加算と減算!$E$4:$P$10,4,FALSE)="○",IF(OR($U71=2,$U71=3),
INDEX(単価表!$AY$72:$CC$79,MATCH($V71&amp;$W71,INDEX(単価表!$AY$64:$AY$71&amp;単価表!$AZ$64:$AZ$71,),),MATCH(内訳計算!AN$6,単価表!$AY$63:$CC$63,0)),
INDEX(単価表!$AY$72:$CC$79,MATCH($V71&amp;$W71,INDEX(単価表!$AY$64:$AY$71&amp;単価表!$AZ$64:$AZ$71,),),MATCH(内訳計算!AN$6,単価表!$AY$63:$CC$63,0))),0)*$Y71/25,0),0)</f>
        <v>0</v>
      </c>
      <c r="AO71" s="1022" cm="1">
        <f t="array" ref="AO71">IFERROR(ROUNDDOWN(IF(HLOOKUP($U71,加算と減算!$E$4:$P$10,4,FALSE)="○",IF(OR($U71=2,$U71=3),
INDEX(単価表!$AY$72:$CC$79,MATCH($V71&amp;$W71,INDEX(単価表!$AY$64:$AY$71&amp;単価表!$AZ$64:$AZ$71,),),MATCH(内訳計算!AO$6,単価表!$AY$63:$CC$63,0)),
INDEX(単価表!$AY$72:$CC$79,MATCH($V71&amp;$W71,INDEX(単価表!$AY$64:$AY$71&amp;単価表!$AZ$64:$AZ$71,),),MATCH(内訳計算!AO$6,単価表!$AY$63:$CC$63,0))),0)*$Y71/25,0),0)</f>
        <v>0</v>
      </c>
      <c r="AP71" s="1022" cm="1">
        <f t="array" ref="AP71">IFERROR(ROUNDDOWN(IF(HLOOKUP($U71,加算と減算!$E$4:$P$10,4,FALSE)="○",IF(OR($U71=2,$U71=3),
INDEX(単価表!$AY$72:$CC$79,MATCH($V71&amp;$W71,INDEX(単価表!$AY$64:$AY$71&amp;単価表!$AZ$64:$AZ$71,),),MATCH(内訳計算!AP$6,単価表!$AY$63:$CC$63,0)),
INDEX(単価表!$AY$72:$CC$79,MATCH($V71&amp;$W71,INDEX(単価表!$AY$64:$AY$71&amp;単価表!$AZ$64:$AZ$71,),),MATCH(内訳計算!AP$6,単価表!$AY$63:$CC$63,0))),0)*$Y71/25,0),0)</f>
        <v>0</v>
      </c>
      <c r="AQ71" s="1023" cm="1">
        <f t="array" ref="AQ71">IFERROR(ROUNDDOWN(IF(HLOOKUP($U71,加算と減算!$E$4:$P$10,4,FALSE)="○",IF(OR($U71=2,$U71=3),
INDEX(単価表!$AY$72:$CC$79,MATCH($V71&amp;$W71,INDEX(単価表!$AY$64:$AY$71&amp;単価表!$AZ$64:$AZ$71,),),MATCH(内訳計算!AQ$6,単価表!$AY$63:$CC$63,0)),
INDEX(単価表!$AY$72:$CC$79,MATCH($V71&amp;$W71,INDEX(単価表!$AY$64:$AY$71&amp;単価表!$AZ$64:$AZ$71,),),MATCH(内訳計算!AQ$6,単価表!$AY$63:$CC$63,0))),0)*$Y71/25,0),0)</f>
        <v>0</v>
      </c>
      <c r="AR71" s="1021" cm="1">
        <f t="array" ref="AR71">IFERROR(IF(HLOOKUP($U71,加算と減算!$E$4:$P$10,5,FALSE)="○",IF(OR($U71=2,$U71=3),
INDEX(単価表!$AY$72:$CC$79,MATCH($V71&amp;$W71,INDEX(単価表!$AY$64:$AY$71&amp;単価表!$AZ$64:$AZ$71,),),MATCH(内訳計算!AR$6,単価表!$AY$63:$CC$63,0)),
INDEX(単価表!$AY$72:$CC$79,MATCH($V71&amp;$W71,INDEX(単価表!$AY$64:$AY$71&amp;単価表!$AZ$64:$AZ$71,),),MATCH(内訳計算!AR$6,単価表!$AY$63:$CC$63,0))),0),0)</f>
        <v>0</v>
      </c>
      <c r="AS71" s="1023" cm="1">
        <f t="array" ref="AS71">IFERROR(ROUNDDOWN(IF(HLOOKUP($U71,加算と減算!$E$4:$P$10,5,FALSE)="○",IF(OR($U71=2,$U71=3),
INDEX(単価表!$AY$72:$CC$79,MATCH($V71&amp;$W71,INDEX(単価表!$AY$64:$AY$71&amp;単価表!$AZ$64:$AZ$71,),),MATCH(内訳計算!AS$6,単価表!$AY$63:$CC$63,0)),
INDEX(単価表!$AY$72:$CC$79,MATCH($V71&amp;$W71,INDEX(単価表!$AY$64:$AY$71&amp;単価表!$AZ$64:$AZ$71,),),MATCH(内訳計算!AS$6,単価表!$AY$63:$CC$63,0))),0)*$Y71/25,0),0)</f>
        <v>0</v>
      </c>
      <c r="AT71" s="1021" cm="1">
        <f t="array" ref="AT71">IFERROR(IF(HLOOKUP($U71,加算と減算!$E$4:$P$10,6,FALSE)="○",IF(OR($U71=2,$U71=3),
INDEX(単価表!$AY$72:$CC$79,MATCH($V71&amp;$W71,INDEX(単価表!$AY$64:$AY$71&amp;単価表!$AZ$64:$AZ$71,),),MATCH(内訳計算!AT$6,単価表!$AY$63:$CC$63,0)),
INDEX(単価表!$AY$72:$CC$79,MATCH($V71&amp;$W71,INDEX(単価表!$AY$64:$AY$71&amp;単価表!$AZ$64:$AZ$71,),),MATCH(内訳計算!AT$6,単価表!$AY$63:$CC$63,0))),0),0)</f>
        <v>0</v>
      </c>
      <c r="AU71" s="1023" cm="1">
        <f t="array" ref="AU71">IFERROR(ROUNDDOWN(IF(HLOOKUP($U71,加算と減算!$E$4:$P$10,6,FALSE)="○",IF(OR($U71=2,$U71=3),
INDEX(単価表!$AY$72:$CC$79,MATCH($V71&amp;$W71,INDEX(単価表!$AY$64:$AY$71&amp;単価表!$AZ$64:$AZ$71,),),MATCH(内訳計算!AU$6,単価表!$AY$63:$CC$63,0)),
INDEX(単価表!$AY$72:$CC$79,MATCH($V71&amp;$W71,INDEX(単価表!$AY$64:$AY$71&amp;単価表!$AZ$64:$AZ$71,),),MATCH(内訳計算!AU$6,単価表!$AY$63:$CC$63,0))),0)*$Y71/25,0),0)</f>
        <v>0</v>
      </c>
      <c r="AV71" s="1021" cm="1">
        <f t="array" ref="AV71">IFERROR(IF(HLOOKUP($U71,加算と減算!$E$4:$P$10,7,FALSE)="○",IF(OR($U71=2,$U71=3),
INDEX(単価表!$AY$72:$CC$79,MATCH($V71&amp;$W71,INDEX(単価表!$AY$64:$AY$71&amp;単価表!$AZ$64:$AZ$71,),),MATCH(内訳計算!AV$6,単価表!$AY$63:$CC$63,0)),
INDEX(単価表!$AY$72:$CC$79,MATCH($V71&amp;$W71,INDEX(単価表!$AY$64:$AY$71&amp;単価表!$AZ$64:$AZ$71,),),MATCH(内訳計算!AV$6,単価表!$AY$63:$CC$63,0))),0),0)</f>
        <v>0</v>
      </c>
      <c r="AW71" s="1022" cm="1">
        <f t="array" ref="AW71">IFERROR(ROUNDDOWN(IF(HLOOKUP($U71,加算と減算!$E$4:$P$10,7,FALSE)="○",IF(OR($U71=2,$U71=3),
INDEX(単価表!$AY$72:$CC$79,MATCH($V71&amp;$W71,INDEX(単価表!$AY$64:$AY$71&amp;単価表!$AZ$64:$AZ$71,),),MATCH(内訳計算!AW$6,単価表!$AY$63:$CC$63,0)),
INDEX(単価表!$AY$72:$CC$79,MATCH($V71&amp;$W71,INDEX(単価表!$AY$64:$AY$71&amp;単価表!$AZ$64:$AZ$71,),),MATCH(内訳計算!AW$6,単価表!$AY$63:$CC$63,0))),0)*$Y71/25,0),0)</f>
        <v>0</v>
      </c>
      <c r="AX71" s="1022" cm="1">
        <f t="array" ref="AX71">IFERROR(ROUNDDOWN(IF(HLOOKUP($U71,加算と減算!$E$4:$P$10,7,FALSE)="○",IF(OR($U71=2,$U71=3),
INDEX(単価表!$AY$72:$CC$79,MATCH($V71&amp;$W71,INDEX(単価表!$AY$64:$AY$71&amp;単価表!$AZ$64:$AZ$71,),),MATCH(内訳計算!AX$6,単価表!$AY$63:$CC$63,0)),
INDEX(単価表!$AY$72:$CC$79,MATCH($V71&amp;$W71,INDEX(単価表!$AY$64:$AY$71&amp;単価表!$AZ$64:$AZ$71,),),MATCH(内訳計算!AX$6,単価表!$AY$63:$CC$63,0))),0)*$Y71/25,0),0)</f>
        <v>0</v>
      </c>
      <c r="AY71" s="1023" cm="1">
        <f t="array" ref="AY71">IFERROR(ROUNDDOWN(IF(HLOOKUP($U71,加算と減算!$E$4:$P$10,7,FALSE)="○",IF(OR($U71=2,$U71=3),
INDEX(単価表!$AY$72:$CC$79,MATCH($V71&amp;$W71,INDEX(単価表!$AY$64:$AY$71&amp;単価表!$AZ$64:$AZ$71,),),MATCH(内訳計算!AY$6,単価表!$AY$63:$CC$63,0)),
INDEX(単価表!$AY$72:$CC$79,MATCH($V71&amp;$W71,INDEX(単価表!$AY$64:$AY$71&amp;単価表!$AZ$64:$AZ$71,),),MATCH(内訳計算!AY$6,単価表!$AY$63:$CC$63,0))),0)*$Y71/25,0),0)</f>
        <v>0</v>
      </c>
      <c r="AZ71" s="1021" cm="1">
        <f t="array" ref="AZ71">IFERROR(IF(X71="○",INDEX(単価表!$AY$72:$CC$79,MATCH($V71&amp;$W71,INDEX(単価表!$AY$64:$AY$71&amp;単価表!$AZ$64:$AZ$71,),),MATCH(内訳計算!AZ$6,単価表!$AY$63:$CC$63,0)),0),0)</f>
        <v>0</v>
      </c>
      <c r="BA71" s="1023" cm="1">
        <f t="array" ref="BA71">IFERROR(ROUNDDOWN(INDEX(単価表!$AY$72:$CC$79,MATCH($V71&amp;$W71,INDEX(単価表!$AY$64:$AY$71&amp;単価表!$AZ$64:$AZ$71,),),MATCH(内訳計算!BA$6,単価表!$AY$63:$CC$63,0))*$Y71/25,0),0)</f>
        <v>0</v>
      </c>
      <c r="BB71" s="1021" cm="1">
        <f t="array" ref="BB71">IFERROR(INDEX(単価表!$AY$72:$CC$79,MATCH($V71&amp;$W71,INDEX(単価表!$AY$64:$AY$71&amp;単価表!$AZ$64:$AZ$71,),),MATCH(内訳計算!BB$6,単価表!$AY$63:$CC$63,0)),0)</f>
        <v>0</v>
      </c>
      <c r="BC71" s="1023" cm="1">
        <f t="array" ref="BC71">IFERROR(ROUNDDOWN(INDEX(単価表!$AY$72:$CC$79,MATCH($V71&amp;$W71,INDEX(単価表!$AY$64:$AY$71&amp;単価表!$AZ$64:$AZ$71,),),MATCH(内訳計算!BC$6,単価表!$AY$63:$CC$63,0))*$Y71/25,0),0)</f>
        <v>0</v>
      </c>
      <c r="BD71" s="985">
        <f>IFERROR(IF(HLOOKUP($U71,加算と減算!$E$31:$P$32,2,FALSE)="○",IF(OR($U71=2,$U71=3),-(単価表!$AZ$23+単価表!$BA$23*基本情報!$G$7),-(単価表!$AZ$23+単価表!$BA$23*基本情報!$G$7)),0),0)</f>
        <v>0</v>
      </c>
      <c r="BE71" s="1007" t="e">
        <f t="shared" si="116"/>
        <v>#VALUE!</v>
      </c>
      <c r="BF71" s="1007" t="e">
        <f t="shared" si="117"/>
        <v>#VALUE!</v>
      </c>
      <c r="BG71" s="1030" t="e">
        <f t="shared" si="118"/>
        <v>#N/A</v>
      </c>
      <c r="BH71" s="1031">
        <f>IFERROR(IF(基本情報!$E$12&lt;&gt;"",-ROUNDDOWN((AA71+AE71+AH71+AL71)*基本情報!$H$13/100,-1),0),0)</f>
        <v>0</v>
      </c>
      <c r="BI71" s="1007" t="e">
        <f t="shared" si="119"/>
        <v>#VALUE!</v>
      </c>
      <c r="BJ71" s="1007" t="e">
        <f t="shared" si="120"/>
        <v>#VALUE!</v>
      </c>
      <c r="BK71" s="1008" t="e">
        <f t="shared" si="121"/>
        <v>#N/A</v>
      </c>
      <c r="BL71" s="1031">
        <f t="shared" si="122"/>
        <v>0</v>
      </c>
      <c r="BM71" s="1007" t="e">
        <f t="shared" si="123"/>
        <v>#VALUE!</v>
      </c>
      <c r="BN71" s="1007" t="e">
        <f t="shared" si="124"/>
        <v>#VALUE!</v>
      </c>
      <c r="BO71" s="1008" t="e">
        <f t="shared" si="125"/>
        <v>#N/A</v>
      </c>
      <c r="BP71" s="1006">
        <f>IFERROR(-ROUNDUP(SUM(AA71,AE71,AH71,AL71,AR71,AT71,AV71,BD71,BH71,BL71)*基本情報!$H$15/100,-1),0)</f>
        <v>0</v>
      </c>
      <c r="BQ71" s="1007" t="e">
        <f t="shared" si="126"/>
        <v>#VALUE!</v>
      </c>
      <c r="BR71" s="1007" t="e">
        <f t="shared" si="127"/>
        <v>#VALUE!</v>
      </c>
      <c r="BS71" s="1008" t="e">
        <f t="shared" si="128"/>
        <v>#N/A</v>
      </c>
      <c r="BT71" s="721"/>
      <c r="BU71" s="1043" t="e">
        <f t="shared" si="129"/>
        <v>#VALUE!</v>
      </c>
      <c r="BV71" s="1044" t="e">
        <f t="shared" si="130"/>
        <v>#VALUE!</v>
      </c>
      <c r="BW71" s="1044" t="e">
        <f t="shared" si="131"/>
        <v>#N/A</v>
      </c>
      <c r="BX71" s="1051">
        <f t="shared" si="132"/>
        <v>0</v>
      </c>
      <c r="BY71" s="1046">
        <f t="shared" si="133"/>
        <v>0</v>
      </c>
      <c r="CF71" s="671" t="s">
        <v>564</v>
      </c>
      <c r="CG71" s="671" t="s">
        <v>464</v>
      </c>
      <c r="CH71" s="671" t="s">
        <v>465</v>
      </c>
      <c r="CI71" s="671" t="s">
        <v>466</v>
      </c>
      <c r="CJ71" s="671" t="s">
        <v>467</v>
      </c>
      <c r="CK71" s="671" t="s">
        <v>468</v>
      </c>
      <c r="CL71" s="671" t="s">
        <v>469</v>
      </c>
      <c r="CM71" s="671" t="s">
        <v>470</v>
      </c>
      <c r="CN71" s="671" t="s">
        <v>471</v>
      </c>
      <c r="CO71" s="671" t="s">
        <v>472</v>
      </c>
      <c r="CP71" s="671" t="s">
        <v>473</v>
      </c>
      <c r="CQ71" s="671" t="s">
        <v>474</v>
      </c>
      <c r="CR71" s="671" t="s">
        <v>565</v>
      </c>
      <c r="DC71" s="1069" t="s">
        <v>699</v>
      </c>
      <c r="DD71" s="1069"/>
      <c r="DE71" s="1069"/>
      <c r="DF71" s="1069"/>
      <c r="DG71" s="1069"/>
      <c r="DH71" s="1069"/>
      <c r="DI71" s="1069"/>
      <c r="DJ71" s="1069"/>
    </row>
    <row r="72" spans="1:114" ht="16.5" customHeight="1" thickBot="1">
      <c r="A72" s="1640"/>
      <c r="B72" s="1589"/>
      <c r="C72" s="1589"/>
      <c r="D72" s="1590"/>
      <c r="E72" s="819">
        <v>4</v>
      </c>
      <c r="F72" s="819">
        <v>5</v>
      </c>
      <c r="G72" s="819">
        <v>6</v>
      </c>
      <c r="H72" s="819">
        <v>7</v>
      </c>
      <c r="I72" s="819">
        <v>8</v>
      </c>
      <c r="J72" s="819">
        <v>9</v>
      </c>
      <c r="K72" s="819">
        <v>10</v>
      </c>
      <c r="L72" s="819">
        <v>11</v>
      </c>
      <c r="M72" s="819">
        <v>12</v>
      </c>
      <c r="N72" s="819">
        <v>1</v>
      </c>
      <c r="O72" s="819">
        <v>2</v>
      </c>
      <c r="P72" s="819">
        <v>3</v>
      </c>
      <c r="Q72" s="797"/>
      <c r="T72" s="682">
        <v>11</v>
      </c>
      <c r="U72" s="918">
        <f>月途中入退所情報!D41</f>
        <v>0</v>
      </c>
      <c r="V72" s="918">
        <f>月途中入退所情報!H41</f>
        <v>0</v>
      </c>
      <c r="W72" s="918">
        <f>月途中入退所情報!G41</f>
        <v>0</v>
      </c>
      <c r="X72" s="945">
        <f>月途中入退所情報!I41</f>
        <v>0</v>
      </c>
      <c r="Y72" s="918">
        <f>月途中入退所情報!J41</f>
        <v>0</v>
      </c>
      <c r="Z72" s="840">
        <f t="shared" si="114"/>
        <v>0</v>
      </c>
      <c r="AA72" s="1021" cm="1">
        <f t="array" ref="AA72">IFERROR(IF(OR($U72=2,$U72=3),
INDEX(単価表!$AY$72:$CC$79,MATCH($V72&amp;$W72,INDEX(単価表!$AY$64:$AY$71&amp;単価表!$AZ$64:$AZ$71,),),MATCH(内訳計算!AA$6,単価表!$AY$63:$CC$63,0)),
INDEX(単価表!$AY$72:$CC$79,MATCH($V72&amp;$W72,INDEX(単価表!$AY$64:$AY$71&amp;単価表!$AZ$64:$AZ$71,),),MATCH(内訳計算!AA$6,単価表!$AY$63:$CC$63,0))),0)</f>
        <v>0</v>
      </c>
      <c r="AB72" s="1022" t="e">
        <f t="shared" si="115"/>
        <v>#VALUE!</v>
      </c>
      <c r="AC72" s="1022" cm="1">
        <f t="array" ref="AC72">IFERROR(ROUNDDOWN(IF(OR($U72=2,$U72=3),
INDEX(単価表!$AY$72:$CC$79,MATCH($V72&amp;$W72,INDEX(単価表!$AY$64:$AY$71&amp;単価表!$AZ$64:$AZ$71,),),MATCH(内訳計算!AC$6,単価表!$AY$63:$CC$63,0)),
INDEX(単価表!$AY$72:$CC$79,MATCH($V72&amp;$W72,INDEX(単価表!$AY$64:$AY$71&amp;単価表!$AZ$64:$AZ$71,),),MATCH(内訳計算!AC$6,単価表!$AY$63:$CC$63,0)))*$Y72/25,0),0)</f>
        <v>0</v>
      </c>
      <c r="AD72" s="1023" cm="1">
        <f t="array" ref="AD72">IFERROR(ROUNDDOWN(IF(OR($U72=2,$U72=3),
INDEX(単価表!$AY$72:$CC$79,MATCH($V72&amp;$W72,INDEX(単価表!$AY$64:$AY$71&amp;単価表!$AZ$64:$AZ$71,),),MATCH(内訳計算!AD$6,単価表!$AY$63:$CC$63,0)),
INDEX(単価表!$AY$72:$CC$79,MATCH($V72&amp;$W72,INDEX(単価表!$AY$64:$AY$71&amp;単価表!$AZ$64:$AZ$71,),),MATCH(内訳計算!AD$6,単価表!$AY$63:$CC$63,0)))*$Y72/25,0),0)</f>
        <v>0</v>
      </c>
      <c r="AE72" s="1021" cm="1">
        <f t="array" ref="AE72">IFERROR(IF(OR($U72=2,$U72=3),
INDEX(単価表!$AY$72:$CC$79,MATCH($V72&amp;$W72,INDEX(単価表!$AY$64:$AY$71&amp;単価表!$AZ$64:$AZ$71,),),MATCH(内訳計算!AE$6,単価表!$AY$63:$CC$63,0)),
INDEX(単価表!$AY$72:$CC$79,MATCH($V72&amp;$W72,INDEX(単価表!$AY$64:$AY$71&amp;単価表!$AZ$64:$AZ$71,),),MATCH(内訳計算!AE$6,単価表!$AY$63:$CC$63,0))),0)</f>
        <v>0</v>
      </c>
      <c r="AF72" s="1022" cm="1">
        <f t="array" ref="AF72">IFERROR(ROUNDDOWN(IF(OR($U72=2,$U72=3),
INDEX(単価表!$AY$72:$CC$79,MATCH($V72&amp;$W72,INDEX(単価表!$AY$64:$AY$71&amp;単価表!$AZ$64:$AZ$71,),),MATCH(内訳計算!AF$6,単価表!$AY$63:$CC$63,0)),
INDEX(単価表!$AY$72:$CC$79,MATCH($V72&amp;$W72,INDEX(単価表!$AY$64:$AY$71&amp;単価表!$AZ$64:$AZ$71,),),MATCH(内訳計算!AF$6,単価表!$AY$63:$CC$63,0)))*$Y72/25,0),0)</f>
        <v>0</v>
      </c>
      <c r="AG72" s="1023" cm="1">
        <f t="array" ref="AG72">IFERROR(ROUNDDOWN(IF(OR($U72=2,$U72=3),
INDEX(単価表!$AY$72:$CC$79,MATCH($V72&amp;$W72,INDEX(単価表!$AY$64:$AY$71&amp;単価表!$AZ$64:$AZ$71,),),MATCH(内訳計算!AG$6,単価表!$AY$63:$CC$63,0)),
INDEX(単価表!$AY$72:$CC$79,MATCH($V72&amp;$W72,INDEX(単価表!$AY$64:$AY$71&amp;単価表!$AZ$64:$AZ$71,),),MATCH(内訳計算!AG$6,単価表!$AY$63:$CC$63,0)))*$Y72/25,0),0)</f>
        <v>0</v>
      </c>
      <c r="AH72" s="1021" cm="1">
        <f t="array" ref="AH72">IFERROR(IF(HLOOKUP($U72,加算と減算!$E$4:$P$10,2,FALSE)="○",IF(OR($U72=2,$U72=3),
INDEX(単価表!$AY$72:$CC$79,MATCH($V72&amp;$W72,INDEX(単価表!$AY$64:$AY$71&amp;単価表!$AZ$64:$AZ$71,),),MATCH(内訳計算!AH$6,単価表!$AY$63:$CC$63,0)),
INDEX(単価表!$AY$72:$CC$79,MATCH($V72&amp;$W72,INDEX(単価表!$AY$64:$AY$71&amp;単価表!$AZ$64:$AZ$71,),),MATCH(内訳計算!AH$6,単価表!$AY$63:$CC$63,0))),0),0)</f>
        <v>0</v>
      </c>
      <c r="AI72" s="1024" cm="1">
        <f t="array" ref="AI72">IFERROR(ROUNDDOWN(IF(HLOOKUP($U72,加算と減算!$E$4:$P$10,2,FALSE)="○",IF(OR($U72=2,$U72=3),
INDEX(単価表!$AY$72:$CC$79,MATCH($V72&amp;$W72,INDEX(単価表!$AY$64:$AY$71&amp;単価表!$AZ$64:$AZ$71,),),MATCH(内訳計算!AI$6,単価表!$AY$63:$CC$63,0)),
INDEX(単価表!$AY$72:$CC$79,MATCH($V72&amp;$W72,INDEX(単価表!$AY$64:$AY$71&amp;単価表!$AZ$64:$AZ$71,),),MATCH(内訳計算!AI$6,単価表!$AY$63:$CC$63,0))),0)*$Y72/25,0),0)</f>
        <v>0</v>
      </c>
      <c r="AJ72" s="1022" cm="1">
        <f t="array" ref="AJ72">IFERROR(ROUNDDOWN(IF(HLOOKUP($U72,加算と減算!$E$4:$P$10,2,FALSE)="○",IF(OR($U72=2,$U72=3),
INDEX(単価表!$AY$72:$CC$79,MATCH($V72&amp;$W72,INDEX(単価表!$AY$64:$AY$71&amp;単価表!$AZ$64:$AZ$71,),),MATCH(内訳計算!AJ$6,単価表!$AY$63:$CC$63,0)),
INDEX(単価表!$AY$72:$CC$79,MATCH($V72&amp;$W72,INDEX(単価表!$AY$64:$AY$71&amp;単価表!$AZ$64:$AZ$71,),),MATCH(内訳計算!AJ$6,単価表!$AY$63:$CC$63,0))),0)*$Y72/25,0),0)</f>
        <v>0</v>
      </c>
      <c r="AK72" s="1023" cm="1">
        <f t="array" ref="AK72">IFERROR(ROUNDDOWN(IF(HLOOKUP($U72,加算と減算!$E$4:$P$10,2,FALSE)="○",IF(OR($U72=2,$U72=3),
INDEX(単価表!$AY$72:$CC$79,MATCH($V72&amp;$W72,INDEX(単価表!$AY$64:$AY$71&amp;単価表!$AZ$64:$AZ$71,),),MATCH(内訳計算!AK$6,単価表!$AY$63:$CC$63,0)),
INDEX(単価表!$AY$72:$CC$79,MATCH($V72&amp;$W72,INDEX(単価表!$AY$64:$AY$71&amp;単価表!$AZ$64:$AZ$71,),),MATCH(内訳計算!AK$6,単価表!$AY$63:$CC$63,0))),0)*$Y72/25,0),0)</f>
        <v>0</v>
      </c>
      <c r="AL72" s="1021" cm="1">
        <f t="array" ref="AL72">IFERROR(IF(HLOOKUP($U72,加算と減算!$E$4:$P$10,4,FALSE)="○",IF(OR($U72=2,$U72=3),
INDEX(単価表!$AY$72:$CC$79,MATCH($V72&amp;$W72,INDEX(単価表!$AY$64:$AY$71&amp;単価表!$AZ$64:$AZ$71,),),MATCH(内訳計算!AL$6,単価表!$AY$63:$CC$63,0)),
INDEX(単価表!$AY$72:$CC$79,MATCH($V72&amp;$W72,INDEX(単価表!$AY$64:$AY$71&amp;単価表!$AZ$64:$AZ$71,),),MATCH(内訳計算!AL$6,単価表!$AY$63:$CC$63,0))),0),0)</f>
        <v>0</v>
      </c>
      <c r="AM72" s="1022" cm="1">
        <f t="array" ref="AM72">IFERROR(ROUNDDOWN(IF(HLOOKUP($U72,加算と減算!$E$4:$P$10,4,FALSE)="○",IF(OR($U72=2,$U72=3),
INDEX(単価表!$AY$72:$CC$79,MATCH($V72&amp;$W72,INDEX(単価表!$AY$64:$AY$71&amp;単価表!$AZ$64:$AZ$71,),),MATCH(内訳計算!AM$6,単価表!$AY$63:$CC$63,0)),
INDEX(単価表!$AY$72:$CC$79,MATCH($V72&amp;$W72,INDEX(単価表!$AY$64:$AY$71&amp;単価表!$AZ$64:$AZ$71,),),MATCH(内訳計算!AM$6,単価表!$AY$63:$CC$63,0))),0)*$Y72/25,0),0)</f>
        <v>0</v>
      </c>
      <c r="AN72" s="1022" cm="1">
        <f t="array" ref="AN72">IFERROR(ROUNDDOWN(IF(HLOOKUP($U72,加算と減算!$E$4:$P$10,4,FALSE)="○",IF(OR($U72=2,$U72=3),
INDEX(単価表!$AY$72:$CC$79,MATCH($V72&amp;$W72,INDEX(単価表!$AY$64:$AY$71&amp;単価表!$AZ$64:$AZ$71,),),MATCH(内訳計算!AN$6,単価表!$AY$63:$CC$63,0)),
INDEX(単価表!$AY$72:$CC$79,MATCH($V72&amp;$W72,INDEX(単価表!$AY$64:$AY$71&amp;単価表!$AZ$64:$AZ$71,),),MATCH(内訳計算!AN$6,単価表!$AY$63:$CC$63,0))),0)*$Y72/25,0),0)</f>
        <v>0</v>
      </c>
      <c r="AO72" s="1022" cm="1">
        <f t="array" ref="AO72">IFERROR(ROUNDDOWN(IF(HLOOKUP($U72,加算と減算!$E$4:$P$10,4,FALSE)="○",IF(OR($U72=2,$U72=3),
INDEX(単価表!$AY$72:$CC$79,MATCH($V72&amp;$W72,INDEX(単価表!$AY$64:$AY$71&amp;単価表!$AZ$64:$AZ$71,),),MATCH(内訳計算!AO$6,単価表!$AY$63:$CC$63,0)),
INDEX(単価表!$AY$72:$CC$79,MATCH($V72&amp;$W72,INDEX(単価表!$AY$64:$AY$71&amp;単価表!$AZ$64:$AZ$71,),),MATCH(内訳計算!AO$6,単価表!$AY$63:$CC$63,0))),0)*$Y72/25,0),0)</f>
        <v>0</v>
      </c>
      <c r="AP72" s="1022" cm="1">
        <f t="array" ref="AP72">IFERROR(ROUNDDOWN(IF(HLOOKUP($U72,加算と減算!$E$4:$P$10,4,FALSE)="○",IF(OR($U72=2,$U72=3),
INDEX(単価表!$AY$72:$CC$79,MATCH($V72&amp;$W72,INDEX(単価表!$AY$64:$AY$71&amp;単価表!$AZ$64:$AZ$71,),),MATCH(内訳計算!AP$6,単価表!$AY$63:$CC$63,0)),
INDEX(単価表!$AY$72:$CC$79,MATCH($V72&amp;$W72,INDEX(単価表!$AY$64:$AY$71&amp;単価表!$AZ$64:$AZ$71,),),MATCH(内訳計算!AP$6,単価表!$AY$63:$CC$63,0))),0)*$Y72/25,0),0)</f>
        <v>0</v>
      </c>
      <c r="AQ72" s="1023" cm="1">
        <f t="array" ref="AQ72">IFERROR(ROUNDDOWN(IF(HLOOKUP($U72,加算と減算!$E$4:$P$10,4,FALSE)="○",IF(OR($U72=2,$U72=3),
INDEX(単価表!$AY$72:$CC$79,MATCH($V72&amp;$W72,INDEX(単価表!$AY$64:$AY$71&amp;単価表!$AZ$64:$AZ$71,),),MATCH(内訳計算!AQ$6,単価表!$AY$63:$CC$63,0)),
INDEX(単価表!$AY$72:$CC$79,MATCH($V72&amp;$W72,INDEX(単価表!$AY$64:$AY$71&amp;単価表!$AZ$64:$AZ$71,),),MATCH(内訳計算!AQ$6,単価表!$AY$63:$CC$63,0))),0)*$Y72/25,0),0)</f>
        <v>0</v>
      </c>
      <c r="AR72" s="1021" cm="1">
        <f t="array" ref="AR72">IFERROR(IF(HLOOKUP($U72,加算と減算!$E$4:$P$10,5,FALSE)="○",IF(OR($U72=2,$U72=3),
INDEX(単価表!$AY$72:$CC$79,MATCH($V72&amp;$W72,INDEX(単価表!$AY$64:$AY$71&amp;単価表!$AZ$64:$AZ$71,),),MATCH(内訳計算!AR$6,単価表!$AY$63:$CC$63,0)),
INDEX(単価表!$AY$72:$CC$79,MATCH($V72&amp;$W72,INDEX(単価表!$AY$64:$AY$71&amp;単価表!$AZ$64:$AZ$71,),),MATCH(内訳計算!AR$6,単価表!$AY$63:$CC$63,0))),0),0)</f>
        <v>0</v>
      </c>
      <c r="AS72" s="1023" cm="1">
        <f t="array" ref="AS72">IFERROR(ROUNDDOWN(IF(HLOOKUP($U72,加算と減算!$E$4:$P$10,5,FALSE)="○",IF(OR($U72=2,$U72=3),
INDEX(単価表!$AY$72:$CC$79,MATCH($V72&amp;$W72,INDEX(単価表!$AY$64:$AY$71&amp;単価表!$AZ$64:$AZ$71,),),MATCH(内訳計算!AS$6,単価表!$AY$63:$CC$63,0)),
INDEX(単価表!$AY$72:$CC$79,MATCH($V72&amp;$W72,INDEX(単価表!$AY$64:$AY$71&amp;単価表!$AZ$64:$AZ$71,),),MATCH(内訳計算!AS$6,単価表!$AY$63:$CC$63,0))),0)*$Y72/25,0),0)</f>
        <v>0</v>
      </c>
      <c r="AT72" s="1021" cm="1">
        <f t="array" ref="AT72">IFERROR(IF(HLOOKUP($U72,加算と減算!$E$4:$P$10,6,FALSE)="○",IF(OR($U72=2,$U72=3),
INDEX(単価表!$AY$72:$CC$79,MATCH($V72&amp;$W72,INDEX(単価表!$AY$64:$AY$71&amp;単価表!$AZ$64:$AZ$71,),),MATCH(内訳計算!AT$6,単価表!$AY$63:$CC$63,0)),
INDEX(単価表!$AY$72:$CC$79,MATCH($V72&amp;$W72,INDEX(単価表!$AY$64:$AY$71&amp;単価表!$AZ$64:$AZ$71,),),MATCH(内訳計算!AT$6,単価表!$AY$63:$CC$63,0))),0),0)</f>
        <v>0</v>
      </c>
      <c r="AU72" s="1023" cm="1">
        <f t="array" ref="AU72">IFERROR(ROUNDDOWN(IF(HLOOKUP($U72,加算と減算!$E$4:$P$10,6,FALSE)="○",IF(OR($U72=2,$U72=3),
INDEX(単価表!$AY$72:$CC$79,MATCH($V72&amp;$W72,INDEX(単価表!$AY$64:$AY$71&amp;単価表!$AZ$64:$AZ$71,),),MATCH(内訳計算!AU$6,単価表!$AY$63:$CC$63,0)),
INDEX(単価表!$AY$72:$CC$79,MATCH($V72&amp;$W72,INDEX(単価表!$AY$64:$AY$71&amp;単価表!$AZ$64:$AZ$71,),),MATCH(内訳計算!AU$6,単価表!$AY$63:$CC$63,0))),0)*$Y72/25,0),0)</f>
        <v>0</v>
      </c>
      <c r="AV72" s="1021" cm="1">
        <f t="array" ref="AV72">IFERROR(IF(HLOOKUP($U72,加算と減算!$E$4:$P$10,7,FALSE)="○",IF(OR($U72=2,$U72=3),
INDEX(単価表!$AY$72:$CC$79,MATCH($V72&amp;$W72,INDEX(単価表!$AY$64:$AY$71&amp;単価表!$AZ$64:$AZ$71,),),MATCH(内訳計算!AV$6,単価表!$AY$63:$CC$63,0)),
INDEX(単価表!$AY$72:$CC$79,MATCH($V72&amp;$W72,INDEX(単価表!$AY$64:$AY$71&amp;単価表!$AZ$64:$AZ$71,),),MATCH(内訳計算!AV$6,単価表!$AY$63:$CC$63,0))),0),0)</f>
        <v>0</v>
      </c>
      <c r="AW72" s="1022" cm="1">
        <f t="array" ref="AW72">IFERROR(ROUNDDOWN(IF(HLOOKUP($U72,加算と減算!$E$4:$P$10,7,FALSE)="○",IF(OR($U72=2,$U72=3),
INDEX(単価表!$AY$72:$CC$79,MATCH($V72&amp;$W72,INDEX(単価表!$AY$64:$AY$71&amp;単価表!$AZ$64:$AZ$71,),),MATCH(内訳計算!AW$6,単価表!$AY$63:$CC$63,0)),
INDEX(単価表!$AY$72:$CC$79,MATCH($V72&amp;$W72,INDEX(単価表!$AY$64:$AY$71&amp;単価表!$AZ$64:$AZ$71,),),MATCH(内訳計算!AW$6,単価表!$AY$63:$CC$63,0))),0)*$Y72/25,0),0)</f>
        <v>0</v>
      </c>
      <c r="AX72" s="1022" cm="1">
        <f t="array" ref="AX72">IFERROR(ROUNDDOWN(IF(HLOOKUP($U72,加算と減算!$E$4:$P$10,7,FALSE)="○",IF(OR($U72=2,$U72=3),
INDEX(単価表!$AY$72:$CC$79,MATCH($V72&amp;$W72,INDEX(単価表!$AY$64:$AY$71&amp;単価表!$AZ$64:$AZ$71,),),MATCH(内訳計算!AX$6,単価表!$AY$63:$CC$63,0)),
INDEX(単価表!$AY$72:$CC$79,MATCH($V72&amp;$W72,INDEX(単価表!$AY$64:$AY$71&amp;単価表!$AZ$64:$AZ$71,),),MATCH(内訳計算!AX$6,単価表!$AY$63:$CC$63,0))),0)*$Y72/25,0),0)</f>
        <v>0</v>
      </c>
      <c r="AY72" s="1023" cm="1">
        <f t="array" ref="AY72">IFERROR(ROUNDDOWN(IF(HLOOKUP($U72,加算と減算!$E$4:$P$10,7,FALSE)="○",IF(OR($U72=2,$U72=3),
INDEX(単価表!$AY$72:$CC$79,MATCH($V72&amp;$W72,INDEX(単価表!$AY$64:$AY$71&amp;単価表!$AZ$64:$AZ$71,),),MATCH(内訳計算!AY$6,単価表!$AY$63:$CC$63,0)),
INDEX(単価表!$AY$72:$CC$79,MATCH($V72&amp;$W72,INDEX(単価表!$AY$64:$AY$71&amp;単価表!$AZ$64:$AZ$71,),),MATCH(内訳計算!AY$6,単価表!$AY$63:$CC$63,0))),0)*$Y72/25,0),0)</f>
        <v>0</v>
      </c>
      <c r="AZ72" s="1021" cm="1">
        <f t="array" ref="AZ72">IFERROR(IF(X72="○",INDEX(単価表!$AY$72:$CC$79,MATCH($V72&amp;$W72,INDEX(単価表!$AY$64:$AY$71&amp;単価表!$AZ$64:$AZ$71,),),MATCH(内訳計算!AZ$6,単価表!$AY$63:$CC$63,0)),0),0)</f>
        <v>0</v>
      </c>
      <c r="BA72" s="1023" cm="1">
        <f t="array" ref="BA72">IFERROR(ROUNDDOWN(INDEX(単価表!$AY$72:$CC$79,MATCH($V72&amp;$W72,INDEX(単価表!$AY$64:$AY$71&amp;単価表!$AZ$64:$AZ$71,),),MATCH(内訳計算!BA$6,単価表!$AY$63:$CC$63,0))*$Y72/25,0),0)</f>
        <v>0</v>
      </c>
      <c r="BB72" s="1021" cm="1">
        <f t="array" ref="BB72">IFERROR(INDEX(単価表!$AY$72:$CC$79,MATCH($V72&amp;$W72,INDEX(単価表!$AY$64:$AY$71&amp;単価表!$AZ$64:$AZ$71,),),MATCH(内訳計算!BB$6,単価表!$AY$63:$CC$63,0)),0)</f>
        <v>0</v>
      </c>
      <c r="BC72" s="1023" cm="1">
        <f t="array" ref="BC72">IFERROR(ROUNDDOWN(INDEX(単価表!$AY$72:$CC$79,MATCH($V72&amp;$W72,INDEX(単価表!$AY$64:$AY$71&amp;単価表!$AZ$64:$AZ$71,),),MATCH(内訳計算!BC$6,単価表!$AY$63:$CC$63,0))*$Y72/25,0),0)</f>
        <v>0</v>
      </c>
      <c r="BD72" s="985">
        <f>IFERROR(IF(HLOOKUP($U72,加算と減算!$E$31:$P$32,2,FALSE)="○",IF(OR($U72=2,$U72=3),-(単価表!$AZ$23+単価表!$BA$23*基本情報!$G$7),-(単価表!$AZ$23+単価表!$BA$23*基本情報!$G$7)),0),0)</f>
        <v>0</v>
      </c>
      <c r="BE72" s="1007" t="e">
        <f t="shared" si="116"/>
        <v>#VALUE!</v>
      </c>
      <c r="BF72" s="1007" t="e">
        <f t="shared" si="117"/>
        <v>#VALUE!</v>
      </c>
      <c r="BG72" s="1030" t="e">
        <f t="shared" si="118"/>
        <v>#N/A</v>
      </c>
      <c r="BH72" s="1031">
        <f>IFERROR(IF(基本情報!$E$12&lt;&gt;"",-ROUNDDOWN((AA72+AE72+AH72+AL72)*基本情報!$H$13/100,-1),0),0)</f>
        <v>0</v>
      </c>
      <c r="BI72" s="1007" t="e">
        <f t="shared" si="119"/>
        <v>#VALUE!</v>
      </c>
      <c r="BJ72" s="1007" t="e">
        <f t="shared" si="120"/>
        <v>#VALUE!</v>
      </c>
      <c r="BK72" s="1008" t="e">
        <f t="shared" si="121"/>
        <v>#N/A</v>
      </c>
      <c r="BL72" s="1031">
        <f t="shared" si="122"/>
        <v>0</v>
      </c>
      <c r="BM72" s="1010" t="e">
        <f t="shared" si="123"/>
        <v>#VALUE!</v>
      </c>
      <c r="BN72" s="1010" t="e">
        <f t="shared" si="124"/>
        <v>#VALUE!</v>
      </c>
      <c r="BO72" s="1011" t="e">
        <f t="shared" si="125"/>
        <v>#N/A</v>
      </c>
      <c r="BP72" s="1009">
        <f>IFERROR(-ROUNDUP(SUM(AA72,AE72,AH72,AL72,AR72,AT72,AV72,BD72,BH72,BL72)*基本情報!$H$15/100,-1),0)</f>
        <v>0</v>
      </c>
      <c r="BQ72" s="1010" t="e">
        <f t="shared" si="126"/>
        <v>#VALUE!</v>
      </c>
      <c r="BR72" s="1010" t="e">
        <f t="shared" si="127"/>
        <v>#VALUE!</v>
      </c>
      <c r="BS72" s="1011" t="e">
        <f t="shared" si="128"/>
        <v>#N/A</v>
      </c>
      <c r="BT72" s="721"/>
      <c r="BU72" s="1043" t="e">
        <f t="shared" si="129"/>
        <v>#VALUE!</v>
      </c>
      <c r="BV72" s="1044" t="e">
        <f t="shared" si="130"/>
        <v>#VALUE!</v>
      </c>
      <c r="BW72" s="1044" t="e">
        <f t="shared" si="131"/>
        <v>#N/A</v>
      </c>
      <c r="BX72" s="1051">
        <f t="shared" si="132"/>
        <v>0</v>
      </c>
      <c r="BY72" s="1045">
        <f t="shared" si="133"/>
        <v>0</v>
      </c>
      <c r="CT72" s="1692" t="s">
        <v>716</v>
      </c>
      <c r="CU72" s="1693"/>
      <c r="CV72" s="1112" t="s">
        <v>559</v>
      </c>
      <c r="CW72" s="1105" t="s">
        <v>376</v>
      </c>
      <c r="CX72" s="1106" t="s">
        <v>353</v>
      </c>
      <c r="CY72" s="1107" t="s">
        <v>681</v>
      </c>
      <c r="CZ72" s="1088" t="s">
        <v>682</v>
      </c>
      <c r="DC72" s="1669" t="s">
        <v>723</v>
      </c>
      <c r="DD72" s="1669"/>
      <c r="DE72" s="1669"/>
      <c r="DF72" s="1669"/>
      <c r="DG72" s="1669"/>
      <c r="DH72" s="1669"/>
      <c r="DI72" s="1669"/>
      <c r="DJ72" s="1669"/>
    </row>
    <row r="73" spans="1:114" ht="18.75" customHeight="1" thickBot="1">
      <c r="A73" s="1640"/>
      <c r="B73" s="1590" t="s">
        <v>583</v>
      </c>
      <c r="C73" s="1591"/>
      <c r="D73" s="1591"/>
      <c r="E73" s="798">
        <f>CF1</f>
        <v>0</v>
      </c>
      <c r="F73" s="798">
        <f t="shared" ref="F73:P73" si="135">CG1</f>
        <v>0</v>
      </c>
      <c r="G73" s="798">
        <f t="shared" si="135"/>
        <v>0</v>
      </c>
      <c r="H73" s="798">
        <f t="shared" si="135"/>
        <v>0</v>
      </c>
      <c r="I73" s="798">
        <f t="shared" si="135"/>
        <v>0</v>
      </c>
      <c r="J73" s="798">
        <f t="shared" si="135"/>
        <v>0</v>
      </c>
      <c r="K73" s="798">
        <f t="shared" si="135"/>
        <v>0</v>
      </c>
      <c r="L73" s="798">
        <f t="shared" si="135"/>
        <v>0</v>
      </c>
      <c r="M73" s="798">
        <f t="shared" si="135"/>
        <v>0</v>
      </c>
      <c r="N73" s="798">
        <f t="shared" si="135"/>
        <v>0</v>
      </c>
      <c r="O73" s="798">
        <f t="shared" si="135"/>
        <v>0</v>
      </c>
      <c r="P73" s="798">
        <f t="shared" si="135"/>
        <v>0</v>
      </c>
      <c r="Q73" s="797"/>
      <c r="T73" s="682">
        <v>12</v>
      </c>
      <c r="U73" s="918">
        <f>月途中入退所情報!D42</f>
        <v>0</v>
      </c>
      <c r="V73" s="918">
        <f>月途中入退所情報!H42</f>
        <v>0</v>
      </c>
      <c r="W73" s="918">
        <f>月途中入退所情報!G42</f>
        <v>0</v>
      </c>
      <c r="X73" s="945">
        <f>月途中入退所情報!I42</f>
        <v>0</v>
      </c>
      <c r="Y73" s="918">
        <f>月途中入退所情報!J42</f>
        <v>0</v>
      </c>
      <c r="Z73" s="840">
        <f t="shared" si="114"/>
        <v>0</v>
      </c>
      <c r="AA73" s="1021" cm="1">
        <f t="array" ref="AA73">IFERROR(IF(OR($U73=2,$U73=3),
INDEX(単価表!$AY$72:$CC$79,MATCH($V73&amp;$W73,INDEX(単価表!$AY$64:$AY$71&amp;単価表!$AZ$64:$AZ$71,),),MATCH(内訳計算!AA$6,単価表!$AY$63:$CC$63,0)),
INDEX(単価表!$AY$72:$CC$79,MATCH($V73&amp;$W73,INDEX(単価表!$AY$64:$AY$71&amp;単価表!$AZ$64:$AZ$71,),),MATCH(内訳計算!AA$6,単価表!$AY$63:$CC$63,0))),0)</f>
        <v>0</v>
      </c>
      <c r="AB73" s="1022" t="e">
        <f t="shared" si="115"/>
        <v>#VALUE!</v>
      </c>
      <c r="AC73" s="1022" cm="1">
        <f t="array" ref="AC73">IFERROR(ROUNDDOWN(IF(OR($U73=2,$U73=3),
INDEX(単価表!$AY$72:$CC$79,MATCH($V73&amp;$W73,INDEX(単価表!$AY$64:$AY$71&amp;単価表!$AZ$64:$AZ$71,),),MATCH(内訳計算!AC$6,単価表!$AY$63:$CC$63,0)),
INDEX(単価表!$AY$72:$CC$79,MATCH($V73&amp;$W73,INDEX(単価表!$AY$64:$AY$71&amp;単価表!$AZ$64:$AZ$71,),),MATCH(内訳計算!AC$6,単価表!$AY$63:$CC$63,0)))*$Y73/25,0),0)</f>
        <v>0</v>
      </c>
      <c r="AD73" s="1023" cm="1">
        <f t="array" ref="AD73">IFERROR(ROUNDDOWN(IF(OR($U73=2,$U73=3),
INDEX(単価表!$AY$72:$CC$79,MATCH($V73&amp;$W73,INDEX(単価表!$AY$64:$AY$71&amp;単価表!$AZ$64:$AZ$71,),),MATCH(内訳計算!AD$6,単価表!$AY$63:$CC$63,0)),
INDEX(単価表!$AY$72:$CC$79,MATCH($V73&amp;$W73,INDEX(単価表!$AY$64:$AY$71&amp;単価表!$AZ$64:$AZ$71,),),MATCH(内訳計算!AD$6,単価表!$AY$63:$CC$63,0)))*$Y73/25,0),0)</f>
        <v>0</v>
      </c>
      <c r="AE73" s="1021" cm="1">
        <f t="array" ref="AE73">IFERROR(IF(OR($U73=2,$U73=3),
INDEX(単価表!$AY$72:$CC$79,MATCH($V73&amp;$W73,INDEX(単価表!$AY$64:$AY$71&amp;単価表!$AZ$64:$AZ$71,),),MATCH(内訳計算!AE$6,単価表!$AY$63:$CC$63,0)),
INDEX(単価表!$AY$72:$CC$79,MATCH($V73&amp;$W73,INDEX(単価表!$AY$64:$AY$71&amp;単価表!$AZ$64:$AZ$71,),),MATCH(内訳計算!AE$6,単価表!$AY$63:$CC$63,0))),0)</f>
        <v>0</v>
      </c>
      <c r="AF73" s="1022" cm="1">
        <f t="array" ref="AF73">IFERROR(ROUNDDOWN(IF(OR($U73=2,$U73=3),
INDEX(単価表!$AY$72:$CC$79,MATCH($V73&amp;$W73,INDEX(単価表!$AY$64:$AY$71&amp;単価表!$AZ$64:$AZ$71,),),MATCH(内訳計算!AF$6,単価表!$AY$63:$CC$63,0)),
INDEX(単価表!$AY$72:$CC$79,MATCH($V73&amp;$W73,INDEX(単価表!$AY$64:$AY$71&amp;単価表!$AZ$64:$AZ$71,),),MATCH(内訳計算!AF$6,単価表!$AY$63:$CC$63,0)))*$Y73/25,0),0)</f>
        <v>0</v>
      </c>
      <c r="AG73" s="1023" cm="1">
        <f t="array" ref="AG73">IFERROR(ROUNDDOWN(IF(OR($U73=2,$U73=3),
INDEX(単価表!$AY$72:$CC$79,MATCH($V73&amp;$W73,INDEX(単価表!$AY$64:$AY$71&amp;単価表!$AZ$64:$AZ$71,),),MATCH(内訳計算!AG$6,単価表!$AY$63:$CC$63,0)),
INDEX(単価表!$AY$72:$CC$79,MATCH($V73&amp;$W73,INDEX(単価表!$AY$64:$AY$71&amp;単価表!$AZ$64:$AZ$71,),),MATCH(内訳計算!AG$6,単価表!$AY$63:$CC$63,0)))*$Y73/25,0),0)</f>
        <v>0</v>
      </c>
      <c r="AH73" s="1021" cm="1">
        <f t="array" ref="AH73">IFERROR(IF(HLOOKUP($U73,加算と減算!$E$4:$P$10,2,FALSE)="○",IF(OR($U73=2,$U73=3),
INDEX(単価表!$AY$72:$CC$79,MATCH($V73&amp;$W73,INDEX(単価表!$AY$64:$AY$71&amp;単価表!$AZ$64:$AZ$71,),),MATCH(内訳計算!AH$6,単価表!$AY$63:$CC$63,0)),
INDEX(単価表!$AY$72:$CC$79,MATCH($V73&amp;$W73,INDEX(単価表!$AY$64:$AY$71&amp;単価表!$AZ$64:$AZ$71,),),MATCH(内訳計算!AH$6,単価表!$AY$63:$CC$63,0))),0),0)</f>
        <v>0</v>
      </c>
      <c r="AI73" s="1024" cm="1">
        <f t="array" ref="AI73">IFERROR(ROUNDDOWN(IF(HLOOKUP($U73,加算と減算!$E$4:$P$10,2,FALSE)="○",IF(OR($U73=2,$U73=3),
INDEX(単価表!$AY$72:$CC$79,MATCH($V73&amp;$W73,INDEX(単価表!$AY$64:$AY$71&amp;単価表!$AZ$64:$AZ$71,),),MATCH(内訳計算!AI$6,単価表!$AY$63:$CC$63,0)),
INDEX(単価表!$AY$72:$CC$79,MATCH($V73&amp;$W73,INDEX(単価表!$AY$64:$AY$71&amp;単価表!$AZ$64:$AZ$71,),),MATCH(内訳計算!AI$6,単価表!$AY$63:$CC$63,0))),0)*$Y73/25,0),0)</f>
        <v>0</v>
      </c>
      <c r="AJ73" s="1022" cm="1">
        <f t="array" ref="AJ73">IFERROR(ROUNDDOWN(IF(HLOOKUP($U73,加算と減算!$E$4:$P$10,2,FALSE)="○",IF(OR($U73=2,$U73=3),
INDEX(単価表!$AY$72:$CC$79,MATCH($V73&amp;$W73,INDEX(単価表!$AY$64:$AY$71&amp;単価表!$AZ$64:$AZ$71,),),MATCH(内訳計算!AJ$6,単価表!$AY$63:$CC$63,0)),
INDEX(単価表!$AY$72:$CC$79,MATCH($V73&amp;$W73,INDEX(単価表!$AY$64:$AY$71&amp;単価表!$AZ$64:$AZ$71,),),MATCH(内訳計算!AJ$6,単価表!$AY$63:$CC$63,0))),0)*$Y73/25,0),0)</f>
        <v>0</v>
      </c>
      <c r="AK73" s="1023" cm="1">
        <f t="array" ref="AK73">IFERROR(ROUNDDOWN(IF(HLOOKUP($U73,加算と減算!$E$4:$P$10,2,FALSE)="○",IF(OR($U73=2,$U73=3),
INDEX(単価表!$AY$72:$CC$79,MATCH($V73&amp;$W73,INDEX(単価表!$AY$64:$AY$71&amp;単価表!$AZ$64:$AZ$71,),),MATCH(内訳計算!AK$6,単価表!$AY$63:$CC$63,0)),
INDEX(単価表!$AY$72:$CC$79,MATCH($V73&amp;$W73,INDEX(単価表!$AY$64:$AY$71&amp;単価表!$AZ$64:$AZ$71,),),MATCH(内訳計算!AK$6,単価表!$AY$63:$CC$63,0))),0)*$Y73/25,0),0)</f>
        <v>0</v>
      </c>
      <c r="AL73" s="1021" cm="1">
        <f t="array" ref="AL73">IFERROR(IF(HLOOKUP($U73,加算と減算!$E$4:$P$10,4,FALSE)="○",IF(OR($U73=2,$U73=3),
INDEX(単価表!$AY$72:$CC$79,MATCH($V73&amp;$W73,INDEX(単価表!$AY$64:$AY$71&amp;単価表!$AZ$64:$AZ$71,),),MATCH(内訳計算!AL$6,単価表!$AY$63:$CC$63,0)),
INDEX(単価表!$AY$72:$CC$79,MATCH($V73&amp;$W73,INDEX(単価表!$AY$64:$AY$71&amp;単価表!$AZ$64:$AZ$71,),),MATCH(内訳計算!AL$6,単価表!$AY$63:$CC$63,0))),0),0)</f>
        <v>0</v>
      </c>
      <c r="AM73" s="1022" cm="1">
        <f t="array" ref="AM73">IFERROR(ROUNDDOWN(IF(HLOOKUP($U73,加算と減算!$E$4:$P$10,4,FALSE)="○",IF(OR($U73=2,$U73=3),
INDEX(単価表!$AY$72:$CC$79,MATCH($V73&amp;$W73,INDEX(単価表!$AY$64:$AY$71&amp;単価表!$AZ$64:$AZ$71,),),MATCH(内訳計算!AM$6,単価表!$AY$63:$CC$63,0)),
INDEX(単価表!$AY$72:$CC$79,MATCH($V73&amp;$W73,INDEX(単価表!$AY$64:$AY$71&amp;単価表!$AZ$64:$AZ$71,),),MATCH(内訳計算!AM$6,単価表!$AY$63:$CC$63,0))),0)*$Y73/25,0),0)</f>
        <v>0</v>
      </c>
      <c r="AN73" s="1022" cm="1">
        <f t="array" ref="AN73">IFERROR(ROUNDDOWN(IF(HLOOKUP($U73,加算と減算!$E$4:$P$10,4,FALSE)="○",IF(OR($U73=2,$U73=3),
INDEX(単価表!$AY$72:$CC$79,MATCH($V73&amp;$W73,INDEX(単価表!$AY$64:$AY$71&amp;単価表!$AZ$64:$AZ$71,),),MATCH(内訳計算!AN$6,単価表!$AY$63:$CC$63,0)),
INDEX(単価表!$AY$72:$CC$79,MATCH($V73&amp;$W73,INDEX(単価表!$AY$64:$AY$71&amp;単価表!$AZ$64:$AZ$71,),),MATCH(内訳計算!AN$6,単価表!$AY$63:$CC$63,0))),0)*$Y73/25,0),0)</f>
        <v>0</v>
      </c>
      <c r="AO73" s="1022" cm="1">
        <f t="array" ref="AO73">IFERROR(ROUNDDOWN(IF(HLOOKUP($U73,加算と減算!$E$4:$P$10,4,FALSE)="○",IF(OR($U73=2,$U73=3),
INDEX(単価表!$AY$72:$CC$79,MATCH($V73&amp;$W73,INDEX(単価表!$AY$64:$AY$71&amp;単価表!$AZ$64:$AZ$71,),),MATCH(内訳計算!AO$6,単価表!$AY$63:$CC$63,0)),
INDEX(単価表!$AY$72:$CC$79,MATCH($V73&amp;$W73,INDEX(単価表!$AY$64:$AY$71&amp;単価表!$AZ$64:$AZ$71,),),MATCH(内訳計算!AO$6,単価表!$AY$63:$CC$63,0))),0)*$Y73/25,0),0)</f>
        <v>0</v>
      </c>
      <c r="AP73" s="1022" cm="1">
        <f t="array" ref="AP73">IFERROR(ROUNDDOWN(IF(HLOOKUP($U73,加算と減算!$E$4:$P$10,4,FALSE)="○",IF(OR($U73=2,$U73=3),
INDEX(単価表!$AY$72:$CC$79,MATCH($V73&amp;$W73,INDEX(単価表!$AY$64:$AY$71&amp;単価表!$AZ$64:$AZ$71,),),MATCH(内訳計算!AP$6,単価表!$AY$63:$CC$63,0)),
INDEX(単価表!$AY$72:$CC$79,MATCH($V73&amp;$W73,INDEX(単価表!$AY$64:$AY$71&amp;単価表!$AZ$64:$AZ$71,),),MATCH(内訳計算!AP$6,単価表!$AY$63:$CC$63,0))),0)*$Y73/25,0),0)</f>
        <v>0</v>
      </c>
      <c r="AQ73" s="1023" cm="1">
        <f t="array" ref="AQ73">IFERROR(ROUNDDOWN(IF(HLOOKUP($U73,加算と減算!$E$4:$P$10,4,FALSE)="○",IF(OR($U73=2,$U73=3),
INDEX(単価表!$AY$72:$CC$79,MATCH($V73&amp;$W73,INDEX(単価表!$AY$64:$AY$71&amp;単価表!$AZ$64:$AZ$71,),),MATCH(内訳計算!AQ$6,単価表!$AY$63:$CC$63,0)),
INDEX(単価表!$AY$72:$CC$79,MATCH($V73&amp;$W73,INDEX(単価表!$AY$64:$AY$71&amp;単価表!$AZ$64:$AZ$71,),),MATCH(内訳計算!AQ$6,単価表!$AY$63:$CC$63,0))),0)*$Y73/25,0),0)</f>
        <v>0</v>
      </c>
      <c r="AR73" s="1021" cm="1">
        <f t="array" ref="AR73">IFERROR(IF(HLOOKUP($U73,加算と減算!$E$4:$P$10,5,FALSE)="○",IF(OR($U73=2,$U73=3),
INDEX(単価表!$AY$72:$CC$79,MATCH($V73&amp;$W73,INDEX(単価表!$AY$64:$AY$71&amp;単価表!$AZ$64:$AZ$71,),),MATCH(内訳計算!AR$6,単価表!$AY$63:$CC$63,0)),
INDEX(単価表!$AY$72:$CC$79,MATCH($V73&amp;$W73,INDEX(単価表!$AY$64:$AY$71&amp;単価表!$AZ$64:$AZ$71,),),MATCH(内訳計算!AR$6,単価表!$AY$63:$CC$63,0))),0),0)</f>
        <v>0</v>
      </c>
      <c r="AS73" s="1023" cm="1">
        <f t="array" ref="AS73">IFERROR(ROUNDDOWN(IF(HLOOKUP($U73,加算と減算!$E$4:$P$10,5,FALSE)="○",IF(OR($U73=2,$U73=3),
INDEX(単価表!$AY$72:$CC$79,MATCH($V73&amp;$W73,INDEX(単価表!$AY$64:$AY$71&amp;単価表!$AZ$64:$AZ$71,),),MATCH(内訳計算!AS$6,単価表!$AY$63:$CC$63,0)),
INDEX(単価表!$AY$72:$CC$79,MATCH($V73&amp;$W73,INDEX(単価表!$AY$64:$AY$71&amp;単価表!$AZ$64:$AZ$71,),),MATCH(内訳計算!AS$6,単価表!$AY$63:$CC$63,0))),0)*$Y73/25,0),0)</f>
        <v>0</v>
      </c>
      <c r="AT73" s="1021" cm="1">
        <f t="array" ref="AT73">IFERROR(IF(HLOOKUP($U73,加算と減算!$E$4:$P$10,6,FALSE)="○",IF(OR($U73=2,$U73=3),
INDEX(単価表!$AY$72:$CC$79,MATCH($V73&amp;$W73,INDEX(単価表!$AY$64:$AY$71&amp;単価表!$AZ$64:$AZ$71,),),MATCH(内訳計算!AT$6,単価表!$AY$63:$CC$63,0)),
INDEX(単価表!$AY$72:$CC$79,MATCH($V73&amp;$W73,INDEX(単価表!$AY$64:$AY$71&amp;単価表!$AZ$64:$AZ$71,),),MATCH(内訳計算!AT$6,単価表!$AY$63:$CC$63,0))),0),0)</f>
        <v>0</v>
      </c>
      <c r="AU73" s="1023" cm="1">
        <f t="array" ref="AU73">IFERROR(ROUNDDOWN(IF(HLOOKUP($U73,加算と減算!$E$4:$P$10,6,FALSE)="○",IF(OR($U73=2,$U73=3),
INDEX(単価表!$AY$72:$CC$79,MATCH($V73&amp;$W73,INDEX(単価表!$AY$64:$AY$71&amp;単価表!$AZ$64:$AZ$71,),),MATCH(内訳計算!AU$6,単価表!$AY$63:$CC$63,0)),
INDEX(単価表!$AY$72:$CC$79,MATCH($V73&amp;$W73,INDEX(単価表!$AY$64:$AY$71&amp;単価表!$AZ$64:$AZ$71,),),MATCH(内訳計算!AU$6,単価表!$AY$63:$CC$63,0))),0)*$Y73/25,0),0)</f>
        <v>0</v>
      </c>
      <c r="AV73" s="1021" cm="1">
        <f t="array" ref="AV73">IFERROR(IF(HLOOKUP($U73,加算と減算!$E$4:$P$10,7,FALSE)="○",IF(OR($U73=2,$U73=3),
INDEX(単価表!$AY$72:$CC$79,MATCH($V73&amp;$W73,INDEX(単価表!$AY$64:$AY$71&amp;単価表!$AZ$64:$AZ$71,),),MATCH(内訳計算!AV$6,単価表!$AY$63:$CC$63,0)),
INDEX(単価表!$AY$72:$CC$79,MATCH($V73&amp;$W73,INDEX(単価表!$AY$64:$AY$71&amp;単価表!$AZ$64:$AZ$71,),),MATCH(内訳計算!AV$6,単価表!$AY$63:$CC$63,0))),0),0)</f>
        <v>0</v>
      </c>
      <c r="AW73" s="1022" cm="1">
        <f t="array" ref="AW73">IFERROR(ROUNDDOWN(IF(HLOOKUP($U73,加算と減算!$E$4:$P$10,7,FALSE)="○",IF(OR($U73=2,$U73=3),
INDEX(単価表!$AY$72:$CC$79,MATCH($V73&amp;$W73,INDEX(単価表!$AY$64:$AY$71&amp;単価表!$AZ$64:$AZ$71,),),MATCH(内訳計算!AW$6,単価表!$AY$63:$CC$63,0)),
INDEX(単価表!$AY$72:$CC$79,MATCH($V73&amp;$W73,INDEX(単価表!$AY$64:$AY$71&amp;単価表!$AZ$64:$AZ$71,),),MATCH(内訳計算!AW$6,単価表!$AY$63:$CC$63,0))),0)*$Y73/25,0),0)</f>
        <v>0</v>
      </c>
      <c r="AX73" s="1022" cm="1">
        <f t="array" ref="AX73">IFERROR(ROUNDDOWN(IF(HLOOKUP($U73,加算と減算!$E$4:$P$10,7,FALSE)="○",IF(OR($U73=2,$U73=3),
INDEX(単価表!$AY$72:$CC$79,MATCH($V73&amp;$W73,INDEX(単価表!$AY$64:$AY$71&amp;単価表!$AZ$64:$AZ$71,),),MATCH(内訳計算!AX$6,単価表!$AY$63:$CC$63,0)),
INDEX(単価表!$AY$72:$CC$79,MATCH($V73&amp;$W73,INDEX(単価表!$AY$64:$AY$71&amp;単価表!$AZ$64:$AZ$71,),),MATCH(内訳計算!AX$6,単価表!$AY$63:$CC$63,0))),0)*$Y73/25,0),0)</f>
        <v>0</v>
      </c>
      <c r="AY73" s="1023" cm="1">
        <f t="array" ref="AY73">IFERROR(ROUNDDOWN(IF(HLOOKUP($U73,加算と減算!$E$4:$P$10,7,FALSE)="○",IF(OR($U73=2,$U73=3),
INDEX(単価表!$AY$72:$CC$79,MATCH($V73&amp;$W73,INDEX(単価表!$AY$64:$AY$71&amp;単価表!$AZ$64:$AZ$71,),),MATCH(内訳計算!AY$6,単価表!$AY$63:$CC$63,0)),
INDEX(単価表!$AY$72:$CC$79,MATCH($V73&amp;$W73,INDEX(単価表!$AY$64:$AY$71&amp;単価表!$AZ$64:$AZ$71,),),MATCH(内訳計算!AY$6,単価表!$AY$63:$CC$63,0))),0)*$Y73/25,0),0)</f>
        <v>0</v>
      </c>
      <c r="AZ73" s="1021" cm="1">
        <f t="array" ref="AZ73">IFERROR(IF(X73="○",INDEX(単価表!$AY$72:$CC$79,MATCH($V73&amp;$W73,INDEX(単価表!$AY$64:$AY$71&amp;単価表!$AZ$64:$AZ$71,),),MATCH(内訳計算!AZ$6,単価表!$AY$63:$CC$63,0)),0),0)</f>
        <v>0</v>
      </c>
      <c r="BA73" s="1023" cm="1">
        <f t="array" ref="BA73">IFERROR(ROUNDDOWN(INDEX(単価表!$AY$72:$CC$79,MATCH($V73&amp;$W73,INDEX(単価表!$AY$64:$AY$71&amp;単価表!$AZ$64:$AZ$71,),),MATCH(内訳計算!BA$6,単価表!$AY$63:$CC$63,0))*$Y73/25,0),0)</f>
        <v>0</v>
      </c>
      <c r="BB73" s="1021" cm="1">
        <f t="array" ref="BB73">IFERROR(INDEX(単価表!$AY$72:$CC$79,MATCH($V73&amp;$W73,INDEX(単価表!$AY$64:$AY$71&amp;単価表!$AZ$64:$AZ$71,),),MATCH(内訳計算!BB$6,単価表!$AY$63:$CC$63,0)),0)</f>
        <v>0</v>
      </c>
      <c r="BC73" s="1023" cm="1">
        <f t="array" ref="BC73">IFERROR(ROUNDDOWN(INDEX(単価表!$AY$72:$CC$79,MATCH($V73&amp;$W73,INDEX(単価表!$AY$64:$AY$71&amp;単価表!$AZ$64:$AZ$71,),),MATCH(内訳計算!BC$6,単価表!$AY$63:$CC$63,0))*$Y73/25,0),0)</f>
        <v>0</v>
      </c>
      <c r="BD73" s="985">
        <f>IFERROR(IF(HLOOKUP($U73,加算と減算!$E$31:$P$32,2,FALSE)="○",IF(OR($U73=2,$U73=3),-(単価表!$AZ$23+単価表!$BA$23*基本情報!$G$7),-(単価表!$AZ$23+単価表!$BA$23*基本情報!$G$7)),0),0)</f>
        <v>0</v>
      </c>
      <c r="BE73" s="1007" t="e">
        <f t="shared" si="116"/>
        <v>#VALUE!</v>
      </c>
      <c r="BF73" s="1007" t="e">
        <f t="shared" si="117"/>
        <v>#VALUE!</v>
      </c>
      <c r="BG73" s="1030" t="e">
        <f t="shared" si="118"/>
        <v>#N/A</v>
      </c>
      <c r="BH73" s="1031">
        <f>IFERROR(IF(基本情報!$E$12&lt;&gt;"",-ROUNDDOWN((AA73+AE73+AH73+AL73)*基本情報!$H$13/100,-1),0),0)</f>
        <v>0</v>
      </c>
      <c r="BI73" s="1007" t="e">
        <f t="shared" si="119"/>
        <v>#VALUE!</v>
      </c>
      <c r="BJ73" s="1007" t="e">
        <f t="shared" si="120"/>
        <v>#VALUE!</v>
      </c>
      <c r="BK73" s="1008" t="e">
        <f t="shared" si="121"/>
        <v>#N/A</v>
      </c>
      <c r="BL73" s="1031">
        <f t="shared" si="122"/>
        <v>0</v>
      </c>
      <c r="BM73" s="1007" t="e">
        <f t="shared" si="123"/>
        <v>#VALUE!</v>
      </c>
      <c r="BN73" s="1007" t="e">
        <f t="shared" si="124"/>
        <v>#VALUE!</v>
      </c>
      <c r="BO73" s="1008" t="e">
        <f t="shared" si="125"/>
        <v>#N/A</v>
      </c>
      <c r="BP73" s="1006">
        <f>IFERROR(-ROUNDUP(SUM(AA73,AE73,AH73,AL73,AR73,AT73,AV73,BD73,BH73,BL73)*基本情報!$H$15/100,-1),0)</f>
        <v>0</v>
      </c>
      <c r="BQ73" s="1007" t="e">
        <f t="shared" si="126"/>
        <v>#VALUE!</v>
      </c>
      <c r="BR73" s="1007" t="e">
        <f t="shared" si="127"/>
        <v>#VALUE!</v>
      </c>
      <c r="BS73" s="1008" t="e">
        <f t="shared" si="128"/>
        <v>#N/A</v>
      </c>
      <c r="BT73" s="721"/>
      <c r="BU73" s="1043" t="e">
        <f t="shared" si="129"/>
        <v>#VALUE!</v>
      </c>
      <c r="BV73" s="1044" t="e">
        <f t="shared" si="130"/>
        <v>#VALUE!</v>
      </c>
      <c r="BW73" s="1044" t="e">
        <f t="shared" si="131"/>
        <v>#N/A</v>
      </c>
      <c r="BX73" s="1051">
        <f t="shared" si="132"/>
        <v>0</v>
      </c>
      <c r="BY73" s="1045">
        <f t="shared" si="133"/>
        <v>0</v>
      </c>
      <c r="CB73" s="1624" t="s">
        <v>711</v>
      </c>
      <c r="CC73" s="1624"/>
      <c r="CD73" s="1624"/>
      <c r="CE73" s="1624"/>
      <c r="CF73" s="746">
        <f>SUMIF($U$7:$U$107,4,$Z$7:$Z$107)</f>
        <v>0</v>
      </c>
      <c r="CG73" s="747">
        <f>SUMIF($U$7:$U$107,5,$Z$7:$Z$107)</f>
        <v>0</v>
      </c>
      <c r="CH73" s="747">
        <f>SUMIF($U$7:$U$107,6,$Z$7:$Z$107)</f>
        <v>0</v>
      </c>
      <c r="CI73" s="747">
        <f>SUMIF($U$7:$U$107,7,$Z$7:$Z$107)</f>
        <v>0</v>
      </c>
      <c r="CJ73" s="747">
        <f>SUMIF($U$7:$U$107,8,$Z$7:$Z$107)</f>
        <v>0</v>
      </c>
      <c r="CK73" s="747">
        <f>SUMIF($U$7:$U$107,9,$Z$7:$Z$107)</f>
        <v>0</v>
      </c>
      <c r="CL73" s="747">
        <f>SUMIF($U$7:$U$107,10,$Z$7:$Z$107)</f>
        <v>0</v>
      </c>
      <c r="CM73" s="747">
        <f>SUMIF($U$7:$U$107,11,$Z$7:$Z$107)</f>
        <v>0</v>
      </c>
      <c r="CN73" s="747">
        <f>SUMIF($U$7:$U$107,12,$Z$7:$Z$107)</f>
        <v>0</v>
      </c>
      <c r="CO73" s="747">
        <f>SUMIF($U$7:$U$107,1,$Z$7:$Z$107)</f>
        <v>0</v>
      </c>
      <c r="CP73" s="747">
        <f>SUMIF($U$7:$U$107,2,$Z$7:$Z$107)</f>
        <v>0</v>
      </c>
      <c r="CQ73" s="1054">
        <f>SUMIF($U$7:$U$107,3,$Z$7:$Z$107)</f>
        <v>0</v>
      </c>
      <c r="CR73" s="749">
        <f>SUM(CF73:CQ73)</f>
        <v>0</v>
      </c>
      <c r="CT73" s="1694"/>
      <c r="CU73" s="1695"/>
      <c r="CV73" s="754" t="e">
        <f>BU27+BU54+BU82+BU108</f>
        <v>#VALUE!</v>
      </c>
      <c r="CW73" s="754" t="e">
        <f t="shared" ref="CW73:CY73" si="136">BV27+BV54+BV82+BV108</f>
        <v>#VALUE!</v>
      </c>
      <c r="CX73" s="754" t="e">
        <f t="shared" si="136"/>
        <v>#N/A</v>
      </c>
      <c r="CY73" s="754">
        <f t="shared" si="136"/>
        <v>0</v>
      </c>
      <c r="CZ73" s="871">
        <f>BY27+BY54+BY82+BY108</f>
        <v>0</v>
      </c>
      <c r="DC73" s="1669"/>
      <c r="DD73" s="1669"/>
      <c r="DE73" s="1669"/>
      <c r="DF73" s="1669"/>
      <c r="DG73" s="1669"/>
      <c r="DH73" s="1669"/>
      <c r="DI73" s="1669"/>
      <c r="DJ73" s="1669"/>
    </row>
    <row r="74" spans="1:114" ht="18.75" customHeight="1">
      <c r="A74" s="1640"/>
      <c r="B74" s="1590" t="s">
        <v>584</v>
      </c>
      <c r="C74" s="1591"/>
      <c r="D74" s="1591"/>
      <c r="E74" s="798">
        <f>CF2</f>
        <v>0</v>
      </c>
      <c r="F74" s="798">
        <f t="shared" ref="F74" si="137">CG2</f>
        <v>0</v>
      </c>
      <c r="G74" s="798">
        <f t="shared" ref="G74" si="138">CH2</f>
        <v>0</v>
      </c>
      <c r="H74" s="798">
        <f t="shared" ref="H74" si="139">CI2</f>
        <v>0</v>
      </c>
      <c r="I74" s="798">
        <f t="shared" ref="I74" si="140">CJ2</f>
        <v>0</v>
      </c>
      <c r="J74" s="798">
        <f t="shared" ref="J74" si="141">CK2</f>
        <v>0</v>
      </c>
      <c r="K74" s="798">
        <f t="shared" ref="K74" si="142">CL2</f>
        <v>0</v>
      </c>
      <c r="L74" s="798">
        <f t="shared" ref="L74" si="143">CM2</f>
        <v>0</v>
      </c>
      <c r="M74" s="798">
        <f t="shared" ref="M74" si="144">CN2</f>
        <v>0</v>
      </c>
      <c r="N74" s="798">
        <f t="shared" ref="N74" si="145">CO2</f>
        <v>0</v>
      </c>
      <c r="O74" s="798">
        <f t="shared" ref="O74" si="146">CP2</f>
        <v>0</v>
      </c>
      <c r="P74" s="798">
        <f t="shared" ref="P74" si="147">CQ2</f>
        <v>0</v>
      </c>
      <c r="Q74" s="797"/>
      <c r="T74" s="682">
        <v>13</v>
      </c>
      <c r="U74" s="918">
        <f>月途中入退所情報!D43</f>
        <v>0</v>
      </c>
      <c r="V74" s="918">
        <f>月途中入退所情報!H43</f>
        <v>0</v>
      </c>
      <c r="W74" s="918">
        <f>月途中入退所情報!G43</f>
        <v>0</v>
      </c>
      <c r="X74" s="945">
        <f>月途中入退所情報!I43</f>
        <v>0</v>
      </c>
      <c r="Y74" s="918">
        <f>月途中入退所情報!J43</f>
        <v>0</v>
      </c>
      <c r="Z74" s="993">
        <f t="shared" si="114"/>
        <v>0</v>
      </c>
      <c r="AA74" s="1021" cm="1">
        <f t="array" ref="AA74">IFERROR(IF(OR($U74=2,$U74=3),
INDEX(単価表!$AY$72:$CC$79,MATCH($V74&amp;$W74,INDEX(単価表!$AY$64:$AY$71&amp;単価表!$AZ$64:$AZ$71,),),MATCH(内訳計算!AA$6,単価表!$AY$63:$CC$63,0)),
INDEX(単価表!$AY$72:$CC$79,MATCH($V74&amp;$W74,INDEX(単価表!$AY$64:$AY$71&amp;単価表!$AZ$64:$AZ$71,),),MATCH(内訳計算!AA$6,単価表!$AY$63:$CC$63,0))),0)</f>
        <v>0</v>
      </c>
      <c r="AB74" s="1022" t="e">
        <f t="shared" si="115"/>
        <v>#VALUE!</v>
      </c>
      <c r="AC74" s="1022" cm="1">
        <f t="array" ref="AC74">IFERROR(ROUNDDOWN(IF(OR($U74=2,$U74=3),
INDEX(単価表!$AY$72:$CC$79,MATCH($V74&amp;$W74,INDEX(単価表!$AY$64:$AY$71&amp;単価表!$AZ$64:$AZ$71,),),MATCH(内訳計算!AC$6,単価表!$AY$63:$CC$63,0)),
INDEX(単価表!$AY$72:$CC$79,MATCH($V74&amp;$W74,INDEX(単価表!$AY$64:$AY$71&amp;単価表!$AZ$64:$AZ$71,),),MATCH(内訳計算!AC$6,単価表!$AY$63:$CC$63,0)))*$Y74/25,0),0)</f>
        <v>0</v>
      </c>
      <c r="AD74" s="1023" cm="1">
        <f t="array" ref="AD74">IFERROR(ROUNDDOWN(IF(OR($U74=2,$U74=3),
INDEX(単価表!$AY$72:$CC$79,MATCH($V74&amp;$W74,INDEX(単価表!$AY$64:$AY$71&amp;単価表!$AZ$64:$AZ$71,),),MATCH(内訳計算!AD$6,単価表!$AY$63:$CC$63,0)),
INDEX(単価表!$AY$72:$CC$79,MATCH($V74&amp;$W74,INDEX(単価表!$AY$64:$AY$71&amp;単価表!$AZ$64:$AZ$71,),),MATCH(内訳計算!AD$6,単価表!$AY$63:$CC$63,0)))*$Y74/25,0),0)</f>
        <v>0</v>
      </c>
      <c r="AE74" s="1021" cm="1">
        <f t="array" ref="AE74">IFERROR(IF(OR($U74=2,$U74=3),
INDEX(単価表!$AY$72:$CC$79,MATCH($V74&amp;$W74,INDEX(単価表!$AY$64:$AY$71&amp;単価表!$AZ$64:$AZ$71,),),MATCH(内訳計算!AE$6,単価表!$AY$63:$CC$63,0)),
INDEX(単価表!$AY$72:$CC$79,MATCH($V74&amp;$W74,INDEX(単価表!$AY$64:$AY$71&amp;単価表!$AZ$64:$AZ$71,),),MATCH(内訳計算!AE$6,単価表!$AY$63:$CC$63,0))),0)</f>
        <v>0</v>
      </c>
      <c r="AF74" s="1022" cm="1">
        <f t="array" ref="AF74">IFERROR(ROUNDDOWN(IF(OR($U74=2,$U74=3),
INDEX(単価表!$AY$72:$CC$79,MATCH($V74&amp;$W74,INDEX(単価表!$AY$64:$AY$71&amp;単価表!$AZ$64:$AZ$71,),),MATCH(内訳計算!AF$6,単価表!$AY$63:$CC$63,0)),
INDEX(単価表!$AY$72:$CC$79,MATCH($V74&amp;$W74,INDEX(単価表!$AY$64:$AY$71&amp;単価表!$AZ$64:$AZ$71,),),MATCH(内訳計算!AF$6,単価表!$AY$63:$CC$63,0)))*$Y74/25,0),0)</f>
        <v>0</v>
      </c>
      <c r="AG74" s="1023" cm="1">
        <f t="array" ref="AG74">IFERROR(ROUNDDOWN(IF(OR($U74=2,$U74=3),
INDEX(単価表!$AY$72:$CC$79,MATCH($V74&amp;$W74,INDEX(単価表!$AY$64:$AY$71&amp;単価表!$AZ$64:$AZ$71,),),MATCH(内訳計算!AG$6,単価表!$AY$63:$CC$63,0)),
INDEX(単価表!$AY$72:$CC$79,MATCH($V74&amp;$W74,INDEX(単価表!$AY$64:$AY$71&amp;単価表!$AZ$64:$AZ$71,),),MATCH(内訳計算!AG$6,単価表!$AY$63:$CC$63,0)))*$Y74/25,0),0)</f>
        <v>0</v>
      </c>
      <c r="AH74" s="1021" cm="1">
        <f t="array" ref="AH74">IFERROR(IF(HLOOKUP($U74,加算と減算!$E$4:$P$10,2,FALSE)="○",IF(OR($U74=2,$U74=3),
INDEX(単価表!$AY$72:$CC$79,MATCH($V74&amp;$W74,INDEX(単価表!$AY$64:$AY$71&amp;単価表!$AZ$64:$AZ$71,),),MATCH(内訳計算!AH$6,単価表!$AY$63:$CC$63,0)),
INDEX(単価表!$AY$72:$CC$79,MATCH($V74&amp;$W74,INDEX(単価表!$AY$64:$AY$71&amp;単価表!$AZ$64:$AZ$71,),),MATCH(内訳計算!AH$6,単価表!$AY$63:$CC$63,0))),0),0)</f>
        <v>0</v>
      </c>
      <c r="AI74" s="1024" cm="1">
        <f t="array" ref="AI74">IFERROR(ROUNDDOWN(IF(HLOOKUP($U74,加算と減算!$E$4:$P$10,2,FALSE)="○",IF(OR($U74=2,$U74=3),
INDEX(単価表!$AY$72:$CC$79,MATCH($V74&amp;$W74,INDEX(単価表!$AY$64:$AY$71&amp;単価表!$AZ$64:$AZ$71,),),MATCH(内訳計算!AI$6,単価表!$AY$63:$CC$63,0)),
INDEX(単価表!$AY$72:$CC$79,MATCH($V74&amp;$W74,INDEX(単価表!$AY$64:$AY$71&amp;単価表!$AZ$64:$AZ$71,),),MATCH(内訳計算!AI$6,単価表!$AY$63:$CC$63,0))),0)*$Y74/25,0),0)</f>
        <v>0</v>
      </c>
      <c r="AJ74" s="1022" cm="1">
        <f t="array" ref="AJ74">IFERROR(ROUNDDOWN(IF(HLOOKUP($U74,加算と減算!$E$4:$P$10,2,FALSE)="○",IF(OR($U74=2,$U74=3),
INDEX(単価表!$AY$72:$CC$79,MATCH($V74&amp;$W74,INDEX(単価表!$AY$64:$AY$71&amp;単価表!$AZ$64:$AZ$71,),),MATCH(内訳計算!AJ$6,単価表!$AY$63:$CC$63,0)),
INDEX(単価表!$AY$72:$CC$79,MATCH($V74&amp;$W74,INDEX(単価表!$AY$64:$AY$71&amp;単価表!$AZ$64:$AZ$71,),),MATCH(内訳計算!AJ$6,単価表!$AY$63:$CC$63,0))),0)*$Y74/25,0),0)</f>
        <v>0</v>
      </c>
      <c r="AK74" s="1023" cm="1">
        <f t="array" ref="AK74">IFERROR(ROUNDDOWN(IF(HLOOKUP($U74,加算と減算!$E$4:$P$10,2,FALSE)="○",IF(OR($U74=2,$U74=3),
INDEX(単価表!$AY$72:$CC$79,MATCH($V74&amp;$W74,INDEX(単価表!$AY$64:$AY$71&amp;単価表!$AZ$64:$AZ$71,),),MATCH(内訳計算!AK$6,単価表!$AY$63:$CC$63,0)),
INDEX(単価表!$AY$72:$CC$79,MATCH($V74&amp;$W74,INDEX(単価表!$AY$64:$AY$71&amp;単価表!$AZ$64:$AZ$71,),),MATCH(内訳計算!AK$6,単価表!$AY$63:$CC$63,0))),0)*$Y74/25,0),0)</f>
        <v>0</v>
      </c>
      <c r="AL74" s="1021" cm="1">
        <f t="array" ref="AL74">IFERROR(IF(HLOOKUP($U74,加算と減算!$E$4:$P$10,4,FALSE)="○",IF(OR($U74=2,$U74=3),
INDEX(単価表!$AY$72:$CC$79,MATCH($V74&amp;$W74,INDEX(単価表!$AY$64:$AY$71&amp;単価表!$AZ$64:$AZ$71,),),MATCH(内訳計算!AL$6,単価表!$AY$63:$CC$63,0)),
INDEX(単価表!$AY$72:$CC$79,MATCH($V74&amp;$W74,INDEX(単価表!$AY$64:$AY$71&amp;単価表!$AZ$64:$AZ$71,),),MATCH(内訳計算!AL$6,単価表!$AY$63:$CC$63,0))),0),0)</f>
        <v>0</v>
      </c>
      <c r="AM74" s="1022" cm="1">
        <f t="array" ref="AM74">IFERROR(ROUNDDOWN(IF(HLOOKUP($U74,加算と減算!$E$4:$P$10,4,FALSE)="○",IF(OR($U74=2,$U74=3),
INDEX(単価表!$AY$72:$CC$79,MATCH($V74&amp;$W74,INDEX(単価表!$AY$64:$AY$71&amp;単価表!$AZ$64:$AZ$71,),),MATCH(内訳計算!AM$6,単価表!$AY$63:$CC$63,0)),
INDEX(単価表!$AY$72:$CC$79,MATCH($V74&amp;$W74,INDEX(単価表!$AY$64:$AY$71&amp;単価表!$AZ$64:$AZ$71,),),MATCH(内訳計算!AM$6,単価表!$AY$63:$CC$63,0))),0)*$Y74/25,0),0)</f>
        <v>0</v>
      </c>
      <c r="AN74" s="1022" cm="1">
        <f t="array" ref="AN74">IFERROR(ROUNDDOWN(IF(HLOOKUP($U74,加算と減算!$E$4:$P$10,4,FALSE)="○",IF(OR($U74=2,$U74=3),
INDEX(単価表!$AY$72:$CC$79,MATCH($V74&amp;$W74,INDEX(単価表!$AY$64:$AY$71&amp;単価表!$AZ$64:$AZ$71,),),MATCH(内訳計算!AN$6,単価表!$AY$63:$CC$63,0)),
INDEX(単価表!$AY$72:$CC$79,MATCH($V74&amp;$W74,INDEX(単価表!$AY$64:$AY$71&amp;単価表!$AZ$64:$AZ$71,),),MATCH(内訳計算!AN$6,単価表!$AY$63:$CC$63,0))),0)*$Y74/25,0),0)</f>
        <v>0</v>
      </c>
      <c r="AO74" s="1022" cm="1">
        <f t="array" ref="AO74">IFERROR(ROUNDDOWN(IF(HLOOKUP($U74,加算と減算!$E$4:$P$10,4,FALSE)="○",IF(OR($U74=2,$U74=3),
INDEX(単価表!$AY$72:$CC$79,MATCH($V74&amp;$W74,INDEX(単価表!$AY$64:$AY$71&amp;単価表!$AZ$64:$AZ$71,),),MATCH(内訳計算!AO$6,単価表!$AY$63:$CC$63,0)),
INDEX(単価表!$AY$72:$CC$79,MATCH($V74&amp;$W74,INDEX(単価表!$AY$64:$AY$71&amp;単価表!$AZ$64:$AZ$71,),),MATCH(内訳計算!AO$6,単価表!$AY$63:$CC$63,0))),0)*$Y74/25,0),0)</f>
        <v>0</v>
      </c>
      <c r="AP74" s="1022" cm="1">
        <f t="array" ref="AP74">IFERROR(ROUNDDOWN(IF(HLOOKUP($U74,加算と減算!$E$4:$P$10,4,FALSE)="○",IF(OR($U74=2,$U74=3),
INDEX(単価表!$AY$72:$CC$79,MATCH($V74&amp;$W74,INDEX(単価表!$AY$64:$AY$71&amp;単価表!$AZ$64:$AZ$71,),),MATCH(内訳計算!AP$6,単価表!$AY$63:$CC$63,0)),
INDEX(単価表!$AY$72:$CC$79,MATCH($V74&amp;$W74,INDEX(単価表!$AY$64:$AY$71&amp;単価表!$AZ$64:$AZ$71,),),MATCH(内訳計算!AP$6,単価表!$AY$63:$CC$63,0))),0)*$Y74/25,0),0)</f>
        <v>0</v>
      </c>
      <c r="AQ74" s="1023" cm="1">
        <f t="array" ref="AQ74">IFERROR(ROUNDDOWN(IF(HLOOKUP($U74,加算と減算!$E$4:$P$10,4,FALSE)="○",IF(OR($U74=2,$U74=3),
INDEX(単価表!$AY$72:$CC$79,MATCH($V74&amp;$W74,INDEX(単価表!$AY$64:$AY$71&amp;単価表!$AZ$64:$AZ$71,),),MATCH(内訳計算!AQ$6,単価表!$AY$63:$CC$63,0)),
INDEX(単価表!$AY$72:$CC$79,MATCH($V74&amp;$W74,INDEX(単価表!$AY$64:$AY$71&amp;単価表!$AZ$64:$AZ$71,),),MATCH(内訳計算!AQ$6,単価表!$AY$63:$CC$63,0))),0)*$Y74/25,0),0)</f>
        <v>0</v>
      </c>
      <c r="AR74" s="1021" cm="1">
        <f t="array" ref="AR74">IFERROR(IF(HLOOKUP($U74,加算と減算!$E$4:$P$10,5,FALSE)="○",IF(OR($U74=2,$U74=3),
INDEX(単価表!$AY$72:$CC$79,MATCH($V74&amp;$W74,INDEX(単価表!$AY$64:$AY$71&amp;単価表!$AZ$64:$AZ$71,),),MATCH(内訳計算!AR$6,単価表!$AY$63:$CC$63,0)),
INDEX(単価表!$AY$72:$CC$79,MATCH($V74&amp;$W74,INDEX(単価表!$AY$64:$AY$71&amp;単価表!$AZ$64:$AZ$71,),),MATCH(内訳計算!AR$6,単価表!$AY$63:$CC$63,0))),0),0)</f>
        <v>0</v>
      </c>
      <c r="AS74" s="1023" cm="1">
        <f t="array" ref="AS74">IFERROR(ROUNDDOWN(IF(HLOOKUP($U74,加算と減算!$E$4:$P$10,5,FALSE)="○",IF(OR($U74=2,$U74=3),
INDEX(単価表!$AY$72:$CC$79,MATCH($V74&amp;$W74,INDEX(単価表!$AY$64:$AY$71&amp;単価表!$AZ$64:$AZ$71,),),MATCH(内訳計算!AS$6,単価表!$AY$63:$CC$63,0)),
INDEX(単価表!$AY$72:$CC$79,MATCH($V74&amp;$W74,INDEX(単価表!$AY$64:$AY$71&amp;単価表!$AZ$64:$AZ$71,),),MATCH(内訳計算!AS$6,単価表!$AY$63:$CC$63,0))),0)*$Y74/25,0),0)</f>
        <v>0</v>
      </c>
      <c r="AT74" s="1021" cm="1">
        <f t="array" ref="AT74">IFERROR(IF(HLOOKUP($U74,加算と減算!$E$4:$P$10,6,FALSE)="○",IF(OR($U74=2,$U74=3),
INDEX(単価表!$AY$72:$CC$79,MATCH($V74&amp;$W74,INDEX(単価表!$AY$64:$AY$71&amp;単価表!$AZ$64:$AZ$71,),),MATCH(内訳計算!AT$6,単価表!$AY$63:$CC$63,0)),
INDEX(単価表!$AY$72:$CC$79,MATCH($V74&amp;$W74,INDEX(単価表!$AY$64:$AY$71&amp;単価表!$AZ$64:$AZ$71,),),MATCH(内訳計算!AT$6,単価表!$AY$63:$CC$63,0))),0),0)</f>
        <v>0</v>
      </c>
      <c r="AU74" s="1023" cm="1">
        <f t="array" ref="AU74">IFERROR(ROUNDDOWN(IF(HLOOKUP($U74,加算と減算!$E$4:$P$10,6,FALSE)="○",IF(OR($U74=2,$U74=3),
INDEX(単価表!$AY$72:$CC$79,MATCH($V74&amp;$W74,INDEX(単価表!$AY$64:$AY$71&amp;単価表!$AZ$64:$AZ$71,),),MATCH(内訳計算!AU$6,単価表!$AY$63:$CC$63,0)),
INDEX(単価表!$AY$72:$CC$79,MATCH($V74&amp;$W74,INDEX(単価表!$AY$64:$AY$71&amp;単価表!$AZ$64:$AZ$71,),),MATCH(内訳計算!AU$6,単価表!$AY$63:$CC$63,0))),0)*$Y74/25,0),0)</f>
        <v>0</v>
      </c>
      <c r="AV74" s="1021" cm="1">
        <f t="array" ref="AV74">IFERROR(IF(HLOOKUP($U74,加算と減算!$E$4:$P$10,7,FALSE)="○",IF(OR($U74=2,$U74=3),
INDEX(単価表!$AY$72:$CC$79,MATCH($V74&amp;$W74,INDEX(単価表!$AY$64:$AY$71&amp;単価表!$AZ$64:$AZ$71,),),MATCH(内訳計算!AV$6,単価表!$AY$63:$CC$63,0)),
INDEX(単価表!$AY$72:$CC$79,MATCH($V74&amp;$W74,INDEX(単価表!$AY$64:$AY$71&amp;単価表!$AZ$64:$AZ$71,),),MATCH(内訳計算!AV$6,単価表!$AY$63:$CC$63,0))),0),0)</f>
        <v>0</v>
      </c>
      <c r="AW74" s="1022" cm="1">
        <f t="array" ref="AW74">IFERROR(ROUNDDOWN(IF(HLOOKUP($U74,加算と減算!$E$4:$P$10,7,FALSE)="○",IF(OR($U74=2,$U74=3),
INDEX(単価表!$AY$72:$CC$79,MATCH($V74&amp;$W74,INDEX(単価表!$AY$64:$AY$71&amp;単価表!$AZ$64:$AZ$71,),),MATCH(内訳計算!AW$6,単価表!$AY$63:$CC$63,0)),
INDEX(単価表!$AY$72:$CC$79,MATCH($V74&amp;$W74,INDEX(単価表!$AY$64:$AY$71&amp;単価表!$AZ$64:$AZ$71,),),MATCH(内訳計算!AW$6,単価表!$AY$63:$CC$63,0))),0)*$Y74/25,0),0)</f>
        <v>0</v>
      </c>
      <c r="AX74" s="1022" cm="1">
        <f t="array" ref="AX74">IFERROR(ROUNDDOWN(IF(HLOOKUP($U74,加算と減算!$E$4:$P$10,7,FALSE)="○",IF(OR($U74=2,$U74=3),
INDEX(単価表!$AY$72:$CC$79,MATCH($V74&amp;$W74,INDEX(単価表!$AY$64:$AY$71&amp;単価表!$AZ$64:$AZ$71,),),MATCH(内訳計算!AX$6,単価表!$AY$63:$CC$63,0)),
INDEX(単価表!$AY$72:$CC$79,MATCH($V74&amp;$W74,INDEX(単価表!$AY$64:$AY$71&amp;単価表!$AZ$64:$AZ$71,),),MATCH(内訳計算!AX$6,単価表!$AY$63:$CC$63,0))),0)*$Y74/25,0),0)</f>
        <v>0</v>
      </c>
      <c r="AY74" s="1023" cm="1">
        <f t="array" ref="AY74">IFERROR(ROUNDDOWN(IF(HLOOKUP($U74,加算と減算!$E$4:$P$10,7,FALSE)="○",IF(OR($U74=2,$U74=3),
INDEX(単価表!$AY$72:$CC$79,MATCH($V74&amp;$W74,INDEX(単価表!$AY$64:$AY$71&amp;単価表!$AZ$64:$AZ$71,),),MATCH(内訳計算!AY$6,単価表!$AY$63:$CC$63,0)),
INDEX(単価表!$AY$72:$CC$79,MATCH($V74&amp;$W74,INDEX(単価表!$AY$64:$AY$71&amp;単価表!$AZ$64:$AZ$71,),),MATCH(内訳計算!AY$6,単価表!$AY$63:$CC$63,0))),0)*$Y74/25,0),0)</f>
        <v>0</v>
      </c>
      <c r="AZ74" s="1021" cm="1">
        <f t="array" ref="AZ74">IFERROR(IF(X74="○",INDEX(単価表!$AY$72:$CC$79,MATCH($V74&amp;$W74,INDEX(単価表!$AY$64:$AY$71&amp;単価表!$AZ$64:$AZ$71,),),MATCH(内訳計算!AZ$6,単価表!$AY$63:$CC$63,0)),0),0)</f>
        <v>0</v>
      </c>
      <c r="BA74" s="1023" cm="1">
        <f t="array" ref="BA74">IFERROR(ROUNDDOWN(INDEX(単価表!$AY$72:$CC$79,MATCH($V74&amp;$W74,INDEX(単価表!$AY$64:$AY$71&amp;単価表!$AZ$64:$AZ$71,),),MATCH(内訳計算!BA$6,単価表!$AY$63:$CC$63,0))*$Y74/25,0),0)</f>
        <v>0</v>
      </c>
      <c r="BB74" s="1021" cm="1">
        <f t="array" ref="BB74">IFERROR(INDEX(単価表!$AY$72:$CC$79,MATCH($V74&amp;$W74,INDEX(単価表!$AY$64:$AY$71&amp;単価表!$AZ$64:$AZ$71,),),MATCH(内訳計算!BB$6,単価表!$AY$63:$CC$63,0)),0)</f>
        <v>0</v>
      </c>
      <c r="BC74" s="1023" cm="1">
        <f t="array" ref="BC74">IFERROR(ROUNDDOWN(INDEX(単価表!$AY$72:$CC$79,MATCH($V74&amp;$W74,INDEX(単価表!$AY$64:$AY$71&amp;単価表!$AZ$64:$AZ$71,),),MATCH(内訳計算!BC$6,単価表!$AY$63:$CC$63,0))*$Y74/25,0),0)</f>
        <v>0</v>
      </c>
      <c r="BD74" s="985">
        <f>IFERROR(IF(HLOOKUP($U74,加算と減算!$E$31:$P$32,2,FALSE)="○",IF(OR($U74=2,$U74=3),-(単価表!$AZ$23+単価表!$BA$23*基本情報!$G$7),-(単価表!$AZ$23+単価表!$BA$23*基本情報!$G$7)),0),0)</f>
        <v>0</v>
      </c>
      <c r="BE74" s="1007" t="e">
        <f t="shared" si="116"/>
        <v>#VALUE!</v>
      </c>
      <c r="BF74" s="1007" t="e">
        <f t="shared" si="117"/>
        <v>#VALUE!</v>
      </c>
      <c r="BG74" s="1030" t="e">
        <f t="shared" si="118"/>
        <v>#N/A</v>
      </c>
      <c r="BH74" s="1031">
        <f>IFERROR(IF(基本情報!$E$12&lt;&gt;"",-ROUNDDOWN((AA74+AE74+AH74+AL74)*基本情報!$H$13/100,-1),0),0)</f>
        <v>0</v>
      </c>
      <c r="BI74" s="1007" t="e">
        <f t="shared" si="119"/>
        <v>#VALUE!</v>
      </c>
      <c r="BJ74" s="1007" t="e">
        <f t="shared" si="120"/>
        <v>#VALUE!</v>
      </c>
      <c r="BK74" s="1008" t="e">
        <f t="shared" si="121"/>
        <v>#N/A</v>
      </c>
      <c r="BL74" s="1031">
        <f t="shared" si="122"/>
        <v>0</v>
      </c>
      <c r="BM74" s="1007" t="e">
        <f t="shared" si="123"/>
        <v>#VALUE!</v>
      </c>
      <c r="BN74" s="1007" t="e">
        <f t="shared" si="124"/>
        <v>#VALUE!</v>
      </c>
      <c r="BO74" s="1008" t="e">
        <f t="shared" si="125"/>
        <v>#N/A</v>
      </c>
      <c r="BP74" s="1006">
        <f>IFERROR(-ROUNDUP(SUM(AA74,AE74,AH74,AL74,AR74,AT74,AV74,BD74,BH74,BL74)*基本情報!$H$15/100,-1),0)</f>
        <v>0</v>
      </c>
      <c r="BQ74" s="1007" t="e">
        <f t="shared" si="126"/>
        <v>#VALUE!</v>
      </c>
      <c r="BR74" s="1007" t="e">
        <f t="shared" si="127"/>
        <v>#VALUE!</v>
      </c>
      <c r="BS74" s="1008" t="e">
        <f t="shared" si="128"/>
        <v>#N/A</v>
      </c>
      <c r="BT74" s="721"/>
      <c r="BU74" s="1043" t="e">
        <f t="shared" si="129"/>
        <v>#VALUE!</v>
      </c>
      <c r="BV74" s="1044" t="e">
        <f t="shared" si="130"/>
        <v>#VALUE!</v>
      </c>
      <c r="BW74" s="1044" t="e">
        <f t="shared" si="131"/>
        <v>#N/A</v>
      </c>
      <c r="BX74" s="1051">
        <f t="shared" si="132"/>
        <v>0</v>
      </c>
      <c r="BY74" s="1045">
        <f t="shared" si="133"/>
        <v>0</v>
      </c>
      <c r="DC74" s="1669"/>
      <c r="DD74" s="1669"/>
      <c r="DE74" s="1669"/>
      <c r="DF74" s="1669"/>
      <c r="DG74" s="1669"/>
      <c r="DH74" s="1669"/>
      <c r="DI74" s="1669"/>
      <c r="DJ74" s="1669"/>
    </row>
    <row r="75" spans="1:114" ht="19.5" customHeight="1" thickBot="1">
      <c r="A75" s="1640"/>
      <c r="B75" s="1592" t="s">
        <v>182</v>
      </c>
      <c r="C75" s="1592"/>
      <c r="D75" s="1593"/>
      <c r="E75" s="798">
        <f>SUM(E73:E74)</f>
        <v>0</v>
      </c>
      <c r="F75" s="798">
        <f t="shared" ref="F75:P75" si="148">SUM(F73:F74)</f>
        <v>0</v>
      </c>
      <c r="G75" s="798">
        <f t="shared" si="148"/>
        <v>0</v>
      </c>
      <c r="H75" s="798">
        <f t="shared" si="148"/>
        <v>0</v>
      </c>
      <c r="I75" s="798">
        <f t="shared" si="148"/>
        <v>0</v>
      </c>
      <c r="J75" s="798">
        <f t="shared" si="148"/>
        <v>0</v>
      </c>
      <c r="K75" s="798">
        <f t="shared" si="148"/>
        <v>0</v>
      </c>
      <c r="L75" s="798">
        <f t="shared" si="148"/>
        <v>0</v>
      </c>
      <c r="M75" s="798">
        <f t="shared" si="148"/>
        <v>0</v>
      </c>
      <c r="N75" s="798">
        <f t="shared" si="148"/>
        <v>0</v>
      </c>
      <c r="O75" s="798">
        <f t="shared" si="148"/>
        <v>0</v>
      </c>
      <c r="P75" s="798">
        <f t="shared" si="148"/>
        <v>0</v>
      </c>
      <c r="Q75" s="797"/>
      <c r="T75" s="682">
        <v>14</v>
      </c>
      <c r="U75" s="918">
        <f>月途中入退所情報!D44</f>
        <v>0</v>
      </c>
      <c r="V75" s="918">
        <f>月途中入退所情報!H44</f>
        <v>0</v>
      </c>
      <c r="W75" s="918">
        <f>月途中入退所情報!G44</f>
        <v>0</v>
      </c>
      <c r="X75" s="945">
        <f>月途中入退所情報!I44</f>
        <v>0</v>
      </c>
      <c r="Y75" s="918">
        <f>月途中入退所情報!J44</f>
        <v>0</v>
      </c>
      <c r="Z75" s="840">
        <f t="shared" si="114"/>
        <v>0</v>
      </c>
      <c r="AA75" s="1021" cm="1">
        <f t="array" ref="AA75">IFERROR(IF(OR($U75=2,$U75=3),
INDEX(単価表!$AY$72:$CC$79,MATCH($V75&amp;$W75,INDEX(単価表!$AY$64:$AY$71&amp;単価表!$AZ$64:$AZ$71,),),MATCH(内訳計算!AA$6,単価表!$AY$63:$CC$63,0)),
INDEX(単価表!$AY$72:$CC$79,MATCH($V75&amp;$W75,INDEX(単価表!$AY$64:$AY$71&amp;単価表!$AZ$64:$AZ$71,),),MATCH(内訳計算!AA$6,単価表!$AY$63:$CC$63,0))),0)</f>
        <v>0</v>
      </c>
      <c r="AB75" s="1022" t="e">
        <f t="shared" si="115"/>
        <v>#VALUE!</v>
      </c>
      <c r="AC75" s="1022" cm="1">
        <f t="array" ref="AC75">IFERROR(ROUNDDOWN(IF(OR($U75=2,$U75=3),
INDEX(単価表!$AY$72:$CC$79,MATCH($V75&amp;$W75,INDEX(単価表!$AY$64:$AY$71&amp;単価表!$AZ$64:$AZ$71,),),MATCH(内訳計算!AC$6,単価表!$AY$63:$CC$63,0)),
INDEX(単価表!$AY$72:$CC$79,MATCH($V75&amp;$W75,INDEX(単価表!$AY$64:$AY$71&amp;単価表!$AZ$64:$AZ$71,),),MATCH(内訳計算!AC$6,単価表!$AY$63:$CC$63,0)))*$Y75/25,0),0)</f>
        <v>0</v>
      </c>
      <c r="AD75" s="1023" cm="1">
        <f t="array" ref="AD75">IFERROR(ROUNDDOWN(IF(OR($U75=2,$U75=3),
INDEX(単価表!$AY$72:$CC$79,MATCH($V75&amp;$W75,INDEX(単価表!$AY$64:$AY$71&amp;単価表!$AZ$64:$AZ$71,),),MATCH(内訳計算!AD$6,単価表!$AY$63:$CC$63,0)),
INDEX(単価表!$AY$72:$CC$79,MATCH($V75&amp;$W75,INDEX(単価表!$AY$64:$AY$71&amp;単価表!$AZ$64:$AZ$71,),),MATCH(内訳計算!AD$6,単価表!$AY$63:$CC$63,0)))*$Y75/25,0),0)</f>
        <v>0</v>
      </c>
      <c r="AE75" s="1021" cm="1">
        <f t="array" ref="AE75">IFERROR(IF(OR($U75=2,$U75=3),
INDEX(単価表!$AY$72:$CC$79,MATCH($V75&amp;$W75,INDEX(単価表!$AY$64:$AY$71&amp;単価表!$AZ$64:$AZ$71,),),MATCH(内訳計算!AE$6,単価表!$AY$63:$CC$63,0)),
INDEX(単価表!$AY$72:$CC$79,MATCH($V75&amp;$W75,INDEX(単価表!$AY$64:$AY$71&amp;単価表!$AZ$64:$AZ$71,),),MATCH(内訳計算!AE$6,単価表!$AY$63:$CC$63,0))),0)</f>
        <v>0</v>
      </c>
      <c r="AF75" s="1022" cm="1">
        <f t="array" ref="AF75">IFERROR(ROUNDDOWN(IF(OR($U75=2,$U75=3),
INDEX(単価表!$AY$72:$CC$79,MATCH($V75&amp;$W75,INDEX(単価表!$AY$64:$AY$71&amp;単価表!$AZ$64:$AZ$71,),),MATCH(内訳計算!AF$6,単価表!$AY$63:$CC$63,0)),
INDEX(単価表!$AY$72:$CC$79,MATCH($V75&amp;$W75,INDEX(単価表!$AY$64:$AY$71&amp;単価表!$AZ$64:$AZ$71,),),MATCH(内訳計算!AF$6,単価表!$AY$63:$CC$63,0)))*$Y75/25,0),0)</f>
        <v>0</v>
      </c>
      <c r="AG75" s="1023" cm="1">
        <f t="array" ref="AG75">IFERROR(ROUNDDOWN(IF(OR($U75=2,$U75=3),
INDEX(単価表!$AY$72:$CC$79,MATCH($V75&amp;$W75,INDEX(単価表!$AY$64:$AY$71&amp;単価表!$AZ$64:$AZ$71,),),MATCH(内訳計算!AG$6,単価表!$AY$63:$CC$63,0)),
INDEX(単価表!$AY$72:$CC$79,MATCH($V75&amp;$W75,INDEX(単価表!$AY$64:$AY$71&amp;単価表!$AZ$64:$AZ$71,),),MATCH(内訳計算!AG$6,単価表!$AY$63:$CC$63,0)))*$Y75/25,0),0)</f>
        <v>0</v>
      </c>
      <c r="AH75" s="1021" cm="1">
        <f t="array" ref="AH75">IFERROR(IF(HLOOKUP($U75,加算と減算!$E$4:$P$10,2,FALSE)="○",IF(OR($U75=2,$U75=3),
INDEX(単価表!$AY$72:$CC$79,MATCH($V75&amp;$W75,INDEX(単価表!$AY$64:$AY$71&amp;単価表!$AZ$64:$AZ$71,),),MATCH(内訳計算!AH$6,単価表!$AY$63:$CC$63,0)),
INDEX(単価表!$AY$72:$CC$79,MATCH($V75&amp;$W75,INDEX(単価表!$AY$64:$AY$71&amp;単価表!$AZ$64:$AZ$71,),),MATCH(内訳計算!AH$6,単価表!$AY$63:$CC$63,0))),0),0)</f>
        <v>0</v>
      </c>
      <c r="AI75" s="1024" cm="1">
        <f t="array" ref="AI75">IFERROR(ROUNDDOWN(IF(HLOOKUP($U75,加算と減算!$E$4:$P$10,2,FALSE)="○",IF(OR($U75=2,$U75=3),
INDEX(単価表!$AY$72:$CC$79,MATCH($V75&amp;$W75,INDEX(単価表!$AY$64:$AY$71&amp;単価表!$AZ$64:$AZ$71,),),MATCH(内訳計算!AI$6,単価表!$AY$63:$CC$63,0)),
INDEX(単価表!$AY$72:$CC$79,MATCH($V75&amp;$W75,INDEX(単価表!$AY$64:$AY$71&amp;単価表!$AZ$64:$AZ$71,),),MATCH(内訳計算!AI$6,単価表!$AY$63:$CC$63,0))),0)*$Y75/25,0),0)</f>
        <v>0</v>
      </c>
      <c r="AJ75" s="1022" cm="1">
        <f t="array" ref="AJ75">IFERROR(ROUNDDOWN(IF(HLOOKUP($U75,加算と減算!$E$4:$P$10,2,FALSE)="○",IF(OR($U75=2,$U75=3),
INDEX(単価表!$AY$72:$CC$79,MATCH($V75&amp;$W75,INDEX(単価表!$AY$64:$AY$71&amp;単価表!$AZ$64:$AZ$71,),),MATCH(内訳計算!AJ$6,単価表!$AY$63:$CC$63,0)),
INDEX(単価表!$AY$72:$CC$79,MATCH($V75&amp;$W75,INDEX(単価表!$AY$64:$AY$71&amp;単価表!$AZ$64:$AZ$71,),),MATCH(内訳計算!AJ$6,単価表!$AY$63:$CC$63,0))),0)*$Y75/25,0),0)</f>
        <v>0</v>
      </c>
      <c r="AK75" s="1023" cm="1">
        <f t="array" ref="AK75">IFERROR(ROUNDDOWN(IF(HLOOKUP($U75,加算と減算!$E$4:$P$10,2,FALSE)="○",IF(OR($U75=2,$U75=3),
INDEX(単価表!$AY$72:$CC$79,MATCH($V75&amp;$W75,INDEX(単価表!$AY$64:$AY$71&amp;単価表!$AZ$64:$AZ$71,),),MATCH(内訳計算!AK$6,単価表!$AY$63:$CC$63,0)),
INDEX(単価表!$AY$72:$CC$79,MATCH($V75&amp;$W75,INDEX(単価表!$AY$64:$AY$71&amp;単価表!$AZ$64:$AZ$71,),),MATCH(内訳計算!AK$6,単価表!$AY$63:$CC$63,0))),0)*$Y75/25,0),0)</f>
        <v>0</v>
      </c>
      <c r="AL75" s="1021" cm="1">
        <f t="array" ref="AL75">IFERROR(IF(HLOOKUP($U75,加算と減算!$E$4:$P$10,4,FALSE)="○",IF(OR($U75=2,$U75=3),
INDEX(単価表!$AY$72:$CC$79,MATCH($V75&amp;$W75,INDEX(単価表!$AY$64:$AY$71&amp;単価表!$AZ$64:$AZ$71,),),MATCH(内訳計算!AL$6,単価表!$AY$63:$CC$63,0)),
INDEX(単価表!$AY$72:$CC$79,MATCH($V75&amp;$W75,INDEX(単価表!$AY$64:$AY$71&amp;単価表!$AZ$64:$AZ$71,),),MATCH(内訳計算!AL$6,単価表!$AY$63:$CC$63,0))),0),0)</f>
        <v>0</v>
      </c>
      <c r="AM75" s="1022" cm="1">
        <f t="array" ref="AM75">IFERROR(ROUNDDOWN(IF(HLOOKUP($U75,加算と減算!$E$4:$P$10,4,FALSE)="○",IF(OR($U75=2,$U75=3),
INDEX(単価表!$AY$72:$CC$79,MATCH($V75&amp;$W75,INDEX(単価表!$AY$64:$AY$71&amp;単価表!$AZ$64:$AZ$71,),),MATCH(内訳計算!AM$6,単価表!$AY$63:$CC$63,0)),
INDEX(単価表!$AY$72:$CC$79,MATCH($V75&amp;$W75,INDEX(単価表!$AY$64:$AY$71&amp;単価表!$AZ$64:$AZ$71,),),MATCH(内訳計算!AM$6,単価表!$AY$63:$CC$63,0))),0)*$Y75/25,0),0)</f>
        <v>0</v>
      </c>
      <c r="AN75" s="1022" cm="1">
        <f t="array" ref="AN75">IFERROR(ROUNDDOWN(IF(HLOOKUP($U75,加算と減算!$E$4:$P$10,4,FALSE)="○",IF(OR($U75=2,$U75=3),
INDEX(単価表!$AY$72:$CC$79,MATCH($V75&amp;$W75,INDEX(単価表!$AY$64:$AY$71&amp;単価表!$AZ$64:$AZ$71,),),MATCH(内訳計算!AN$6,単価表!$AY$63:$CC$63,0)),
INDEX(単価表!$AY$72:$CC$79,MATCH($V75&amp;$W75,INDEX(単価表!$AY$64:$AY$71&amp;単価表!$AZ$64:$AZ$71,),),MATCH(内訳計算!AN$6,単価表!$AY$63:$CC$63,0))),0)*$Y75/25,0),0)</f>
        <v>0</v>
      </c>
      <c r="AO75" s="1022" cm="1">
        <f t="array" ref="AO75">IFERROR(ROUNDDOWN(IF(HLOOKUP($U75,加算と減算!$E$4:$P$10,4,FALSE)="○",IF(OR($U75=2,$U75=3),
INDEX(単価表!$AY$72:$CC$79,MATCH($V75&amp;$W75,INDEX(単価表!$AY$64:$AY$71&amp;単価表!$AZ$64:$AZ$71,),),MATCH(内訳計算!AO$6,単価表!$AY$63:$CC$63,0)),
INDEX(単価表!$AY$72:$CC$79,MATCH($V75&amp;$W75,INDEX(単価表!$AY$64:$AY$71&amp;単価表!$AZ$64:$AZ$71,),),MATCH(内訳計算!AO$6,単価表!$AY$63:$CC$63,0))),0)*$Y75/25,0),0)</f>
        <v>0</v>
      </c>
      <c r="AP75" s="1022" cm="1">
        <f t="array" ref="AP75">IFERROR(ROUNDDOWN(IF(HLOOKUP($U75,加算と減算!$E$4:$P$10,4,FALSE)="○",IF(OR($U75=2,$U75=3),
INDEX(単価表!$AY$72:$CC$79,MATCH($V75&amp;$W75,INDEX(単価表!$AY$64:$AY$71&amp;単価表!$AZ$64:$AZ$71,),),MATCH(内訳計算!AP$6,単価表!$AY$63:$CC$63,0)),
INDEX(単価表!$AY$72:$CC$79,MATCH($V75&amp;$W75,INDEX(単価表!$AY$64:$AY$71&amp;単価表!$AZ$64:$AZ$71,),),MATCH(内訳計算!AP$6,単価表!$AY$63:$CC$63,0))),0)*$Y75/25,0),0)</f>
        <v>0</v>
      </c>
      <c r="AQ75" s="1023" cm="1">
        <f t="array" ref="AQ75">IFERROR(ROUNDDOWN(IF(HLOOKUP($U75,加算と減算!$E$4:$P$10,4,FALSE)="○",IF(OR($U75=2,$U75=3),
INDEX(単価表!$AY$72:$CC$79,MATCH($V75&amp;$W75,INDEX(単価表!$AY$64:$AY$71&amp;単価表!$AZ$64:$AZ$71,),),MATCH(内訳計算!AQ$6,単価表!$AY$63:$CC$63,0)),
INDEX(単価表!$AY$72:$CC$79,MATCH($V75&amp;$W75,INDEX(単価表!$AY$64:$AY$71&amp;単価表!$AZ$64:$AZ$71,),),MATCH(内訳計算!AQ$6,単価表!$AY$63:$CC$63,0))),0)*$Y75/25,0),0)</f>
        <v>0</v>
      </c>
      <c r="AR75" s="1021" cm="1">
        <f t="array" ref="AR75">IFERROR(IF(HLOOKUP($U75,加算と減算!$E$4:$P$10,5,FALSE)="○",IF(OR($U75=2,$U75=3),
INDEX(単価表!$AY$72:$CC$79,MATCH($V75&amp;$W75,INDEX(単価表!$AY$64:$AY$71&amp;単価表!$AZ$64:$AZ$71,),),MATCH(内訳計算!AR$6,単価表!$AY$63:$CC$63,0)),
INDEX(単価表!$AY$72:$CC$79,MATCH($V75&amp;$W75,INDEX(単価表!$AY$64:$AY$71&amp;単価表!$AZ$64:$AZ$71,),),MATCH(内訳計算!AR$6,単価表!$AY$63:$CC$63,0))),0),0)</f>
        <v>0</v>
      </c>
      <c r="AS75" s="1023" cm="1">
        <f t="array" ref="AS75">IFERROR(ROUNDDOWN(IF(HLOOKUP($U75,加算と減算!$E$4:$P$10,5,FALSE)="○",IF(OR($U75=2,$U75=3),
INDEX(単価表!$AY$72:$CC$79,MATCH($V75&amp;$W75,INDEX(単価表!$AY$64:$AY$71&amp;単価表!$AZ$64:$AZ$71,),),MATCH(内訳計算!AS$6,単価表!$AY$63:$CC$63,0)),
INDEX(単価表!$AY$72:$CC$79,MATCH($V75&amp;$W75,INDEX(単価表!$AY$64:$AY$71&amp;単価表!$AZ$64:$AZ$71,),),MATCH(内訳計算!AS$6,単価表!$AY$63:$CC$63,0))),0)*$Y75/25,0),0)</f>
        <v>0</v>
      </c>
      <c r="AT75" s="1021" cm="1">
        <f t="array" ref="AT75">IFERROR(IF(HLOOKUP($U75,加算と減算!$E$4:$P$10,6,FALSE)="○",IF(OR($U75=2,$U75=3),
INDEX(単価表!$AY$72:$CC$79,MATCH($V75&amp;$W75,INDEX(単価表!$AY$64:$AY$71&amp;単価表!$AZ$64:$AZ$71,),),MATCH(内訳計算!AT$6,単価表!$AY$63:$CC$63,0)),
INDEX(単価表!$AY$72:$CC$79,MATCH($V75&amp;$W75,INDEX(単価表!$AY$64:$AY$71&amp;単価表!$AZ$64:$AZ$71,),),MATCH(内訳計算!AT$6,単価表!$AY$63:$CC$63,0))),0),0)</f>
        <v>0</v>
      </c>
      <c r="AU75" s="1023" cm="1">
        <f t="array" ref="AU75">IFERROR(ROUNDDOWN(IF(HLOOKUP($U75,加算と減算!$E$4:$P$10,6,FALSE)="○",IF(OR($U75=2,$U75=3),
INDEX(単価表!$AY$72:$CC$79,MATCH($V75&amp;$W75,INDEX(単価表!$AY$64:$AY$71&amp;単価表!$AZ$64:$AZ$71,),),MATCH(内訳計算!AU$6,単価表!$AY$63:$CC$63,0)),
INDEX(単価表!$AY$72:$CC$79,MATCH($V75&amp;$W75,INDEX(単価表!$AY$64:$AY$71&amp;単価表!$AZ$64:$AZ$71,),),MATCH(内訳計算!AU$6,単価表!$AY$63:$CC$63,0))),0)*$Y75/25,0),0)</f>
        <v>0</v>
      </c>
      <c r="AV75" s="1021" cm="1">
        <f t="array" ref="AV75">IFERROR(IF(HLOOKUP($U75,加算と減算!$E$4:$P$10,7,FALSE)="○",IF(OR($U75=2,$U75=3),
INDEX(単価表!$AY$72:$CC$79,MATCH($V75&amp;$W75,INDEX(単価表!$AY$64:$AY$71&amp;単価表!$AZ$64:$AZ$71,),),MATCH(内訳計算!AV$6,単価表!$AY$63:$CC$63,0)),
INDEX(単価表!$AY$72:$CC$79,MATCH($V75&amp;$W75,INDEX(単価表!$AY$64:$AY$71&amp;単価表!$AZ$64:$AZ$71,),),MATCH(内訳計算!AV$6,単価表!$AY$63:$CC$63,0))),0),0)</f>
        <v>0</v>
      </c>
      <c r="AW75" s="1022" cm="1">
        <f t="array" ref="AW75">IFERROR(ROUNDDOWN(IF(HLOOKUP($U75,加算と減算!$E$4:$P$10,7,FALSE)="○",IF(OR($U75=2,$U75=3),
INDEX(単価表!$AY$72:$CC$79,MATCH($V75&amp;$W75,INDEX(単価表!$AY$64:$AY$71&amp;単価表!$AZ$64:$AZ$71,),),MATCH(内訳計算!AW$6,単価表!$AY$63:$CC$63,0)),
INDEX(単価表!$AY$72:$CC$79,MATCH($V75&amp;$W75,INDEX(単価表!$AY$64:$AY$71&amp;単価表!$AZ$64:$AZ$71,),),MATCH(内訳計算!AW$6,単価表!$AY$63:$CC$63,0))),0)*$Y75/25,0),0)</f>
        <v>0</v>
      </c>
      <c r="AX75" s="1022" cm="1">
        <f t="array" ref="AX75">IFERROR(ROUNDDOWN(IF(HLOOKUP($U75,加算と減算!$E$4:$P$10,7,FALSE)="○",IF(OR($U75=2,$U75=3),
INDEX(単価表!$AY$72:$CC$79,MATCH($V75&amp;$W75,INDEX(単価表!$AY$64:$AY$71&amp;単価表!$AZ$64:$AZ$71,),),MATCH(内訳計算!AX$6,単価表!$AY$63:$CC$63,0)),
INDEX(単価表!$AY$72:$CC$79,MATCH($V75&amp;$W75,INDEX(単価表!$AY$64:$AY$71&amp;単価表!$AZ$64:$AZ$71,),),MATCH(内訳計算!AX$6,単価表!$AY$63:$CC$63,0))),0)*$Y75/25,0),0)</f>
        <v>0</v>
      </c>
      <c r="AY75" s="1023" cm="1">
        <f t="array" ref="AY75">IFERROR(ROUNDDOWN(IF(HLOOKUP($U75,加算と減算!$E$4:$P$10,7,FALSE)="○",IF(OR($U75=2,$U75=3),
INDEX(単価表!$AY$72:$CC$79,MATCH($V75&amp;$W75,INDEX(単価表!$AY$64:$AY$71&amp;単価表!$AZ$64:$AZ$71,),),MATCH(内訳計算!AY$6,単価表!$AY$63:$CC$63,0)),
INDEX(単価表!$AY$72:$CC$79,MATCH($V75&amp;$W75,INDEX(単価表!$AY$64:$AY$71&amp;単価表!$AZ$64:$AZ$71,),),MATCH(内訳計算!AY$6,単価表!$AY$63:$CC$63,0))),0)*$Y75/25,0),0)</f>
        <v>0</v>
      </c>
      <c r="AZ75" s="1021" cm="1">
        <f t="array" ref="AZ75">IFERROR(IF(X75="○",INDEX(単価表!$AY$72:$CC$79,MATCH($V75&amp;$W75,INDEX(単価表!$AY$64:$AY$71&amp;単価表!$AZ$64:$AZ$71,),),MATCH(内訳計算!AZ$6,単価表!$AY$63:$CC$63,0)),0),0)</f>
        <v>0</v>
      </c>
      <c r="BA75" s="1023" cm="1">
        <f t="array" ref="BA75">IFERROR(ROUNDDOWN(INDEX(単価表!$AY$72:$CC$79,MATCH($V75&amp;$W75,INDEX(単価表!$AY$64:$AY$71&amp;単価表!$AZ$64:$AZ$71,),),MATCH(内訳計算!BA$6,単価表!$AY$63:$CC$63,0))*$Y75/25,0),0)</f>
        <v>0</v>
      </c>
      <c r="BB75" s="1021" cm="1">
        <f t="array" ref="BB75">IFERROR(INDEX(単価表!$AY$72:$CC$79,MATCH($V75&amp;$W75,INDEX(単価表!$AY$64:$AY$71&amp;単価表!$AZ$64:$AZ$71,),),MATCH(内訳計算!BB$6,単価表!$AY$63:$CC$63,0)),0)</f>
        <v>0</v>
      </c>
      <c r="BC75" s="1023" cm="1">
        <f t="array" ref="BC75">IFERROR(ROUNDDOWN(INDEX(単価表!$AY$72:$CC$79,MATCH($V75&amp;$W75,INDEX(単価表!$AY$64:$AY$71&amp;単価表!$AZ$64:$AZ$71,),),MATCH(内訳計算!BC$6,単価表!$AY$63:$CC$63,0))*$Y75/25,0),0)</f>
        <v>0</v>
      </c>
      <c r="BD75" s="985">
        <f>IFERROR(IF(HLOOKUP($U75,加算と減算!$E$31:$P$32,2,FALSE)="○",IF(OR($U75=2,$U75=3),-(単価表!$AZ$23+単価表!$BA$23*基本情報!$G$7),-(単価表!$AZ$23+単価表!$BA$23*基本情報!$G$7)),0),0)</f>
        <v>0</v>
      </c>
      <c r="BE75" s="1007" t="e">
        <f t="shared" si="116"/>
        <v>#VALUE!</v>
      </c>
      <c r="BF75" s="1007" t="e">
        <f t="shared" si="117"/>
        <v>#VALUE!</v>
      </c>
      <c r="BG75" s="1030" t="e">
        <f t="shared" si="118"/>
        <v>#N/A</v>
      </c>
      <c r="BH75" s="1031">
        <f>IFERROR(IF(基本情報!$E$12&lt;&gt;"",-ROUNDDOWN((AA75+AE75+AH75+AL75)*基本情報!$H$13/100,-1),0),0)</f>
        <v>0</v>
      </c>
      <c r="BI75" s="1007" t="e">
        <f t="shared" si="119"/>
        <v>#VALUE!</v>
      </c>
      <c r="BJ75" s="1007" t="e">
        <f t="shared" si="120"/>
        <v>#VALUE!</v>
      </c>
      <c r="BK75" s="1008" t="e">
        <f t="shared" si="121"/>
        <v>#N/A</v>
      </c>
      <c r="BL75" s="1031">
        <f t="shared" si="122"/>
        <v>0</v>
      </c>
      <c r="BM75" s="1007" t="e">
        <f t="shared" si="123"/>
        <v>#VALUE!</v>
      </c>
      <c r="BN75" s="1007" t="e">
        <f t="shared" si="124"/>
        <v>#VALUE!</v>
      </c>
      <c r="BO75" s="1008" t="e">
        <f t="shared" si="125"/>
        <v>#N/A</v>
      </c>
      <c r="BP75" s="1006">
        <f>IFERROR(-ROUNDUP(SUM(AA75,AE75,AH75,AL75,AR75,AT75,AV75,BD75,BH75,BL75)*基本情報!$H$15/100,-1),0)</f>
        <v>0</v>
      </c>
      <c r="BQ75" s="1007" t="e">
        <f t="shared" si="126"/>
        <v>#VALUE!</v>
      </c>
      <c r="BR75" s="1007" t="e">
        <f t="shared" si="127"/>
        <v>#VALUE!</v>
      </c>
      <c r="BS75" s="1008" t="e">
        <f t="shared" si="128"/>
        <v>#N/A</v>
      </c>
      <c r="BT75" s="721"/>
      <c r="BU75" s="1043" t="e">
        <f t="shared" si="129"/>
        <v>#VALUE!</v>
      </c>
      <c r="BV75" s="1044" t="e">
        <f t="shared" si="130"/>
        <v>#VALUE!</v>
      </c>
      <c r="BW75" s="1044" t="e">
        <f t="shared" si="131"/>
        <v>#N/A</v>
      </c>
      <c r="BX75" s="1051">
        <f t="shared" si="132"/>
        <v>0</v>
      </c>
      <c r="BY75" s="1045">
        <f t="shared" si="133"/>
        <v>0</v>
      </c>
      <c r="DC75" s="1669"/>
      <c r="DD75" s="1669"/>
      <c r="DE75" s="1669"/>
      <c r="DF75" s="1669"/>
      <c r="DG75" s="1669"/>
      <c r="DH75" s="1669"/>
      <c r="DI75" s="1669"/>
      <c r="DJ75" s="1669"/>
    </row>
    <row r="76" spans="1:114" ht="19.5" customHeight="1" thickBot="1">
      <c r="A76" s="1640"/>
      <c r="B76" s="799"/>
      <c r="C76" s="799"/>
      <c r="D76" s="799"/>
      <c r="E76" s="799"/>
      <c r="F76" s="799"/>
      <c r="G76" s="799"/>
      <c r="H76" s="799"/>
      <c r="I76" s="799"/>
      <c r="J76" s="799"/>
      <c r="K76" s="799"/>
      <c r="L76" s="799"/>
      <c r="M76" s="799"/>
      <c r="N76" s="799"/>
      <c r="O76" s="799"/>
      <c r="P76" s="799"/>
      <c r="Q76" s="797"/>
      <c r="T76" s="682">
        <v>15</v>
      </c>
      <c r="U76" s="918">
        <f>月途中入退所情報!D45</f>
        <v>0</v>
      </c>
      <c r="V76" s="918">
        <f>月途中入退所情報!H45</f>
        <v>0</v>
      </c>
      <c r="W76" s="918">
        <f>月途中入退所情報!G45</f>
        <v>0</v>
      </c>
      <c r="X76" s="945">
        <f>月途中入退所情報!I45</f>
        <v>0</v>
      </c>
      <c r="Y76" s="918">
        <f>月途中入退所情報!J45</f>
        <v>0</v>
      </c>
      <c r="Z76" s="840">
        <f t="shared" si="114"/>
        <v>0</v>
      </c>
      <c r="AA76" s="1021" cm="1">
        <f t="array" ref="AA76">IFERROR(IF(OR($U76=2,$U76=3),
INDEX(単価表!$AY$72:$CC$79,MATCH($V76&amp;$W76,INDEX(単価表!$AY$64:$AY$71&amp;単価表!$AZ$64:$AZ$71,),),MATCH(内訳計算!AA$6,単価表!$AY$63:$CC$63,0)),
INDEX(単価表!$AY$72:$CC$79,MATCH($V76&amp;$W76,INDEX(単価表!$AY$64:$AY$71&amp;単価表!$AZ$64:$AZ$71,),),MATCH(内訳計算!AA$6,単価表!$AY$63:$CC$63,0))),0)</f>
        <v>0</v>
      </c>
      <c r="AB76" s="1022" t="e">
        <f t="shared" si="115"/>
        <v>#VALUE!</v>
      </c>
      <c r="AC76" s="1022" cm="1">
        <f t="array" ref="AC76">IFERROR(ROUNDDOWN(IF(OR($U76=2,$U76=3),
INDEX(単価表!$AY$72:$CC$79,MATCH($V76&amp;$W76,INDEX(単価表!$AY$64:$AY$71&amp;単価表!$AZ$64:$AZ$71,),),MATCH(内訳計算!AC$6,単価表!$AY$63:$CC$63,0)),
INDEX(単価表!$AY$72:$CC$79,MATCH($V76&amp;$W76,INDEX(単価表!$AY$64:$AY$71&amp;単価表!$AZ$64:$AZ$71,),),MATCH(内訳計算!AC$6,単価表!$AY$63:$CC$63,0)))*$Y76/25,0),0)</f>
        <v>0</v>
      </c>
      <c r="AD76" s="1023" cm="1">
        <f t="array" ref="AD76">IFERROR(ROUNDDOWN(IF(OR($U76=2,$U76=3),
INDEX(単価表!$AY$72:$CC$79,MATCH($V76&amp;$W76,INDEX(単価表!$AY$64:$AY$71&amp;単価表!$AZ$64:$AZ$71,),),MATCH(内訳計算!AD$6,単価表!$AY$63:$CC$63,0)),
INDEX(単価表!$AY$72:$CC$79,MATCH($V76&amp;$W76,INDEX(単価表!$AY$64:$AY$71&amp;単価表!$AZ$64:$AZ$71,),),MATCH(内訳計算!AD$6,単価表!$AY$63:$CC$63,0)))*$Y76/25,0),0)</f>
        <v>0</v>
      </c>
      <c r="AE76" s="1021" cm="1">
        <f t="array" ref="AE76">IFERROR(IF(OR($U76=2,$U76=3),
INDEX(単価表!$AY$72:$CC$79,MATCH($V76&amp;$W76,INDEX(単価表!$AY$64:$AY$71&amp;単価表!$AZ$64:$AZ$71,),),MATCH(内訳計算!AE$6,単価表!$AY$63:$CC$63,0)),
INDEX(単価表!$AY$72:$CC$79,MATCH($V76&amp;$W76,INDEX(単価表!$AY$64:$AY$71&amp;単価表!$AZ$64:$AZ$71,),),MATCH(内訳計算!AE$6,単価表!$AY$63:$CC$63,0))),0)</f>
        <v>0</v>
      </c>
      <c r="AF76" s="1022" cm="1">
        <f t="array" ref="AF76">IFERROR(ROUNDDOWN(IF(OR($U76=2,$U76=3),
INDEX(単価表!$AY$72:$CC$79,MATCH($V76&amp;$W76,INDEX(単価表!$AY$64:$AY$71&amp;単価表!$AZ$64:$AZ$71,),),MATCH(内訳計算!AF$6,単価表!$AY$63:$CC$63,0)),
INDEX(単価表!$AY$72:$CC$79,MATCH($V76&amp;$W76,INDEX(単価表!$AY$64:$AY$71&amp;単価表!$AZ$64:$AZ$71,),),MATCH(内訳計算!AF$6,単価表!$AY$63:$CC$63,0)))*$Y76/25,0),0)</f>
        <v>0</v>
      </c>
      <c r="AG76" s="1023" cm="1">
        <f t="array" ref="AG76">IFERROR(ROUNDDOWN(IF(OR($U76=2,$U76=3),
INDEX(単価表!$AY$72:$CC$79,MATCH($V76&amp;$W76,INDEX(単価表!$AY$64:$AY$71&amp;単価表!$AZ$64:$AZ$71,),),MATCH(内訳計算!AG$6,単価表!$AY$63:$CC$63,0)),
INDEX(単価表!$AY$72:$CC$79,MATCH($V76&amp;$W76,INDEX(単価表!$AY$64:$AY$71&amp;単価表!$AZ$64:$AZ$71,),),MATCH(内訳計算!AG$6,単価表!$AY$63:$CC$63,0)))*$Y76/25,0),0)</f>
        <v>0</v>
      </c>
      <c r="AH76" s="1021" cm="1">
        <f t="array" ref="AH76">IFERROR(IF(HLOOKUP($U76,加算と減算!$E$4:$P$10,2,FALSE)="○",IF(OR($U76=2,$U76=3),
INDEX(単価表!$AY$72:$CC$79,MATCH($V76&amp;$W76,INDEX(単価表!$AY$64:$AY$71&amp;単価表!$AZ$64:$AZ$71,),),MATCH(内訳計算!AH$6,単価表!$AY$63:$CC$63,0)),
INDEX(単価表!$AY$72:$CC$79,MATCH($V76&amp;$W76,INDEX(単価表!$AY$64:$AY$71&amp;単価表!$AZ$64:$AZ$71,),),MATCH(内訳計算!AH$6,単価表!$AY$63:$CC$63,0))),0),0)</f>
        <v>0</v>
      </c>
      <c r="AI76" s="1024" cm="1">
        <f t="array" ref="AI76">IFERROR(ROUNDDOWN(IF(HLOOKUP($U76,加算と減算!$E$4:$P$10,2,FALSE)="○",IF(OR($U76=2,$U76=3),
INDEX(単価表!$AY$72:$CC$79,MATCH($V76&amp;$W76,INDEX(単価表!$AY$64:$AY$71&amp;単価表!$AZ$64:$AZ$71,),),MATCH(内訳計算!AI$6,単価表!$AY$63:$CC$63,0)),
INDEX(単価表!$AY$72:$CC$79,MATCH($V76&amp;$W76,INDEX(単価表!$AY$64:$AY$71&amp;単価表!$AZ$64:$AZ$71,),),MATCH(内訳計算!AI$6,単価表!$AY$63:$CC$63,0))),0)*$Y76/25,0),0)</f>
        <v>0</v>
      </c>
      <c r="AJ76" s="1022" cm="1">
        <f t="array" ref="AJ76">IFERROR(ROUNDDOWN(IF(HLOOKUP($U76,加算と減算!$E$4:$P$10,2,FALSE)="○",IF(OR($U76=2,$U76=3),
INDEX(単価表!$AY$72:$CC$79,MATCH($V76&amp;$W76,INDEX(単価表!$AY$64:$AY$71&amp;単価表!$AZ$64:$AZ$71,),),MATCH(内訳計算!AJ$6,単価表!$AY$63:$CC$63,0)),
INDEX(単価表!$AY$72:$CC$79,MATCH($V76&amp;$W76,INDEX(単価表!$AY$64:$AY$71&amp;単価表!$AZ$64:$AZ$71,),),MATCH(内訳計算!AJ$6,単価表!$AY$63:$CC$63,0))),0)*$Y76/25,0),0)</f>
        <v>0</v>
      </c>
      <c r="AK76" s="1023" cm="1">
        <f t="array" ref="AK76">IFERROR(ROUNDDOWN(IF(HLOOKUP($U76,加算と減算!$E$4:$P$10,2,FALSE)="○",IF(OR($U76=2,$U76=3),
INDEX(単価表!$AY$72:$CC$79,MATCH($V76&amp;$W76,INDEX(単価表!$AY$64:$AY$71&amp;単価表!$AZ$64:$AZ$71,),),MATCH(内訳計算!AK$6,単価表!$AY$63:$CC$63,0)),
INDEX(単価表!$AY$72:$CC$79,MATCH($V76&amp;$W76,INDEX(単価表!$AY$64:$AY$71&amp;単価表!$AZ$64:$AZ$71,),),MATCH(内訳計算!AK$6,単価表!$AY$63:$CC$63,0))),0)*$Y76/25,0),0)</f>
        <v>0</v>
      </c>
      <c r="AL76" s="1021" cm="1">
        <f t="array" ref="AL76">IFERROR(IF(HLOOKUP($U76,加算と減算!$E$4:$P$10,4,FALSE)="○",IF(OR($U76=2,$U76=3),
INDEX(単価表!$AY$72:$CC$79,MATCH($V76&amp;$W76,INDEX(単価表!$AY$64:$AY$71&amp;単価表!$AZ$64:$AZ$71,),),MATCH(内訳計算!AL$6,単価表!$AY$63:$CC$63,0)),
INDEX(単価表!$AY$72:$CC$79,MATCH($V76&amp;$W76,INDEX(単価表!$AY$64:$AY$71&amp;単価表!$AZ$64:$AZ$71,),),MATCH(内訳計算!AL$6,単価表!$AY$63:$CC$63,0))),0),0)</f>
        <v>0</v>
      </c>
      <c r="AM76" s="1022" cm="1">
        <f t="array" ref="AM76">IFERROR(ROUNDDOWN(IF(HLOOKUP($U76,加算と減算!$E$4:$P$10,4,FALSE)="○",IF(OR($U76=2,$U76=3),
INDEX(単価表!$AY$72:$CC$79,MATCH($V76&amp;$W76,INDEX(単価表!$AY$64:$AY$71&amp;単価表!$AZ$64:$AZ$71,),),MATCH(内訳計算!AM$6,単価表!$AY$63:$CC$63,0)),
INDEX(単価表!$AY$72:$CC$79,MATCH($V76&amp;$W76,INDEX(単価表!$AY$64:$AY$71&amp;単価表!$AZ$64:$AZ$71,),),MATCH(内訳計算!AM$6,単価表!$AY$63:$CC$63,0))),0)*$Y76/25,0),0)</f>
        <v>0</v>
      </c>
      <c r="AN76" s="1022" cm="1">
        <f t="array" ref="AN76">IFERROR(ROUNDDOWN(IF(HLOOKUP($U76,加算と減算!$E$4:$P$10,4,FALSE)="○",IF(OR($U76=2,$U76=3),
INDEX(単価表!$AY$72:$CC$79,MATCH($V76&amp;$W76,INDEX(単価表!$AY$64:$AY$71&amp;単価表!$AZ$64:$AZ$71,),),MATCH(内訳計算!AN$6,単価表!$AY$63:$CC$63,0)),
INDEX(単価表!$AY$72:$CC$79,MATCH($V76&amp;$W76,INDEX(単価表!$AY$64:$AY$71&amp;単価表!$AZ$64:$AZ$71,),),MATCH(内訳計算!AN$6,単価表!$AY$63:$CC$63,0))),0)*$Y76/25,0),0)</f>
        <v>0</v>
      </c>
      <c r="AO76" s="1022" cm="1">
        <f t="array" ref="AO76">IFERROR(ROUNDDOWN(IF(HLOOKUP($U76,加算と減算!$E$4:$P$10,4,FALSE)="○",IF(OR($U76=2,$U76=3),
INDEX(単価表!$AY$72:$CC$79,MATCH($V76&amp;$W76,INDEX(単価表!$AY$64:$AY$71&amp;単価表!$AZ$64:$AZ$71,),),MATCH(内訳計算!AO$6,単価表!$AY$63:$CC$63,0)),
INDEX(単価表!$AY$72:$CC$79,MATCH($V76&amp;$W76,INDEX(単価表!$AY$64:$AY$71&amp;単価表!$AZ$64:$AZ$71,),),MATCH(内訳計算!AO$6,単価表!$AY$63:$CC$63,0))),0)*$Y76/25,0),0)</f>
        <v>0</v>
      </c>
      <c r="AP76" s="1022" cm="1">
        <f t="array" ref="AP76">IFERROR(ROUNDDOWN(IF(HLOOKUP($U76,加算と減算!$E$4:$P$10,4,FALSE)="○",IF(OR($U76=2,$U76=3),
INDEX(単価表!$AY$72:$CC$79,MATCH($V76&amp;$W76,INDEX(単価表!$AY$64:$AY$71&amp;単価表!$AZ$64:$AZ$71,),),MATCH(内訳計算!AP$6,単価表!$AY$63:$CC$63,0)),
INDEX(単価表!$AY$72:$CC$79,MATCH($V76&amp;$W76,INDEX(単価表!$AY$64:$AY$71&amp;単価表!$AZ$64:$AZ$71,),),MATCH(内訳計算!AP$6,単価表!$AY$63:$CC$63,0))),0)*$Y76/25,0),0)</f>
        <v>0</v>
      </c>
      <c r="AQ76" s="1023" cm="1">
        <f t="array" ref="AQ76">IFERROR(ROUNDDOWN(IF(HLOOKUP($U76,加算と減算!$E$4:$P$10,4,FALSE)="○",IF(OR($U76=2,$U76=3),
INDEX(単価表!$AY$72:$CC$79,MATCH($V76&amp;$W76,INDEX(単価表!$AY$64:$AY$71&amp;単価表!$AZ$64:$AZ$71,),),MATCH(内訳計算!AQ$6,単価表!$AY$63:$CC$63,0)),
INDEX(単価表!$AY$72:$CC$79,MATCH($V76&amp;$W76,INDEX(単価表!$AY$64:$AY$71&amp;単価表!$AZ$64:$AZ$71,),),MATCH(内訳計算!AQ$6,単価表!$AY$63:$CC$63,0))),0)*$Y76/25,0),0)</f>
        <v>0</v>
      </c>
      <c r="AR76" s="1021" cm="1">
        <f t="array" ref="AR76">IFERROR(IF(HLOOKUP($U76,加算と減算!$E$4:$P$10,5,FALSE)="○",IF(OR($U76=2,$U76=3),
INDEX(単価表!$AY$72:$CC$79,MATCH($V76&amp;$W76,INDEX(単価表!$AY$64:$AY$71&amp;単価表!$AZ$64:$AZ$71,),),MATCH(内訳計算!AR$6,単価表!$AY$63:$CC$63,0)),
INDEX(単価表!$AY$72:$CC$79,MATCH($V76&amp;$W76,INDEX(単価表!$AY$64:$AY$71&amp;単価表!$AZ$64:$AZ$71,),),MATCH(内訳計算!AR$6,単価表!$AY$63:$CC$63,0))),0),0)</f>
        <v>0</v>
      </c>
      <c r="AS76" s="1023" cm="1">
        <f t="array" ref="AS76">IFERROR(ROUNDDOWN(IF(HLOOKUP($U76,加算と減算!$E$4:$P$10,5,FALSE)="○",IF(OR($U76=2,$U76=3),
INDEX(単価表!$AY$72:$CC$79,MATCH($V76&amp;$W76,INDEX(単価表!$AY$64:$AY$71&amp;単価表!$AZ$64:$AZ$71,),),MATCH(内訳計算!AS$6,単価表!$AY$63:$CC$63,0)),
INDEX(単価表!$AY$72:$CC$79,MATCH($V76&amp;$W76,INDEX(単価表!$AY$64:$AY$71&amp;単価表!$AZ$64:$AZ$71,),),MATCH(内訳計算!AS$6,単価表!$AY$63:$CC$63,0))),0)*$Y76/25,0),0)</f>
        <v>0</v>
      </c>
      <c r="AT76" s="1021" cm="1">
        <f t="array" ref="AT76">IFERROR(IF(HLOOKUP($U76,加算と減算!$E$4:$P$10,6,FALSE)="○",IF(OR($U76=2,$U76=3),
INDEX(単価表!$AY$72:$CC$79,MATCH($V76&amp;$W76,INDEX(単価表!$AY$64:$AY$71&amp;単価表!$AZ$64:$AZ$71,),),MATCH(内訳計算!AT$6,単価表!$AY$63:$CC$63,0)),
INDEX(単価表!$AY$72:$CC$79,MATCH($V76&amp;$W76,INDEX(単価表!$AY$64:$AY$71&amp;単価表!$AZ$64:$AZ$71,),),MATCH(内訳計算!AT$6,単価表!$AY$63:$CC$63,0))),0),0)</f>
        <v>0</v>
      </c>
      <c r="AU76" s="1023" cm="1">
        <f t="array" ref="AU76">IFERROR(ROUNDDOWN(IF(HLOOKUP($U76,加算と減算!$E$4:$P$10,6,FALSE)="○",IF(OR($U76=2,$U76=3),
INDEX(単価表!$AY$72:$CC$79,MATCH($V76&amp;$W76,INDEX(単価表!$AY$64:$AY$71&amp;単価表!$AZ$64:$AZ$71,),),MATCH(内訳計算!AU$6,単価表!$AY$63:$CC$63,0)),
INDEX(単価表!$AY$72:$CC$79,MATCH($V76&amp;$W76,INDEX(単価表!$AY$64:$AY$71&amp;単価表!$AZ$64:$AZ$71,),),MATCH(内訳計算!AU$6,単価表!$AY$63:$CC$63,0))),0)*$Y76/25,0),0)</f>
        <v>0</v>
      </c>
      <c r="AV76" s="1021" cm="1">
        <f t="array" ref="AV76">IFERROR(IF(HLOOKUP($U76,加算と減算!$E$4:$P$10,7,FALSE)="○",IF(OR($U76=2,$U76=3),
INDEX(単価表!$AY$72:$CC$79,MATCH($V76&amp;$W76,INDEX(単価表!$AY$64:$AY$71&amp;単価表!$AZ$64:$AZ$71,),),MATCH(内訳計算!AV$6,単価表!$AY$63:$CC$63,0)),
INDEX(単価表!$AY$72:$CC$79,MATCH($V76&amp;$W76,INDEX(単価表!$AY$64:$AY$71&amp;単価表!$AZ$64:$AZ$71,),),MATCH(内訳計算!AV$6,単価表!$AY$63:$CC$63,0))),0),0)</f>
        <v>0</v>
      </c>
      <c r="AW76" s="1022" cm="1">
        <f t="array" ref="AW76">IFERROR(ROUNDDOWN(IF(HLOOKUP($U76,加算と減算!$E$4:$P$10,7,FALSE)="○",IF(OR($U76=2,$U76=3),
INDEX(単価表!$AY$72:$CC$79,MATCH($V76&amp;$W76,INDEX(単価表!$AY$64:$AY$71&amp;単価表!$AZ$64:$AZ$71,),),MATCH(内訳計算!AW$6,単価表!$AY$63:$CC$63,0)),
INDEX(単価表!$AY$72:$CC$79,MATCH($V76&amp;$W76,INDEX(単価表!$AY$64:$AY$71&amp;単価表!$AZ$64:$AZ$71,),),MATCH(内訳計算!AW$6,単価表!$AY$63:$CC$63,0))),0)*$Y76/25,0),0)</f>
        <v>0</v>
      </c>
      <c r="AX76" s="1022" cm="1">
        <f t="array" ref="AX76">IFERROR(ROUNDDOWN(IF(HLOOKUP($U76,加算と減算!$E$4:$P$10,7,FALSE)="○",IF(OR($U76=2,$U76=3),
INDEX(単価表!$AY$72:$CC$79,MATCH($V76&amp;$W76,INDEX(単価表!$AY$64:$AY$71&amp;単価表!$AZ$64:$AZ$71,),),MATCH(内訳計算!AX$6,単価表!$AY$63:$CC$63,0)),
INDEX(単価表!$AY$72:$CC$79,MATCH($V76&amp;$W76,INDEX(単価表!$AY$64:$AY$71&amp;単価表!$AZ$64:$AZ$71,),),MATCH(内訳計算!AX$6,単価表!$AY$63:$CC$63,0))),0)*$Y76/25,0),0)</f>
        <v>0</v>
      </c>
      <c r="AY76" s="1023" cm="1">
        <f t="array" ref="AY76">IFERROR(ROUNDDOWN(IF(HLOOKUP($U76,加算と減算!$E$4:$P$10,7,FALSE)="○",IF(OR($U76=2,$U76=3),
INDEX(単価表!$AY$72:$CC$79,MATCH($V76&amp;$W76,INDEX(単価表!$AY$64:$AY$71&amp;単価表!$AZ$64:$AZ$71,),),MATCH(内訳計算!AY$6,単価表!$AY$63:$CC$63,0)),
INDEX(単価表!$AY$72:$CC$79,MATCH($V76&amp;$W76,INDEX(単価表!$AY$64:$AY$71&amp;単価表!$AZ$64:$AZ$71,),),MATCH(内訳計算!AY$6,単価表!$AY$63:$CC$63,0))),0)*$Y76/25,0),0)</f>
        <v>0</v>
      </c>
      <c r="AZ76" s="1021" cm="1">
        <f t="array" ref="AZ76">IFERROR(IF(X76="○",INDEX(単価表!$AY$72:$CC$79,MATCH($V76&amp;$W76,INDEX(単価表!$AY$64:$AY$71&amp;単価表!$AZ$64:$AZ$71,),),MATCH(内訳計算!AZ$6,単価表!$AY$63:$CC$63,0)),0),0)</f>
        <v>0</v>
      </c>
      <c r="BA76" s="1023" cm="1">
        <f t="array" ref="BA76">IFERROR(ROUNDDOWN(INDEX(単価表!$AY$72:$CC$79,MATCH($V76&amp;$W76,INDEX(単価表!$AY$64:$AY$71&amp;単価表!$AZ$64:$AZ$71,),),MATCH(内訳計算!BA$6,単価表!$AY$63:$CC$63,0))*$Y76/25,0),0)</f>
        <v>0</v>
      </c>
      <c r="BB76" s="1021" cm="1">
        <f t="array" ref="BB76">IFERROR(INDEX(単価表!$AY$72:$CC$79,MATCH($V76&amp;$W76,INDEX(単価表!$AY$64:$AY$71&amp;単価表!$AZ$64:$AZ$71,),),MATCH(内訳計算!BB$6,単価表!$AY$63:$CC$63,0)),0)</f>
        <v>0</v>
      </c>
      <c r="BC76" s="1023" cm="1">
        <f t="array" ref="BC76">IFERROR(ROUNDDOWN(INDEX(単価表!$AY$72:$CC$79,MATCH($V76&amp;$W76,INDEX(単価表!$AY$64:$AY$71&amp;単価表!$AZ$64:$AZ$71,),),MATCH(内訳計算!BC$6,単価表!$AY$63:$CC$63,0))*$Y76/25,0),0)</f>
        <v>0</v>
      </c>
      <c r="BD76" s="985">
        <f>IFERROR(IF(HLOOKUP($U76,加算と減算!$E$31:$P$32,2,FALSE)="○",IF(OR($U76=2,$U76=3),-(単価表!$AZ$23+単価表!$BA$23*基本情報!$G$7),-(単価表!$AZ$23+単価表!$BA$23*基本情報!$G$7)),0),0)</f>
        <v>0</v>
      </c>
      <c r="BE76" s="1007" t="e">
        <f t="shared" si="116"/>
        <v>#VALUE!</v>
      </c>
      <c r="BF76" s="1007" t="e">
        <f t="shared" si="117"/>
        <v>#VALUE!</v>
      </c>
      <c r="BG76" s="1030" t="e">
        <f t="shared" si="118"/>
        <v>#N/A</v>
      </c>
      <c r="BH76" s="1031">
        <f>IFERROR(IF(基本情報!$E$12&lt;&gt;"",-ROUNDDOWN((AA76+AE76+AH76+AL76)*基本情報!$H$13/100,-1),0),0)</f>
        <v>0</v>
      </c>
      <c r="BI76" s="1007" t="e">
        <f t="shared" si="119"/>
        <v>#VALUE!</v>
      </c>
      <c r="BJ76" s="1007" t="e">
        <f t="shared" si="120"/>
        <v>#VALUE!</v>
      </c>
      <c r="BK76" s="1008" t="e">
        <f t="shared" si="121"/>
        <v>#N/A</v>
      </c>
      <c r="BL76" s="1031">
        <f t="shared" si="122"/>
        <v>0</v>
      </c>
      <c r="BM76" s="1007" t="e">
        <f t="shared" si="123"/>
        <v>#VALUE!</v>
      </c>
      <c r="BN76" s="1007" t="e">
        <f t="shared" si="124"/>
        <v>#VALUE!</v>
      </c>
      <c r="BO76" s="1008" t="e">
        <f t="shared" si="125"/>
        <v>#N/A</v>
      </c>
      <c r="BP76" s="1006">
        <f>IFERROR(-ROUNDUP(SUM(AA76,AE76,AH76,AL76,AR76,AT76,AV76,BD76,BH76,BL76)*基本情報!$H$15/100,-1),0)</f>
        <v>0</v>
      </c>
      <c r="BQ76" s="1007" t="e">
        <f t="shared" si="126"/>
        <v>#VALUE!</v>
      </c>
      <c r="BR76" s="1007" t="e">
        <f t="shared" si="127"/>
        <v>#VALUE!</v>
      </c>
      <c r="BS76" s="1008" t="e">
        <f t="shared" si="128"/>
        <v>#N/A</v>
      </c>
      <c r="BT76" s="721"/>
      <c r="BU76" s="1043" t="e">
        <f t="shared" si="129"/>
        <v>#VALUE!</v>
      </c>
      <c r="BV76" s="1044" t="e">
        <f t="shared" si="130"/>
        <v>#VALUE!</v>
      </c>
      <c r="BW76" s="1044" t="e">
        <f t="shared" si="131"/>
        <v>#N/A</v>
      </c>
      <c r="BX76" s="1051">
        <f t="shared" si="132"/>
        <v>0</v>
      </c>
      <c r="BY76" s="1045">
        <f t="shared" si="133"/>
        <v>0</v>
      </c>
      <c r="CD76" s="1696" t="s">
        <v>717</v>
      </c>
      <c r="CE76" s="1697"/>
      <c r="CF76" s="1700" t="e">
        <f>CF70+CF73</f>
        <v>#VALUE!</v>
      </c>
      <c r="CG76" s="1663" t="e">
        <f t="shared" ref="CG76:CQ76" si="149">CG70+CG73</f>
        <v>#VALUE!</v>
      </c>
      <c r="CH76" s="1663" t="e">
        <f t="shared" si="149"/>
        <v>#VALUE!</v>
      </c>
      <c r="CI76" s="1663" t="e">
        <f t="shared" si="149"/>
        <v>#VALUE!</v>
      </c>
      <c r="CJ76" s="1663" t="e">
        <f t="shared" si="149"/>
        <v>#VALUE!</v>
      </c>
      <c r="CK76" s="1663" t="e">
        <f t="shared" si="149"/>
        <v>#VALUE!</v>
      </c>
      <c r="CL76" s="1663" t="e">
        <f t="shared" si="149"/>
        <v>#VALUE!</v>
      </c>
      <c r="CM76" s="1663" t="e">
        <f t="shared" si="149"/>
        <v>#VALUE!</v>
      </c>
      <c r="CN76" s="1663" t="e">
        <f t="shared" si="149"/>
        <v>#VALUE!</v>
      </c>
      <c r="CO76" s="1663" t="e">
        <f t="shared" si="149"/>
        <v>#VALUE!</v>
      </c>
      <c r="CP76" s="1663" t="e">
        <f t="shared" si="149"/>
        <v>#VALUE!</v>
      </c>
      <c r="CQ76" s="1665" t="e">
        <f t="shared" si="149"/>
        <v>#VALUE!</v>
      </c>
      <c r="CR76" s="1667" t="e">
        <f>SUM(CF76:CQ77)</f>
        <v>#VALUE!</v>
      </c>
      <c r="CT76" s="1688" t="s">
        <v>714</v>
      </c>
      <c r="CU76" s="1689"/>
      <c r="CV76" s="1056" t="s">
        <v>559</v>
      </c>
      <c r="CW76" s="1057" t="s">
        <v>376</v>
      </c>
      <c r="CX76" s="1058" t="s">
        <v>353</v>
      </c>
      <c r="CY76" s="1059" t="s">
        <v>681</v>
      </c>
      <c r="CZ76" s="1060" t="s">
        <v>682</v>
      </c>
      <c r="DA76" s="1067" t="s">
        <v>715</v>
      </c>
      <c r="DB76" s="1065"/>
      <c r="DC76" s="1669"/>
      <c r="DD76" s="1669"/>
      <c r="DE76" s="1669"/>
      <c r="DF76" s="1669"/>
      <c r="DG76" s="1669"/>
      <c r="DH76" s="1669"/>
      <c r="DI76" s="1669"/>
      <c r="DJ76" s="1669"/>
    </row>
    <row r="77" spans="1:114" ht="18.75" customHeight="1" thickTop="1" thickBot="1">
      <c r="A77" s="1640"/>
      <c r="B77" s="1657" t="s">
        <v>456</v>
      </c>
      <c r="C77" s="1657"/>
      <c r="D77" s="1658"/>
      <c r="E77" s="800">
        <f>IF(E71="○",単価表!$AU$128,0)</f>
        <v>0</v>
      </c>
      <c r="F77" s="800">
        <f>IF(F71="○",単価表!$AU$128,0)</f>
        <v>0</v>
      </c>
      <c r="G77" s="800">
        <f>IF(G71="○",単価表!$AU$128,0)</f>
        <v>0</v>
      </c>
      <c r="H77" s="800">
        <f>IF(H71="○",単価表!$AU$128,0)</f>
        <v>0</v>
      </c>
      <c r="I77" s="800">
        <f>IF(I71="○",単価表!$AU$128,0)</f>
        <v>0</v>
      </c>
      <c r="J77" s="800">
        <f>IF(J71="○",単価表!$AU$128,0)</f>
        <v>0</v>
      </c>
      <c r="K77" s="800">
        <f>IF(K71="○",単価表!$AU$128,0)</f>
        <v>0</v>
      </c>
      <c r="L77" s="800">
        <f>IF(L71="○",単価表!$AU$128,0)</f>
        <v>0</v>
      </c>
      <c r="M77" s="800">
        <f>IF(M71="○",単価表!$AU$128,0)</f>
        <v>0</v>
      </c>
      <c r="N77" s="800">
        <f>IF(N71="○",単価表!$AU$128,0)</f>
        <v>0</v>
      </c>
      <c r="O77" s="800">
        <f>IF(N71="○",単価表!$AU$128,0)</f>
        <v>0</v>
      </c>
      <c r="P77" s="800">
        <f>IF(O71="○",単価表!$AU$128,0)</f>
        <v>0</v>
      </c>
      <c r="Q77" s="801"/>
      <c r="T77" s="682">
        <v>16</v>
      </c>
      <c r="U77" s="918">
        <f>月途中入退所情報!D46</f>
        <v>0</v>
      </c>
      <c r="V77" s="918">
        <f>月途中入退所情報!H46</f>
        <v>0</v>
      </c>
      <c r="W77" s="918">
        <f>月途中入退所情報!G46</f>
        <v>0</v>
      </c>
      <c r="X77" s="945">
        <f>月途中入退所情報!I46</f>
        <v>0</v>
      </c>
      <c r="Y77" s="918">
        <f>月途中入退所情報!J46</f>
        <v>0</v>
      </c>
      <c r="Z77" s="840">
        <f t="shared" si="114"/>
        <v>0</v>
      </c>
      <c r="AA77" s="1021" cm="1">
        <f t="array" ref="AA77">IFERROR(IF(OR($U77=2,$U77=3),
INDEX(単価表!$AY$72:$CC$79,MATCH($V77&amp;$W77,INDEX(単価表!$AY$64:$AY$71&amp;単価表!$AZ$64:$AZ$71,),),MATCH(内訳計算!AA$6,単価表!$AY$63:$CC$63,0)),
INDEX(単価表!$AY$72:$CC$79,MATCH($V77&amp;$W77,INDEX(単価表!$AY$64:$AY$71&amp;単価表!$AZ$64:$AZ$71,),),MATCH(内訳計算!AA$6,単価表!$AY$63:$CC$63,0))),0)</f>
        <v>0</v>
      </c>
      <c r="AB77" s="1022" t="e">
        <f t="shared" si="115"/>
        <v>#VALUE!</v>
      </c>
      <c r="AC77" s="1022" cm="1">
        <f t="array" ref="AC77">IFERROR(ROUNDDOWN(IF(OR($U77=2,$U77=3),
INDEX(単価表!$AY$72:$CC$79,MATCH($V77&amp;$W77,INDEX(単価表!$AY$64:$AY$71&amp;単価表!$AZ$64:$AZ$71,),),MATCH(内訳計算!AC$6,単価表!$AY$63:$CC$63,0)),
INDEX(単価表!$AY$72:$CC$79,MATCH($V77&amp;$W77,INDEX(単価表!$AY$64:$AY$71&amp;単価表!$AZ$64:$AZ$71,),),MATCH(内訳計算!AC$6,単価表!$AY$63:$CC$63,0)))*$Y77/25,0),0)</f>
        <v>0</v>
      </c>
      <c r="AD77" s="1023" cm="1">
        <f t="array" ref="AD77">IFERROR(ROUNDDOWN(IF(OR($U77=2,$U77=3),
INDEX(単価表!$AY$72:$CC$79,MATCH($V77&amp;$W77,INDEX(単価表!$AY$64:$AY$71&amp;単価表!$AZ$64:$AZ$71,),),MATCH(内訳計算!AD$6,単価表!$AY$63:$CC$63,0)),
INDEX(単価表!$AY$72:$CC$79,MATCH($V77&amp;$W77,INDEX(単価表!$AY$64:$AY$71&amp;単価表!$AZ$64:$AZ$71,),),MATCH(内訳計算!AD$6,単価表!$AY$63:$CC$63,0)))*$Y77/25,0),0)</f>
        <v>0</v>
      </c>
      <c r="AE77" s="1021" cm="1">
        <f t="array" ref="AE77">IFERROR(IF(OR($U77=2,$U77=3),
INDEX(単価表!$AY$72:$CC$79,MATCH($V77&amp;$W77,INDEX(単価表!$AY$64:$AY$71&amp;単価表!$AZ$64:$AZ$71,),),MATCH(内訳計算!AE$6,単価表!$AY$63:$CC$63,0)),
INDEX(単価表!$AY$72:$CC$79,MATCH($V77&amp;$W77,INDEX(単価表!$AY$64:$AY$71&amp;単価表!$AZ$64:$AZ$71,),),MATCH(内訳計算!AE$6,単価表!$AY$63:$CC$63,0))),0)</f>
        <v>0</v>
      </c>
      <c r="AF77" s="1022" cm="1">
        <f t="array" ref="AF77">IFERROR(ROUNDDOWN(IF(OR($U77=2,$U77=3),
INDEX(単価表!$AY$72:$CC$79,MATCH($V77&amp;$W77,INDEX(単価表!$AY$64:$AY$71&amp;単価表!$AZ$64:$AZ$71,),),MATCH(内訳計算!AF$6,単価表!$AY$63:$CC$63,0)),
INDEX(単価表!$AY$72:$CC$79,MATCH($V77&amp;$W77,INDEX(単価表!$AY$64:$AY$71&amp;単価表!$AZ$64:$AZ$71,),),MATCH(内訳計算!AF$6,単価表!$AY$63:$CC$63,0)))*$Y77/25,0),0)</f>
        <v>0</v>
      </c>
      <c r="AG77" s="1023" cm="1">
        <f t="array" ref="AG77">IFERROR(ROUNDDOWN(IF(OR($U77=2,$U77=3),
INDEX(単価表!$AY$72:$CC$79,MATCH($V77&amp;$W77,INDEX(単価表!$AY$64:$AY$71&amp;単価表!$AZ$64:$AZ$71,),),MATCH(内訳計算!AG$6,単価表!$AY$63:$CC$63,0)),
INDEX(単価表!$AY$72:$CC$79,MATCH($V77&amp;$W77,INDEX(単価表!$AY$64:$AY$71&amp;単価表!$AZ$64:$AZ$71,),),MATCH(内訳計算!AG$6,単価表!$AY$63:$CC$63,0)))*$Y77/25,0),0)</f>
        <v>0</v>
      </c>
      <c r="AH77" s="1021" cm="1">
        <f t="array" ref="AH77">IFERROR(IF(HLOOKUP($U77,加算と減算!$E$4:$P$10,2,FALSE)="○",IF(OR($U77=2,$U77=3),
INDEX(単価表!$AY$72:$CC$79,MATCH($V77&amp;$W77,INDEX(単価表!$AY$64:$AY$71&amp;単価表!$AZ$64:$AZ$71,),),MATCH(内訳計算!AH$6,単価表!$AY$63:$CC$63,0)),
INDEX(単価表!$AY$72:$CC$79,MATCH($V77&amp;$W77,INDEX(単価表!$AY$64:$AY$71&amp;単価表!$AZ$64:$AZ$71,),),MATCH(内訳計算!AH$6,単価表!$AY$63:$CC$63,0))),0),0)</f>
        <v>0</v>
      </c>
      <c r="AI77" s="1024" cm="1">
        <f t="array" ref="AI77">IFERROR(ROUNDDOWN(IF(HLOOKUP($U77,加算と減算!$E$4:$P$10,2,FALSE)="○",IF(OR($U77=2,$U77=3),
INDEX(単価表!$AY$72:$CC$79,MATCH($V77&amp;$W77,INDEX(単価表!$AY$64:$AY$71&amp;単価表!$AZ$64:$AZ$71,),),MATCH(内訳計算!AI$6,単価表!$AY$63:$CC$63,0)),
INDEX(単価表!$AY$72:$CC$79,MATCH($V77&amp;$W77,INDEX(単価表!$AY$64:$AY$71&amp;単価表!$AZ$64:$AZ$71,),),MATCH(内訳計算!AI$6,単価表!$AY$63:$CC$63,0))),0)*$Y77/25,0),0)</f>
        <v>0</v>
      </c>
      <c r="AJ77" s="1022" cm="1">
        <f t="array" ref="AJ77">IFERROR(ROUNDDOWN(IF(HLOOKUP($U77,加算と減算!$E$4:$P$10,2,FALSE)="○",IF(OR($U77=2,$U77=3),
INDEX(単価表!$AY$72:$CC$79,MATCH($V77&amp;$W77,INDEX(単価表!$AY$64:$AY$71&amp;単価表!$AZ$64:$AZ$71,),),MATCH(内訳計算!AJ$6,単価表!$AY$63:$CC$63,0)),
INDEX(単価表!$AY$72:$CC$79,MATCH($V77&amp;$W77,INDEX(単価表!$AY$64:$AY$71&amp;単価表!$AZ$64:$AZ$71,),),MATCH(内訳計算!AJ$6,単価表!$AY$63:$CC$63,0))),0)*$Y77/25,0),0)</f>
        <v>0</v>
      </c>
      <c r="AK77" s="1023" cm="1">
        <f t="array" ref="AK77">IFERROR(ROUNDDOWN(IF(HLOOKUP($U77,加算と減算!$E$4:$P$10,2,FALSE)="○",IF(OR($U77=2,$U77=3),
INDEX(単価表!$AY$72:$CC$79,MATCH($V77&amp;$W77,INDEX(単価表!$AY$64:$AY$71&amp;単価表!$AZ$64:$AZ$71,),),MATCH(内訳計算!AK$6,単価表!$AY$63:$CC$63,0)),
INDEX(単価表!$AY$72:$CC$79,MATCH($V77&amp;$W77,INDEX(単価表!$AY$64:$AY$71&amp;単価表!$AZ$64:$AZ$71,),),MATCH(内訳計算!AK$6,単価表!$AY$63:$CC$63,0))),0)*$Y77/25,0),0)</f>
        <v>0</v>
      </c>
      <c r="AL77" s="1021" cm="1">
        <f t="array" ref="AL77">IFERROR(IF(HLOOKUP($U77,加算と減算!$E$4:$P$10,4,FALSE)="○",IF(OR($U77=2,$U77=3),
INDEX(単価表!$AY$72:$CC$79,MATCH($V77&amp;$W77,INDEX(単価表!$AY$64:$AY$71&amp;単価表!$AZ$64:$AZ$71,),),MATCH(内訳計算!AL$6,単価表!$AY$63:$CC$63,0)),
INDEX(単価表!$AY$72:$CC$79,MATCH($V77&amp;$W77,INDEX(単価表!$AY$64:$AY$71&amp;単価表!$AZ$64:$AZ$71,),),MATCH(内訳計算!AL$6,単価表!$AY$63:$CC$63,0))),0),0)</f>
        <v>0</v>
      </c>
      <c r="AM77" s="1022" cm="1">
        <f t="array" ref="AM77">IFERROR(ROUNDDOWN(IF(HLOOKUP($U77,加算と減算!$E$4:$P$10,4,FALSE)="○",IF(OR($U77=2,$U77=3),
INDEX(単価表!$AY$72:$CC$79,MATCH($V77&amp;$W77,INDEX(単価表!$AY$64:$AY$71&amp;単価表!$AZ$64:$AZ$71,),),MATCH(内訳計算!AM$6,単価表!$AY$63:$CC$63,0)),
INDEX(単価表!$AY$72:$CC$79,MATCH($V77&amp;$W77,INDEX(単価表!$AY$64:$AY$71&amp;単価表!$AZ$64:$AZ$71,),),MATCH(内訳計算!AM$6,単価表!$AY$63:$CC$63,0))),0)*$Y77/25,0),0)</f>
        <v>0</v>
      </c>
      <c r="AN77" s="1022" cm="1">
        <f t="array" ref="AN77">IFERROR(ROUNDDOWN(IF(HLOOKUP($U77,加算と減算!$E$4:$P$10,4,FALSE)="○",IF(OR($U77=2,$U77=3),
INDEX(単価表!$AY$72:$CC$79,MATCH($V77&amp;$W77,INDEX(単価表!$AY$64:$AY$71&amp;単価表!$AZ$64:$AZ$71,),),MATCH(内訳計算!AN$6,単価表!$AY$63:$CC$63,0)),
INDEX(単価表!$AY$72:$CC$79,MATCH($V77&amp;$W77,INDEX(単価表!$AY$64:$AY$71&amp;単価表!$AZ$64:$AZ$71,),),MATCH(内訳計算!AN$6,単価表!$AY$63:$CC$63,0))),0)*$Y77/25,0),0)</f>
        <v>0</v>
      </c>
      <c r="AO77" s="1022" cm="1">
        <f t="array" ref="AO77">IFERROR(ROUNDDOWN(IF(HLOOKUP($U77,加算と減算!$E$4:$P$10,4,FALSE)="○",IF(OR($U77=2,$U77=3),
INDEX(単価表!$AY$72:$CC$79,MATCH($V77&amp;$W77,INDEX(単価表!$AY$64:$AY$71&amp;単価表!$AZ$64:$AZ$71,),),MATCH(内訳計算!AO$6,単価表!$AY$63:$CC$63,0)),
INDEX(単価表!$AY$72:$CC$79,MATCH($V77&amp;$W77,INDEX(単価表!$AY$64:$AY$71&amp;単価表!$AZ$64:$AZ$71,),),MATCH(内訳計算!AO$6,単価表!$AY$63:$CC$63,0))),0)*$Y77/25,0),0)</f>
        <v>0</v>
      </c>
      <c r="AP77" s="1022" cm="1">
        <f t="array" ref="AP77">IFERROR(ROUNDDOWN(IF(HLOOKUP($U77,加算と減算!$E$4:$P$10,4,FALSE)="○",IF(OR($U77=2,$U77=3),
INDEX(単価表!$AY$72:$CC$79,MATCH($V77&amp;$W77,INDEX(単価表!$AY$64:$AY$71&amp;単価表!$AZ$64:$AZ$71,),),MATCH(内訳計算!AP$6,単価表!$AY$63:$CC$63,0)),
INDEX(単価表!$AY$72:$CC$79,MATCH($V77&amp;$W77,INDEX(単価表!$AY$64:$AY$71&amp;単価表!$AZ$64:$AZ$71,),),MATCH(内訳計算!AP$6,単価表!$AY$63:$CC$63,0))),0)*$Y77/25,0),0)</f>
        <v>0</v>
      </c>
      <c r="AQ77" s="1023" cm="1">
        <f t="array" ref="AQ77">IFERROR(ROUNDDOWN(IF(HLOOKUP($U77,加算と減算!$E$4:$P$10,4,FALSE)="○",IF(OR($U77=2,$U77=3),
INDEX(単価表!$AY$72:$CC$79,MATCH($V77&amp;$W77,INDEX(単価表!$AY$64:$AY$71&amp;単価表!$AZ$64:$AZ$71,),),MATCH(内訳計算!AQ$6,単価表!$AY$63:$CC$63,0)),
INDEX(単価表!$AY$72:$CC$79,MATCH($V77&amp;$W77,INDEX(単価表!$AY$64:$AY$71&amp;単価表!$AZ$64:$AZ$71,),),MATCH(内訳計算!AQ$6,単価表!$AY$63:$CC$63,0))),0)*$Y77/25,0),0)</f>
        <v>0</v>
      </c>
      <c r="AR77" s="1021" cm="1">
        <f t="array" ref="AR77">IFERROR(IF(HLOOKUP($U77,加算と減算!$E$4:$P$10,5,FALSE)="○",IF(OR($U77=2,$U77=3),
INDEX(単価表!$AY$72:$CC$79,MATCH($V77&amp;$W77,INDEX(単価表!$AY$64:$AY$71&amp;単価表!$AZ$64:$AZ$71,),),MATCH(内訳計算!AR$6,単価表!$AY$63:$CC$63,0)),
INDEX(単価表!$AY$72:$CC$79,MATCH($V77&amp;$W77,INDEX(単価表!$AY$64:$AY$71&amp;単価表!$AZ$64:$AZ$71,),),MATCH(内訳計算!AR$6,単価表!$AY$63:$CC$63,0))),0),0)</f>
        <v>0</v>
      </c>
      <c r="AS77" s="1023" cm="1">
        <f t="array" ref="AS77">IFERROR(ROUNDDOWN(IF(HLOOKUP($U77,加算と減算!$E$4:$P$10,5,FALSE)="○",IF(OR($U77=2,$U77=3),
INDEX(単価表!$AY$72:$CC$79,MATCH($V77&amp;$W77,INDEX(単価表!$AY$64:$AY$71&amp;単価表!$AZ$64:$AZ$71,),),MATCH(内訳計算!AS$6,単価表!$AY$63:$CC$63,0)),
INDEX(単価表!$AY$72:$CC$79,MATCH($V77&amp;$W77,INDEX(単価表!$AY$64:$AY$71&amp;単価表!$AZ$64:$AZ$71,),),MATCH(内訳計算!AS$6,単価表!$AY$63:$CC$63,0))),0)*$Y77/25,0),0)</f>
        <v>0</v>
      </c>
      <c r="AT77" s="1021" cm="1">
        <f t="array" ref="AT77">IFERROR(IF(HLOOKUP($U77,加算と減算!$E$4:$P$10,6,FALSE)="○",IF(OR($U77=2,$U77=3),
INDEX(単価表!$AY$72:$CC$79,MATCH($V77&amp;$W77,INDEX(単価表!$AY$64:$AY$71&amp;単価表!$AZ$64:$AZ$71,),),MATCH(内訳計算!AT$6,単価表!$AY$63:$CC$63,0)),
INDEX(単価表!$AY$72:$CC$79,MATCH($V77&amp;$W77,INDEX(単価表!$AY$64:$AY$71&amp;単価表!$AZ$64:$AZ$71,),),MATCH(内訳計算!AT$6,単価表!$AY$63:$CC$63,0))),0),0)</f>
        <v>0</v>
      </c>
      <c r="AU77" s="1023" cm="1">
        <f t="array" ref="AU77">IFERROR(ROUNDDOWN(IF(HLOOKUP($U77,加算と減算!$E$4:$P$10,6,FALSE)="○",IF(OR($U77=2,$U77=3),
INDEX(単価表!$AY$72:$CC$79,MATCH($V77&amp;$W77,INDEX(単価表!$AY$64:$AY$71&amp;単価表!$AZ$64:$AZ$71,),),MATCH(内訳計算!AU$6,単価表!$AY$63:$CC$63,0)),
INDEX(単価表!$AY$72:$CC$79,MATCH($V77&amp;$W77,INDEX(単価表!$AY$64:$AY$71&amp;単価表!$AZ$64:$AZ$71,),),MATCH(内訳計算!AU$6,単価表!$AY$63:$CC$63,0))),0)*$Y77/25,0),0)</f>
        <v>0</v>
      </c>
      <c r="AV77" s="1021" cm="1">
        <f t="array" ref="AV77">IFERROR(IF(HLOOKUP($U77,加算と減算!$E$4:$P$10,7,FALSE)="○",IF(OR($U77=2,$U77=3),
INDEX(単価表!$AY$72:$CC$79,MATCH($V77&amp;$W77,INDEX(単価表!$AY$64:$AY$71&amp;単価表!$AZ$64:$AZ$71,),),MATCH(内訳計算!AV$6,単価表!$AY$63:$CC$63,0)),
INDEX(単価表!$AY$72:$CC$79,MATCH($V77&amp;$W77,INDEX(単価表!$AY$64:$AY$71&amp;単価表!$AZ$64:$AZ$71,),),MATCH(内訳計算!AV$6,単価表!$AY$63:$CC$63,0))),0),0)</f>
        <v>0</v>
      </c>
      <c r="AW77" s="1022" cm="1">
        <f t="array" ref="AW77">IFERROR(ROUNDDOWN(IF(HLOOKUP($U77,加算と減算!$E$4:$P$10,7,FALSE)="○",IF(OR($U77=2,$U77=3),
INDEX(単価表!$AY$72:$CC$79,MATCH($V77&amp;$W77,INDEX(単価表!$AY$64:$AY$71&amp;単価表!$AZ$64:$AZ$71,),),MATCH(内訳計算!AW$6,単価表!$AY$63:$CC$63,0)),
INDEX(単価表!$AY$72:$CC$79,MATCH($V77&amp;$W77,INDEX(単価表!$AY$64:$AY$71&amp;単価表!$AZ$64:$AZ$71,),),MATCH(内訳計算!AW$6,単価表!$AY$63:$CC$63,0))),0)*$Y77/25,0),0)</f>
        <v>0</v>
      </c>
      <c r="AX77" s="1022" cm="1">
        <f t="array" ref="AX77">IFERROR(ROUNDDOWN(IF(HLOOKUP($U77,加算と減算!$E$4:$P$10,7,FALSE)="○",IF(OR($U77=2,$U77=3),
INDEX(単価表!$AY$72:$CC$79,MATCH($V77&amp;$W77,INDEX(単価表!$AY$64:$AY$71&amp;単価表!$AZ$64:$AZ$71,),),MATCH(内訳計算!AX$6,単価表!$AY$63:$CC$63,0)),
INDEX(単価表!$AY$72:$CC$79,MATCH($V77&amp;$W77,INDEX(単価表!$AY$64:$AY$71&amp;単価表!$AZ$64:$AZ$71,),),MATCH(内訳計算!AX$6,単価表!$AY$63:$CC$63,0))),0)*$Y77/25,0),0)</f>
        <v>0</v>
      </c>
      <c r="AY77" s="1023" cm="1">
        <f t="array" ref="AY77">IFERROR(ROUNDDOWN(IF(HLOOKUP($U77,加算と減算!$E$4:$P$10,7,FALSE)="○",IF(OR($U77=2,$U77=3),
INDEX(単価表!$AY$72:$CC$79,MATCH($V77&amp;$W77,INDEX(単価表!$AY$64:$AY$71&amp;単価表!$AZ$64:$AZ$71,),),MATCH(内訳計算!AY$6,単価表!$AY$63:$CC$63,0)),
INDEX(単価表!$AY$72:$CC$79,MATCH($V77&amp;$W77,INDEX(単価表!$AY$64:$AY$71&amp;単価表!$AZ$64:$AZ$71,),),MATCH(内訳計算!AY$6,単価表!$AY$63:$CC$63,0))),0)*$Y77/25,0),0)</f>
        <v>0</v>
      </c>
      <c r="AZ77" s="1021" cm="1">
        <f t="array" ref="AZ77">IFERROR(IF(X77="○",INDEX(単価表!$AY$72:$CC$79,MATCH($V77&amp;$W77,INDEX(単価表!$AY$64:$AY$71&amp;単価表!$AZ$64:$AZ$71,),),MATCH(内訳計算!AZ$6,単価表!$AY$63:$CC$63,0)),0),0)</f>
        <v>0</v>
      </c>
      <c r="BA77" s="1023" cm="1">
        <f t="array" ref="BA77">IFERROR(ROUNDDOWN(INDEX(単価表!$AY$72:$CC$79,MATCH($V77&amp;$W77,INDEX(単価表!$AY$64:$AY$71&amp;単価表!$AZ$64:$AZ$71,),),MATCH(内訳計算!BA$6,単価表!$AY$63:$CC$63,0))*$Y77/25,0),0)</f>
        <v>0</v>
      </c>
      <c r="BB77" s="1021" cm="1">
        <f t="array" ref="BB77">IFERROR(INDEX(単価表!$AY$72:$CC$79,MATCH($V77&amp;$W77,INDEX(単価表!$AY$64:$AY$71&amp;単価表!$AZ$64:$AZ$71,),),MATCH(内訳計算!BB$6,単価表!$AY$63:$CC$63,0)),0)</f>
        <v>0</v>
      </c>
      <c r="BC77" s="1023" cm="1">
        <f t="array" ref="BC77">IFERROR(ROUNDDOWN(INDEX(単価表!$AY$72:$CC$79,MATCH($V77&amp;$W77,INDEX(単価表!$AY$64:$AY$71&amp;単価表!$AZ$64:$AZ$71,),),MATCH(内訳計算!BC$6,単価表!$AY$63:$CC$63,0))*$Y77/25,0),0)</f>
        <v>0</v>
      </c>
      <c r="BD77" s="985">
        <f>IFERROR(IF(HLOOKUP($U77,加算と減算!$E$31:$P$32,2,FALSE)="○",IF(OR($U77=2,$U77=3),-(単価表!$AZ$23+単価表!$BA$23*基本情報!$G$7),-(単価表!$AZ$23+単価表!$BA$23*基本情報!$G$7)),0),0)</f>
        <v>0</v>
      </c>
      <c r="BE77" s="1007" t="e">
        <f t="shared" si="116"/>
        <v>#VALUE!</v>
      </c>
      <c r="BF77" s="1007" t="e">
        <f t="shared" si="117"/>
        <v>#VALUE!</v>
      </c>
      <c r="BG77" s="1030" t="e">
        <f t="shared" si="118"/>
        <v>#N/A</v>
      </c>
      <c r="BH77" s="1031">
        <f>IFERROR(IF(基本情報!$E$12&lt;&gt;"",-ROUNDDOWN((AA77+AE77+AH77+AL77)*基本情報!$H$13/100,-1),0),0)</f>
        <v>0</v>
      </c>
      <c r="BI77" s="1007" t="e">
        <f t="shared" si="119"/>
        <v>#VALUE!</v>
      </c>
      <c r="BJ77" s="1007" t="e">
        <f t="shared" si="120"/>
        <v>#VALUE!</v>
      </c>
      <c r="BK77" s="1008" t="e">
        <f t="shared" si="121"/>
        <v>#N/A</v>
      </c>
      <c r="BL77" s="1031">
        <f t="shared" si="122"/>
        <v>0</v>
      </c>
      <c r="BM77" s="1007" t="e">
        <f t="shared" si="123"/>
        <v>#VALUE!</v>
      </c>
      <c r="BN77" s="1007" t="e">
        <f t="shared" si="124"/>
        <v>#VALUE!</v>
      </c>
      <c r="BO77" s="1008" t="e">
        <f t="shared" si="125"/>
        <v>#N/A</v>
      </c>
      <c r="BP77" s="1006">
        <f>IFERROR(-ROUNDUP(SUM(AA77,AE77,AH77,AL77,AR77,AT77,AV77,BD77,BH77,BL77)*基本情報!$H$15/100,-1),0)</f>
        <v>0</v>
      </c>
      <c r="BQ77" s="1007" t="e">
        <f t="shared" si="126"/>
        <v>#VALUE!</v>
      </c>
      <c r="BR77" s="1007" t="e">
        <f t="shared" si="127"/>
        <v>#VALUE!</v>
      </c>
      <c r="BS77" s="1008" t="e">
        <f t="shared" si="128"/>
        <v>#N/A</v>
      </c>
      <c r="BT77" s="721"/>
      <c r="BU77" s="1043" t="e">
        <f t="shared" si="129"/>
        <v>#VALUE!</v>
      </c>
      <c r="BV77" s="1044" t="e">
        <f t="shared" si="130"/>
        <v>#VALUE!</v>
      </c>
      <c r="BW77" s="1044" t="e">
        <f t="shared" si="131"/>
        <v>#N/A</v>
      </c>
      <c r="BX77" s="1051">
        <f t="shared" si="132"/>
        <v>0</v>
      </c>
      <c r="BY77" s="1046">
        <f t="shared" si="133"/>
        <v>0</v>
      </c>
      <c r="CD77" s="1698"/>
      <c r="CE77" s="1699"/>
      <c r="CF77" s="1701"/>
      <c r="CG77" s="1664"/>
      <c r="CH77" s="1664"/>
      <c r="CI77" s="1664"/>
      <c r="CJ77" s="1664"/>
      <c r="CK77" s="1664"/>
      <c r="CL77" s="1664"/>
      <c r="CM77" s="1664"/>
      <c r="CN77" s="1664"/>
      <c r="CO77" s="1664"/>
      <c r="CP77" s="1664"/>
      <c r="CQ77" s="1666"/>
      <c r="CR77" s="1668"/>
      <c r="CT77" s="1690"/>
      <c r="CU77" s="1691"/>
      <c r="CV77" s="1061" t="e">
        <f>SUM(CV56,CV60:CV68,CV73)</f>
        <v>#VALUE!</v>
      </c>
      <c r="CW77" s="1062" t="e">
        <f t="shared" ref="CW77:CZ77" si="150">SUM(CW56,CW60:CW68,CW73)</f>
        <v>#VALUE!</v>
      </c>
      <c r="CX77" s="1062" t="e">
        <f t="shared" si="150"/>
        <v>#N/A</v>
      </c>
      <c r="CY77" s="1062" t="e">
        <f t="shared" si="150"/>
        <v>#VALUE!</v>
      </c>
      <c r="CZ77" s="1063" t="e">
        <f t="shared" si="150"/>
        <v>#VALUE!</v>
      </c>
      <c r="DA77" s="1064" t="e">
        <f>SUM(CV77:CZ77)</f>
        <v>#VALUE!</v>
      </c>
      <c r="DB77" s="1066"/>
      <c r="DC77" s="1035" t="s">
        <v>695</v>
      </c>
      <c r="DD77" s="1071"/>
      <c r="DE77" s="1071"/>
      <c r="DF77" s="1071"/>
      <c r="DG77" s="1071"/>
      <c r="DH77" s="1071"/>
      <c r="DI77" s="1071"/>
      <c r="DJ77" s="1071"/>
    </row>
    <row r="78" spans="1:114" ht="18.75" customHeight="1">
      <c r="A78" s="1640"/>
      <c r="B78" s="1525" t="s">
        <v>585</v>
      </c>
      <c r="C78" s="1526"/>
      <c r="D78" s="1526"/>
      <c r="E78" s="802">
        <f>IF(E71="○",単価表!$AW$128,0)</f>
        <v>0</v>
      </c>
      <c r="F78" s="802">
        <f>IF(F71="○",単価表!$AW$128,0)</f>
        <v>0</v>
      </c>
      <c r="G78" s="802">
        <f>IF(G71="○",単価表!$AW$128,0)</f>
        <v>0</v>
      </c>
      <c r="H78" s="802">
        <f>IF(H71="○",単価表!$AW$128,0)</f>
        <v>0</v>
      </c>
      <c r="I78" s="802">
        <f>IF(I71="○",単価表!$AW$128,0)</f>
        <v>0</v>
      </c>
      <c r="J78" s="802">
        <f>IF(J71="○",単価表!$AW$128,0)</f>
        <v>0</v>
      </c>
      <c r="K78" s="802">
        <f>IF(K71="○",単価表!$AW$128,0)</f>
        <v>0</v>
      </c>
      <c r="L78" s="802">
        <f>IF(L71="○",単価表!$AW$128,0)</f>
        <v>0</v>
      </c>
      <c r="M78" s="802">
        <f>IF(M71="○",単価表!$AW$128,0)</f>
        <v>0</v>
      </c>
      <c r="N78" s="802">
        <f>IF(N71="○",単価表!$AW$128,0)</f>
        <v>0</v>
      </c>
      <c r="O78" s="802">
        <f>IF(O71="○",単価表!$AW$128,0)</f>
        <v>0</v>
      </c>
      <c r="P78" s="802">
        <f>IF(P71="○",単価表!$AW$128,0)</f>
        <v>0</v>
      </c>
      <c r="Q78" s="801"/>
      <c r="T78" s="682">
        <v>17</v>
      </c>
      <c r="U78" s="918">
        <f>月途中入退所情報!D47</f>
        <v>0</v>
      </c>
      <c r="V78" s="918">
        <f>月途中入退所情報!H47</f>
        <v>0</v>
      </c>
      <c r="W78" s="918">
        <f>月途中入退所情報!G47</f>
        <v>0</v>
      </c>
      <c r="X78" s="945">
        <f>月途中入退所情報!I47</f>
        <v>0</v>
      </c>
      <c r="Y78" s="918">
        <f>月途中入退所情報!J47</f>
        <v>0</v>
      </c>
      <c r="Z78" s="840">
        <f t="shared" si="114"/>
        <v>0</v>
      </c>
      <c r="AA78" s="1021" cm="1">
        <f t="array" ref="AA78">IFERROR(IF(OR($U78=2,$U78=3),
INDEX(単価表!$AY$72:$CC$79,MATCH($V78&amp;$W78,INDEX(単価表!$AY$64:$AY$71&amp;単価表!$AZ$64:$AZ$71,),),MATCH(内訳計算!AA$6,単価表!$AY$63:$CC$63,0)),
INDEX(単価表!$AY$72:$CC$79,MATCH($V78&amp;$W78,INDEX(単価表!$AY$64:$AY$71&amp;単価表!$AZ$64:$AZ$71,),),MATCH(内訳計算!AA$6,単価表!$AY$63:$CC$63,0))),0)</f>
        <v>0</v>
      </c>
      <c r="AB78" s="1022" t="e">
        <f t="shared" si="115"/>
        <v>#VALUE!</v>
      </c>
      <c r="AC78" s="1022" cm="1">
        <f t="array" ref="AC78">IFERROR(ROUNDDOWN(IF(OR($U78=2,$U78=3),
INDEX(単価表!$AY$72:$CC$79,MATCH($V78&amp;$W78,INDEX(単価表!$AY$64:$AY$71&amp;単価表!$AZ$64:$AZ$71,),),MATCH(内訳計算!AC$6,単価表!$AY$63:$CC$63,0)),
INDEX(単価表!$AY$72:$CC$79,MATCH($V78&amp;$W78,INDEX(単価表!$AY$64:$AY$71&amp;単価表!$AZ$64:$AZ$71,),),MATCH(内訳計算!AC$6,単価表!$AY$63:$CC$63,0)))*$Y78/25,0),0)</f>
        <v>0</v>
      </c>
      <c r="AD78" s="1023" cm="1">
        <f t="array" ref="AD78">IFERROR(ROUNDDOWN(IF(OR($U78=2,$U78=3),
INDEX(単価表!$AY$72:$CC$79,MATCH($V78&amp;$W78,INDEX(単価表!$AY$64:$AY$71&amp;単価表!$AZ$64:$AZ$71,),),MATCH(内訳計算!AD$6,単価表!$AY$63:$CC$63,0)),
INDEX(単価表!$AY$72:$CC$79,MATCH($V78&amp;$W78,INDEX(単価表!$AY$64:$AY$71&amp;単価表!$AZ$64:$AZ$71,),),MATCH(内訳計算!AD$6,単価表!$AY$63:$CC$63,0)))*$Y78/25,0),0)</f>
        <v>0</v>
      </c>
      <c r="AE78" s="1021" cm="1">
        <f t="array" ref="AE78">IFERROR(IF(OR($U78=2,$U78=3),
INDEX(単価表!$AY$72:$CC$79,MATCH($V78&amp;$W78,INDEX(単価表!$AY$64:$AY$71&amp;単価表!$AZ$64:$AZ$71,),),MATCH(内訳計算!AE$6,単価表!$AY$63:$CC$63,0)),
INDEX(単価表!$AY$72:$CC$79,MATCH($V78&amp;$W78,INDEX(単価表!$AY$64:$AY$71&amp;単価表!$AZ$64:$AZ$71,),),MATCH(内訳計算!AE$6,単価表!$AY$63:$CC$63,0))),0)</f>
        <v>0</v>
      </c>
      <c r="AF78" s="1022" cm="1">
        <f t="array" ref="AF78">IFERROR(ROUNDDOWN(IF(OR($U78=2,$U78=3),
INDEX(単価表!$AY$72:$CC$79,MATCH($V78&amp;$W78,INDEX(単価表!$AY$64:$AY$71&amp;単価表!$AZ$64:$AZ$71,),),MATCH(内訳計算!AF$6,単価表!$AY$63:$CC$63,0)),
INDEX(単価表!$AY$72:$CC$79,MATCH($V78&amp;$W78,INDEX(単価表!$AY$64:$AY$71&amp;単価表!$AZ$64:$AZ$71,),),MATCH(内訳計算!AF$6,単価表!$AY$63:$CC$63,0)))*$Y78/25,0),0)</f>
        <v>0</v>
      </c>
      <c r="AG78" s="1023" cm="1">
        <f t="array" ref="AG78">IFERROR(ROUNDDOWN(IF(OR($U78=2,$U78=3),
INDEX(単価表!$AY$72:$CC$79,MATCH($V78&amp;$W78,INDEX(単価表!$AY$64:$AY$71&amp;単価表!$AZ$64:$AZ$71,),),MATCH(内訳計算!AG$6,単価表!$AY$63:$CC$63,0)),
INDEX(単価表!$AY$72:$CC$79,MATCH($V78&amp;$W78,INDEX(単価表!$AY$64:$AY$71&amp;単価表!$AZ$64:$AZ$71,),),MATCH(内訳計算!AG$6,単価表!$AY$63:$CC$63,0)))*$Y78/25,0),0)</f>
        <v>0</v>
      </c>
      <c r="AH78" s="1021" cm="1">
        <f t="array" ref="AH78">IFERROR(IF(HLOOKUP($U78,加算と減算!$E$4:$P$10,2,FALSE)="○",IF(OR($U78=2,$U78=3),
INDEX(単価表!$AY$72:$CC$79,MATCH($V78&amp;$W78,INDEX(単価表!$AY$64:$AY$71&amp;単価表!$AZ$64:$AZ$71,),),MATCH(内訳計算!AH$6,単価表!$AY$63:$CC$63,0)),
INDEX(単価表!$AY$72:$CC$79,MATCH($V78&amp;$W78,INDEX(単価表!$AY$64:$AY$71&amp;単価表!$AZ$64:$AZ$71,),),MATCH(内訳計算!AH$6,単価表!$AY$63:$CC$63,0))),0),0)</f>
        <v>0</v>
      </c>
      <c r="AI78" s="1024" cm="1">
        <f t="array" ref="AI78">IFERROR(ROUNDDOWN(IF(HLOOKUP($U78,加算と減算!$E$4:$P$10,2,FALSE)="○",IF(OR($U78=2,$U78=3),
INDEX(単価表!$AY$72:$CC$79,MATCH($V78&amp;$W78,INDEX(単価表!$AY$64:$AY$71&amp;単価表!$AZ$64:$AZ$71,),),MATCH(内訳計算!AI$6,単価表!$AY$63:$CC$63,0)),
INDEX(単価表!$AY$72:$CC$79,MATCH($V78&amp;$W78,INDEX(単価表!$AY$64:$AY$71&amp;単価表!$AZ$64:$AZ$71,),),MATCH(内訳計算!AI$6,単価表!$AY$63:$CC$63,0))),0)*$Y78/25,0),0)</f>
        <v>0</v>
      </c>
      <c r="AJ78" s="1022" cm="1">
        <f t="array" ref="AJ78">IFERROR(ROUNDDOWN(IF(HLOOKUP($U78,加算と減算!$E$4:$P$10,2,FALSE)="○",IF(OR($U78=2,$U78=3),
INDEX(単価表!$AY$72:$CC$79,MATCH($V78&amp;$W78,INDEX(単価表!$AY$64:$AY$71&amp;単価表!$AZ$64:$AZ$71,),),MATCH(内訳計算!AJ$6,単価表!$AY$63:$CC$63,0)),
INDEX(単価表!$AY$72:$CC$79,MATCH($V78&amp;$W78,INDEX(単価表!$AY$64:$AY$71&amp;単価表!$AZ$64:$AZ$71,),),MATCH(内訳計算!AJ$6,単価表!$AY$63:$CC$63,0))),0)*$Y78/25,0),0)</f>
        <v>0</v>
      </c>
      <c r="AK78" s="1023" cm="1">
        <f t="array" ref="AK78">IFERROR(ROUNDDOWN(IF(HLOOKUP($U78,加算と減算!$E$4:$P$10,2,FALSE)="○",IF(OR($U78=2,$U78=3),
INDEX(単価表!$AY$72:$CC$79,MATCH($V78&amp;$W78,INDEX(単価表!$AY$64:$AY$71&amp;単価表!$AZ$64:$AZ$71,),),MATCH(内訳計算!AK$6,単価表!$AY$63:$CC$63,0)),
INDEX(単価表!$AY$72:$CC$79,MATCH($V78&amp;$W78,INDEX(単価表!$AY$64:$AY$71&amp;単価表!$AZ$64:$AZ$71,),),MATCH(内訳計算!AK$6,単価表!$AY$63:$CC$63,0))),0)*$Y78/25,0),0)</f>
        <v>0</v>
      </c>
      <c r="AL78" s="1021" cm="1">
        <f t="array" ref="AL78">IFERROR(IF(HLOOKUP($U78,加算と減算!$E$4:$P$10,4,FALSE)="○",IF(OR($U78=2,$U78=3),
INDEX(単価表!$AY$72:$CC$79,MATCH($V78&amp;$W78,INDEX(単価表!$AY$64:$AY$71&amp;単価表!$AZ$64:$AZ$71,),),MATCH(内訳計算!AL$6,単価表!$AY$63:$CC$63,0)),
INDEX(単価表!$AY$72:$CC$79,MATCH($V78&amp;$W78,INDEX(単価表!$AY$64:$AY$71&amp;単価表!$AZ$64:$AZ$71,),),MATCH(内訳計算!AL$6,単価表!$AY$63:$CC$63,0))),0),0)</f>
        <v>0</v>
      </c>
      <c r="AM78" s="1022" cm="1">
        <f t="array" ref="AM78">IFERROR(ROUNDDOWN(IF(HLOOKUP($U78,加算と減算!$E$4:$P$10,4,FALSE)="○",IF(OR($U78=2,$U78=3),
INDEX(単価表!$AY$72:$CC$79,MATCH($V78&amp;$W78,INDEX(単価表!$AY$64:$AY$71&amp;単価表!$AZ$64:$AZ$71,),),MATCH(内訳計算!AM$6,単価表!$AY$63:$CC$63,0)),
INDEX(単価表!$AY$72:$CC$79,MATCH($V78&amp;$W78,INDEX(単価表!$AY$64:$AY$71&amp;単価表!$AZ$64:$AZ$71,),),MATCH(内訳計算!AM$6,単価表!$AY$63:$CC$63,0))),0)*$Y78/25,0),0)</f>
        <v>0</v>
      </c>
      <c r="AN78" s="1022" cm="1">
        <f t="array" ref="AN78">IFERROR(ROUNDDOWN(IF(HLOOKUP($U78,加算と減算!$E$4:$P$10,4,FALSE)="○",IF(OR($U78=2,$U78=3),
INDEX(単価表!$AY$72:$CC$79,MATCH($V78&amp;$W78,INDEX(単価表!$AY$64:$AY$71&amp;単価表!$AZ$64:$AZ$71,),),MATCH(内訳計算!AN$6,単価表!$AY$63:$CC$63,0)),
INDEX(単価表!$AY$72:$CC$79,MATCH($V78&amp;$W78,INDEX(単価表!$AY$64:$AY$71&amp;単価表!$AZ$64:$AZ$71,),),MATCH(内訳計算!AN$6,単価表!$AY$63:$CC$63,0))),0)*$Y78/25,0),0)</f>
        <v>0</v>
      </c>
      <c r="AO78" s="1022" cm="1">
        <f t="array" ref="AO78">IFERROR(ROUNDDOWN(IF(HLOOKUP($U78,加算と減算!$E$4:$P$10,4,FALSE)="○",IF(OR($U78=2,$U78=3),
INDEX(単価表!$AY$72:$CC$79,MATCH($V78&amp;$W78,INDEX(単価表!$AY$64:$AY$71&amp;単価表!$AZ$64:$AZ$71,),),MATCH(内訳計算!AO$6,単価表!$AY$63:$CC$63,0)),
INDEX(単価表!$AY$72:$CC$79,MATCH($V78&amp;$W78,INDEX(単価表!$AY$64:$AY$71&amp;単価表!$AZ$64:$AZ$71,),),MATCH(内訳計算!AO$6,単価表!$AY$63:$CC$63,0))),0)*$Y78/25,0),0)</f>
        <v>0</v>
      </c>
      <c r="AP78" s="1022" cm="1">
        <f t="array" ref="AP78">IFERROR(ROUNDDOWN(IF(HLOOKUP($U78,加算と減算!$E$4:$P$10,4,FALSE)="○",IF(OR($U78=2,$U78=3),
INDEX(単価表!$AY$72:$CC$79,MATCH($V78&amp;$W78,INDEX(単価表!$AY$64:$AY$71&amp;単価表!$AZ$64:$AZ$71,),),MATCH(内訳計算!AP$6,単価表!$AY$63:$CC$63,0)),
INDEX(単価表!$AY$72:$CC$79,MATCH($V78&amp;$W78,INDEX(単価表!$AY$64:$AY$71&amp;単価表!$AZ$64:$AZ$71,),),MATCH(内訳計算!AP$6,単価表!$AY$63:$CC$63,0))),0)*$Y78/25,0),0)</f>
        <v>0</v>
      </c>
      <c r="AQ78" s="1023" cm="1">
        <f t="array" ref="AQ78">IFERROR(ROUNDDOWN(IF(HLOOKUP($U78,加算と減算!$E$4:$P$10,4,FALSE)="○",IF(OR($U78=2,$U78=3),
INDEX(単価表!$AY$72:$CC$79,MATCH($V78&amp;$W78,INDEX(単価表!$AY$64:$AY$71&amp;単価表!$AZ$64:$AZ$71,),),MATCH(内訳計算!AQ$6,単価表!$AY$63:$CC$63,0)),
INDEX(単価表!$AY$72:$CC$79,MATCH($V78&amp;$W78,INDEX(単価表!$AY$64:$AY$71&amp;単価表!$AZ$64:$AZ$71,),),MATCH(内訳計算!AQ$6,単価表!$AY$63:$CC$63,0))),0)*$Y78/25,0),0)</f>
        <v>0</v>
      </c>
      <c r="AR78" s="1021" cm="1">
        <f t="array" ref="AR78">IFERROR(IF(HLOOKUP($U78,加算と減算!$E$4:$P$10,5,FALSE)="○",IF(OR($U78=2,$U78=3),
INDEX(単価表!$AY$72:$CC$79,MATCH($V78&amp;$W78,INDEX(単価表!$AY$64:$AY$71&amp;単価表!$AZ$64:$AZ$71,),),MATCH(内訳計算!AR$6,単価表!$AY$63:$CC$63,0)),
INDEX(単価表!$AY$72:$CC$79,MATCH($V78&amp;$W78,INDEX(単価表!$AY$64:$AY$71&amp;単価表!$AZ$64:$AZ$71,),),MATCH(内訳計算!AR$6,単価表!$AY$63:$CC$63,0))),0),0)</f>
        <v>0</v>
      </c>
      <c r="AS78" s="1023" cm="1">
        <f t="array" ref="AS78">IFERROR(ROUNDDOWN(IF(HLOOKUP($U78,加算と減算!$E$4:$P$10,5,FALSE)="○",IF(OR($U78=2,$U78=3),
INDEX(単価表!$AY$72:$CC$79,MATCH($V78&amp;$W78,INDEX(単価表!$AY$64:$AY$71&amp;単価表!$AZ$64:$AZ$71,),),MATCH(内訳計算!AS$6,単価表!$AY$63:$CC$63,0)),
INDEX(単価表!$AY$72:$CC$79,MATCH($V78&amp;$W78,INDEX(単価表!$AY$64:$AY$71&amp;単価表!$AZ$64:$AZ$71,),),MATCH(内訳計算!AS$6,単価表!$AY$63:$CC$63,0))),0)*$Y78/25,0),0)</f>
        <v>0</v>
      </c>
      <c r="AT78" s="1021" cm="1">
        <f t="array" ref="AT78">IFERROR(IF(HLOOKUP($U78,加算と減算!$E$4:$P$10,6,FALSE)="○",IF(OR($U78=2,$U78=3),
INDEX(単価表!$AY$72:$CC$79,MATCH($V78&amp;$W78,INDEX(単価表!$AY$64:$AY$71&amp;単価表!$AZ$64:$AZ$71,),),MATCH(内訳計算!AT$6,単価表!$AY$63:$CC$63,0)),
INDEX(単価表!$AY$72:$CC$79,MATCH($V78&amp;$W78,INDEX(単価表!$AY$64:$AY$71&amp;単価表!$AZ$64:$AZ$71,),),MATCH(内訳計算!AT$6,単価表!$AY$63:$CC$63,0))),0),0)</f>
        <v>0</v>
      </c>
      <c r="AU78" s="1023" cm="1">
        <f t="array" ref="AU78">IFERROR(ROUNDDOWN(IF(HLOOKUP($U78,加算と減算!$E$4:$P$10,6,FALSE)="○",IF(OR($U78=2,$U78=3),
INDEX(単価表!$AY$72:$CC$79,MATCH($V78&amp;$W78,INDEX(単価表!$AY$64:$AY$71&amp;単価表!$AZ$64:$AZ$71,),),MATCH(内訳計算!AU$6,単価表!$AY$63:$CC$63,0)),
INDEX(単価表!$AY$72:$CC$79,MATCH($V78&amp;$W78,INDEX(単価表!$AY$64:$AY$71&amp;単価表!$AZ$64:$AZ$71,),),MATCH(内訳計算!AU$6,単価表!$AY$63:$CC$63,0))),0)*$Y78/25,0),0)</f>
        <v>0</v>
      </c>
      <c r="AV78" s="1021" cm="1">
        <f t="array" ref="AV78">IFERROR(IF(HLOOKUP($U78,加算と減算!$E$4:$P$10,7,FALSE)="○",IF(OR($U78=2,$U78=3),
INDEX(単価表!$AY$72:$CC$79,MATCH($V78&amp;$W78,INDEX(単価表!$AY$64:$AY$71&amp;単価表!$AZ$64:$AZ$71,),),MATCH(内訳計算!AV$6,単価表!$AY$63:$CC$63,0)),
INDEX(単価表!$AY$72:$CC$79,MATCH($V78&amp;$W78,INDEX(単価表!$AY$64:$AY$71&amp;単価表!$AZ$64:$AZ$71,),),MATCH(内訳計算!AV$6,単価表!$AY$63:$CC$63,0))),0),0)</f>
        <v>0</v>
      </c>
      <c r="AW78" s="1022" cm="1">
        <f t="array" ref="AW78">IFERROR(ROUNDDOWN(IF(HLOOKUP($U78,加算と減算!$E$4:$P$10,7,FALSE)="○",IF(OR($U78=2,$U78=3),
INDEX(単価表!$AY$72:$CC$79,MATCH($V78&amp;$W78,INDEX(単価表!$AY$64:$AY$71&amp;単価表!$AZ$64:$AZ$71,),),MATCH(内訳計算!AW$6,単価表!$AY$63:$CC$63,0)),
INDEX(単価表!$AY$72:$CC$79,MATCH($V78&amp;$W78,INDEX(単価表!$AY$64:$AY$71&amp;単価表!$AZ$64:$AZ$71,),),MATCH(内訳計算!AW$6,単価表!$AY$63:$CC$63,0))),0)*$Y78/25,0),0)</f>
        <v>0</v>
      </c>
      <c r="AX78" s="1022" cm="1">
        <f t="array" ref="AX78">IFERROR(ROUNDDOWN(IF(HLOOKUP($U78,加算と減算!$E$4:$P$10,7,FALSE)="○",IF(OR($U78=2,$U78=3),
INDEX(単価表!$AY$72:$CC$79,MATCH($V78&amp;$W78,INDEX(単価表!$AY$64:$AY$71&amp;単価表!$AZ$64:$AZ$71,),),MATCH(内訳計算!AX$6,単価表!$AY$63:$CC$63,0)),
INDEX(単価表!$AY$72:$CC$79,MATCH($V78&amp;$W78,INDEX(単価表!$AY$64:$AY$71&amp;単価表!$AZ$64:$AZ$71,),),MATCH(内訳計算!AX$6,単価表!$AY$63:$CC$63,0))),0)*$Y78/25,0),0)</f>
        <v>0</v>
      </c>
      <c r="AY78" s="1023" cm="1">
        <f t="array" ref="AY78">IFERROR(ROUNDDOWN(IF(HLOOKUP($U78,加算と減算!$E$4:$P$10,7,FALSE)="○",IF(OR($U78=2,$U78=3),
INDEX(単価表!$AY$72:$CC$79,MATCH($V78&amp;$W78,INDEX(単価表!$AY$64:$AY$71&amp;単価表!$AZ$64:$AZ$71,),),MATCH(内訳計算!AY$6,単価表!$AY$63:$CC$63,0)),
INDEX(単価表!$AY$72:$CC$79,MATCH($V78&amp;$W78,INDEX(単価表!$AY$64:$AY$71&amp;単価表!$AZ$64:$AZ$71,),),MATCH(内訳計算!AY$6,単価表!$AY$63:$CC$63,0))),0)*$Y78/25,0),0)</f>
        <v>0</v>
      </c>
      <c r="AZ78" s="1021" cm="1">
        <f t="array" ref="AZ78">IFERROR(IF(X78="○",INDEX(単価表!$AY$72:$CC$79,MATCH($V78&amp;$W78,INDEX(単価表!$AY$64:$AY$71&amp;単価表!$AZ$64:$AZ$71,),),MATCH(内訳計算!AZ$6,単価表!$AY$63:$CC$63,0)),0),0)</f>
        <v>0</v>
      </c>
      <c r="BA78" s="1023" cm="1">
        <f t="array" ref="BA78">IFERROR(ROUNDDOWN(INDEX(単価表!$AY$72:$CC$79,MATCH($V78&amp;$W78,INDEX(単価表!$AY$64:$AY$71&amp;単価表!$AZ$64:$AZ$71,),),MATCH(内訳計算!BA$6,単価表!$AY$63:$CC$63,0))*$Y78/25,0),0)</f>
        <v>0</v>
      </c>
      <c r="BB78" s="1021" cm="1">
        <f t="array" ref="BB78">IFERROR(INDEX(単価表!$AY$72:$CC$79,MATCH($V78&amp;$W78,INDEX(単価表!$AY$64:$AY$71&amp;単価表!$AZ$64:$AZ$71,),),MATCH(内訳計算!BB$6,単価表!$AY$63:$CC$63,0)),0)</f>
        <v>0</v>
      </c>
      <c r="BC78" s="1023" cm="1">
        <f t="array" ref="BC78">IFERROR(ROUNDDOWN(INDEX(単価表!$AY$72:$CC$79,MATCH($V78&amp;$W78,INDEX(単価表!$AY$64:$AY$71&amp;単価表!$AZ$64:$AZ$71,),),MATCH(内訳計算!BC$6,単価表!$AY$63:$CC$63,0))*$Y78/25,0),0)</f>
        <v>0</v>
      </c>
      <c r="BD78" s="985">
        <f>IFERROR(IF(HLOOKUP($U78,加算と減算!$E$31:$P$32,2,FALSE)="○",IF(OR($U78=2,$U78=3),-(単価表!$AZ$23+単価表!$BA$23*基本情報!$G$7),-(単価表!$AZ$23+単価表!$BA$23*基本情報!$G$7)),0),0)</f>
        <v>0</v>
      </c>
      <c r="BE78" s="1007" t="e">
        <f t="shared" si="116"/>
        <v>#VALUE!</v>
      </c>
      <c r="BF78" s="1007" t="e">
        <f t="shared" si="117"/>
        <v>#VALUE!</v>
      </c>
      <c r="BG78" s="1030" t="e">
        <f t="shared" si="118"/>
        <v>#N/A</v>
      </c>
      <c r="BH78" s="1031">
        <f>IFERROR(IF(基本情報!$E$12&lt;&gt;"",-ROUNDDOWN((AA78+AE78+AH78+AL78)*基本情報!$H$13/100,-1),0),0)</f>
        <v>0</v>
      </c>
      <c r="BI78" s="1007" t="e">
        <f t="shared" si="119"/>
        <v>#VALUE!</v>
      </c>
      <c r="BJ78" s="1007" t="e">
        <f t="shared" si="120"/>
        <v>#VALUE!</v>
      </c>
      <c r="BK78" s="1008" t="e">
        <f t="shared" si="121"/>
        <v>#N/A</v>
      </c>
      <c r="BL78" s="1031">
        <f t="shared" si="122"/>
        <v>0</v>
      </c>
      <c r="BM78" s="1010" t="e">
        <f t="shared" si="123"/>
        <v>#VALUE!</v>
      </c>
      <c r="BN78" s="1010" t="e">
        <f t="shared" si="124"/>
        <v>#VALUE!</v>
      </c>
      <c r="BO78" s="1011" t="e">
        <f t="shared" si="125"/>
        <v>#N/A</v>
      </c>
      <c r="BP78" s="1009">
        <f>IFERROR(-ROUNDUP(SUM(AA78,AE78,AH78,AL78,AR78,AT78,AV78,BD78,BH78,BL78)*基本情報!$H$15/100,-1),0)</f>
        <v>0</v>
      </c>
      <c r="BQ78" s="1010" t="e">
        <f t="shared" si="126"/>
        <v>#VALUE!</v>
      </c>
      <c r="BR78" s="1010" t="e">
        <f t="shared" si="127"/>
        <v>#VALUE!</v>
      </c>
      <c r="BS78" s="1011" t="e">
        <f t="shared" si="128"/>
        <v>#N/A</v>
      </c>
      <c r="BT78" s="721"/>
      <c r="BU78" s="1043" t="e">
        <f t="shared" si="129"/>
        <v>#VALUE!</v>
      </c>
      <c r="BV78" s="1044" t="e">
        <f t="shared" si="130"/>
        <v>#VALUE!</v>
      </c>
      <c r="BW78" s="1044" t="e">
        <f t="shared" si="131"/>
        <v>#N/A</v>
      </c>
      <c r="BX78" s="1051">
        <f t="shared" si="132"/>
        <v>0</v>
      </c>
      <c r="BY78" s="1045">
        <f t="shared" si="133"/>
        <v>0</v>
      </c>
      <c r="CY78" s="1681" t="e">
        <f>SUM(CY77:CZ77)</f>
        <v>#VALUE!</v>
      </c>
      <c r="CZ78" s="1682"/>
      <c r="DC78" s="1680" t="s">
        <v>719</v>
      </c>
      <c r="DD78" s="1680"/>
      <c r="DE78" s="1680"/>
      <c r="DF78" s="1680"/>
      <c r="DG78" s="1680"/>
      <c r="DH78" s="1680"/>
      <c r="DI78" s="1680"/>
      <c r="DJ78" s="1680"/>
    </row>
    <row r="79" spans="1:114" ht="19.5" customHeight="1">
      <c r="A79" s="1640"/>
      <c r="B79" s="1525" t="s">
        <v>586</v>
      </c>
      <c r="C79" s="1526"/>
      <c r="D79" s="1526"/>
      <c r="E79" s="802">
        <f>IF(E71="○",単価表!$AX$128,0)</f>
        <v>0</v>
      </c>
      <c r="F79" s="802">
        <f>IF(F71="○",単価表!$AX$128,0)</f>
        <v>0</v>
      </c>
      <c r="G79" s="802">
        <f>IF(G71="○",単価表!$AX$128,0)</f>
        <v>0</v>
      </c>
      <c r="H79" s="802">
        <f>IF(H71="○",単価表!$AX$128,0)</f>
        <v>0</v>
      </c>
      <c r="I79" s="802">
        <f>IF(I71="○",単価表!$AX$128,0)</f>
        <v>0</v>
      </c>
      <c r="J79" s="802">
        <f>IF(J71="○",単価表!$AX$128,0)</f>
        <v>0</v>
      </c>
      <c r="K79" s="802">
        <f>IF(K71="○",単価表!$AX$128,0)</f>
        <v>0</v>
      </c>
      <c r="L79" s="802">
        <f>IF(L71="○",単価表!$AX$128,0)</f>
        <v>0</v>
      </c>
      <c r="M79" s="802">
        <f>IF(M71="○",単価表!$AX$128,0)</f>
        <v>0</v>
      </c>
      <c r="N79" s="802">
        <f>IF(N71="○",単価表!$AX$128,0)</f>
        <v>0</v>
      </c>
      <c r="O79" s="802">
        <f>IF(O71="○",単価表!$AX$128,0)</f>
        <v>0</v>
      </c>
      <c r="P79" s="802">
        <f>IF(P71="○",単価表!$AX$128,0)</f>
        <v>0</v>
      </c>
      <c r="Q79" s="801"/>
      <c r="T79" s="682">
        <v>18</v>
      </c>
      <c r="U79" s="918">
        <f>月途中入退所情報!D48</f>
        <v>0</v>
      </c>
      <c r="V79" s="918">
        <f>月途中入退所情報!H48</f>
        <v>0</v>
      </c>
      <c r="W79" s="918">
        <f>月途中入退所情報!G48</f>
        <v>0</v>
      </c>
      <c r="X79" s="945">
        <f>月途中入退所情報!I48</f>
        <v>0</v>
      </c>
      <c r="Y79" s="918">
        <f>月途中入退所情報!J48</f>
        <v>0</v>
      </c>
      <c r="Z79" s="840">
        <f t="shared" si="114"/>
        <v>0</v>
      </c>
      <c r="AA79" s="1021" cm="1">
        <f t="array" ref="AA79">IFERROR(IF(OR($U79=2,$U79=3),
INDEX(単価表!$AY$72:$CC$79,MATCH($V79&amp;$W79,INDEX(単価表!$AY$64:$AY$71&amp;単価表!$AZ$64:$AZ$71,),),MATCH(内訳計算!AA$6,単価表!$AY$63:$CC$63,0)),
INDEX(単価表!$AY$72:$CC$79,MATCH($V79&amp;$W79,INDEX(単価表!$AY$64:$AY$71&amp;単価表!$AZ$64:$AZ$71,),),MATCH(内訳計算!AA$6,単価表!$AY$63:$CC$63,0))),0)</f>
        <v>0</v>
      </c>
      <c r="AB79" s="1022" t="e">
        <f t="shared" si="115"/>
        <v>#VALUE!</v>
      </c>
      <c r="AC79" s="1022" cm="1">
        <f t="array" ref="AC79">IFERROR(ROUNDDOWN(IF(OR($U79=2,$U79=3),
INDEX(単価表!$AY$72:$CC$79,MATCH($V79&amp;$W79,INDEX(単価表!$AY$64:$AY$71&amp;単価表!$AZ$64:$AZ$71,),),MATCH(内訳計算!AC$6,単価表!$AY$63:$CC$63,0)),
INDEX(単価表!$AY$72:$CC$79,MATCH($V79&amp;$W79,INDEX(単価表!$AY$64:$AY$71&amp;単価表!$AZ$64:$AZ$71,),),MATCH(内訳計算!AC$6,単価表!$AY$63:$CC$63,0)))*$Y79/25,0),0)</f>
        <v>0</v>
      </c>
      <c r="AD79" s="1023" cm="1">
        <f t="array" ref="AD79">IFERROR(ROUNDDOWN(IF(OR($U79=2,$U79=3),
INDEX(単価表!$AY$72:$CC$79,MATCH($V79&amp;$W79,INDEX(単価表!$AY$64:$AY$71&amp;単価表!$AZ$64:$AZ$71,),),MATCH(内訳計算!AD$6,単価表!$AY$63:$CC$63,0)),
INDEX(単価表!$AY$72:$CC$79,MATCH($V79&amp;$W79,INDEX(単価表!$AY$64:$AY$71&amp;単価表!$AZ$64:$AZ$71,),),MATCH(内訳計算!AD$6,単価表!$AY$63:$CC$63,0)))*$Y79/25,0),0)</f>
        <v>0</v>
      </c>
      <c r="AE79" s="1021" cm="1">
        <f t="array" ref="AE79">IFERROR(IF(OR($U79=2,$U79=3),
INDEX(単価表!$AY$72:$CC$79,MATCH($V79&amp;$W79,INDEX(単価表!$AY$64:$AY$71&amp;単価表!$AZ$64:$AZ$71,),),MATCH(内訳計算!AE$6,単価表!$AY$63:$CC$63,0)),
INDEX(単価表!$AY$72:$CC$79,MATCH($V79&amp;$W79,INDEX(単価表!$AY$64:$AY$71&amp;単価表!$AZ$64:$AZ$71,),),MATCH(内訳計算!AE$6,単価表!$AY$63:$CC$63,0))),0)</f>
        <v>0</v>
      </c>
      <c r="AF79" s="1022" cm="1">
        <f t="array" ref="AF79">IFERROR(ROUNDDOWN(IF(OR($U79=2,$U79=3),
INDEX(単価表!$AY$72:$CC$79,MATCH($V79&amp;$W79,INDEX(単価表!$AY$64:$AY$71&amp;単価表!$AZ$64:$AZ$71,),),MATCH(内訳計算!AF$6,単価表!$AY$63:$CC$63,0)),
INDEX(単価表!$AY$72:$CC$79,MATCH($V79&amp;$W79,INDEX(単価表!$AY$64:$AY$71&amp;単価表!$AZ$64:$AZ$71,),),MATCH(内訳計算!AF$6,単価表!$AY$63:$CC$63,0)))*$Y79/25,0),0)</f>
        <v>0</v>
      </c>
      <c r="AG79" s="1023" cm="1">
        <f t="array" ref="AG79">IFERROR(ROUNDDOWN(IF(OR($U79=2,$U79=3),
INDEX(単価表!$AY$72:$CC$79,MATCH($V79&amp;$W79,INDEX(単価表!$AY$64:$AY$71&amp;単価表!$AZ$64:$AZ$71,),),MATCH(内訳計算!AG$6,単価表!$AY$63:$CC$63,0)),
INDEX(単価表!$AY$72:$CC$79,MATCH($V79&amp;$W79,INDEX(単価表!$AY$64:$AY$71&amp;単価表!$AZ$64:$AZ$71,),),MATCH(内訳計算!AG$6,単価表!$AY$63:$CC$63,0)))*$Y79/25,0),0)</f>
        <v>0</v>
      </c>
      <c r="AH79" s="1021" cm="1">
        <f t="array" ref="AH79">IFERROR(IF(HLOOKUP($U79,加算と減算!$E$4:$P$10,2,FALSE)="○",IF(OR($U79=2,$U79=3),
INDEX(単価表!$AY$72:$CC$79,MATCH($V79&amp;$W79,INDEX(単価表!$AY$64:$AY$71&amp;単価表!$AZ$64:$AZ$71,),),MATCH(内訳計算!AH$6,単価表!$AY$63:$CC$63,0)),
INDEX(単価表!$AY$72:$CC$79,MATCH($V79&amp;$W79,INDEX(単価表!$AY$64:$AY$71&amp;単価表!$AZ$64:$AZ$71,),),MATCH(内訳計算!AH$6,単価表!$AY$63:$CC$63,0))),0),0)</f>
        <v>0</v>
      </c>
      <c r="AI79" s="1024" cm="1">
        <f t="array" ref="AI79">IFERROR(ROUNDDOWN(IF(HLOOKUP($U79,加算と減算!$E$4:$P$10,2,FALSE)="○",IF(OR($U79=2,$U79=3),
INDEX(単価表!$AY$72:$CC$79,MATCH($V79&amp;$W79,INDEX(単価表!$AY$64:$AY$71&amp;単価表!$AZ$64:$AZ$71,),),MATCH(内訳計算!AI$6,単価表!$AY$63:$CC$63,0)),
INDEX(単価表!$AY$72:$CC$79,MATCH($V79&amp;$W79,INDEX(単価表!$AY$64:$AY$71&amp;単価表!$AZ$64:$AZ$71,),),MATCH(内訳計算!AI$6,単価表!$AY$63:$CC$63,0))),0)*$Y79/25,0),0)</f>
        <v>0</v>
      </c>
      <c r="AJ79" s="1022" cm="1">
        <f t="array" ref="AJ79">IFERROR(ROUNDDOWN(IF(HLOOKUP($U79,加算と減算!$E$4:$P$10,2,FALSE)="○",IF(OR($U79=2,$U79=3),
INDEX(単価表!$AY$72:$CC$79,MATCH($V79&amp;$W79,INDEX(単価表!$AY$64:$AY$71&amp;単価表!$AZ$64:$AZ$71,),),MATCH(内訳計算!AJ$6,単価表!$AY$63:$CC$63,0)),
INDEX(単価表!$AY$72:$CC$79,MATCH($V79&amp;$W79,INDEX(単価表!$AY$64:$AY$71&amp;単価表!$AZ$64:$AZ$71,),),MATCH(内訳計算!AJ$6,単価表!$AY$63:$CC$63,0))),0)*$Y79/25,0),0)</f>
        <v>0</v>
      </c>
      <c r="AK79" s="1023" cm="1">
        <f t="array" ref="AK79">IFERROR(ROUNDDOWN(IF(HLOOKUP($U79,加算と減算!$E$4:$P$10,2,FALSE)="○",IF(OR($U79=2,$U79=3),
INDEX(単価表!$AY$72:$CC$79,MATCH($V79&amp;$W79,INDEX(単価表!$AY$64:$AY$71&amp;単価表!$AZ$64:$AZ$71,),),MATCH(内訳計算!AK$6,単価表!$AY$63:$CC$63,0)),
INDEX(単価表!$AY$72:$CC$79,MATCH($V79&amp;$W79,INDEX(単価表!$AY$64:$AY$71&amp;単価表!$AZ$64:$AZ$71,),),MATCH(内訳計算!AK$6,単価表!$AY$63:$CC$63,0))),0)*$Y79/25,0),0)</f>
        <v>0</v>
      </c>
      <c r="AL79" s="1021" cm="1">
        <f t="array" ref="AL79">IFERROR(IF(HLOOKUP($U79,加算と減算!$E$4:$P$10,4,FALSE)="○",IF(OR($U79=2,$U79=3),
INDEX(単価表!$AY$72:$CC$79,MATCH($V79&amp;$W79,INDEX(単価表!$AY$64:$AY$71&amp;単価表!$AZ$64:$AZ$71,),),MATCH(内訳計算!AL$6,単価表!$AY$63:$CC$63,0)),
INDEX(単価表!$AY$72:$CC$79,MATCH($V79&amp;$W79,INDEX(単価表!$AY$64:$AY$71&amp;単価表!$AZ$64:$AZ$71,),),MATCH(内訳計算!AL$6,単価表!$AY$63:$CC$63,0))),0),0)</f>
        <v>0</v>
      </c>
      <c r="AM79" s="1022" cm="1">
        <f t="array" ref="AM79">IFERROR(ROUNDDOWN(IF(HLOOKUP($U79,加算と減算!$E$4:$P$10,4,FALSE)="○",IF(OR($U79=2,$U79=3),
INDEX(単価表!$AY$72:$CC$79,MATCH($V79&amp;$W79,INDEX(単価表!$AY$64:$AY$71&amp;単価表!$AZ$64:$AZ$71,),),MATCH(内訳計算!AM$6,単価表!$AY$63:$CC$63,0)),
INDEX(単価表!$AY$72:$CC$79,MATCH($V79&amp;$W79,INDEX(単価表!$AY$64:$AY$71&amp;単価表!$AZ$64:$AZ$71,),),MATCH(内訳計算!AM$6,単価表!$AY$63:$CC$63,0))),0)*$Y79/25,0),0)</f>
        <v>0</v>
      </c>
      <c r="AN79" s="1022" cm="1">
        <f t="array" ref="AN79">IFERROR(ROUNDDOWN(IF(HLOOKUP($U79,加算と減算!$E$4:$P$10,4,FALSE)="○",IF(OR($U79=2,$U79=3),
INDEX(単価表!$AY$72:$CC$79,MATCH($V79&amp;$W79,INDEX(単価表!$AY$64:$AY$71&amp;単価表!$AZ$64:$AZ$71,),),MATCH(内訳計算!AN$6,単価表!$AY$63:$CC$63,0)),
INDEX(単価表!$AY$72:$CC$79,MATCH($V79&amp;$W79,INDEX(単価表!$AY$64:$AY$71&amp;単価表!$AZ$64:$AZ$71,),),MATCH(内訳計算!AN$6,単価表!$AY$63:$CC$63,0))),0)*$Y79/25,0),0)</f>
        <v>0</v>
      </c>
      <c r="AO79" s="1022" cm="1">
        <f t="array" ref="AO79">IFERROR(ROUNDDOWN(IF(HLOOKUP($U79,加算と減算!$E$4:$P$10,4,FALSE)="○",IF(OR($U79=2,$U79=3),
INDEX(単価表!$AY$72:$CC$79,MATCH($V79&amp;$W79,INDEX(単価表!$AY$64:$AY$71&amp;単価表!$AZ$64:$AZ$71,),),MATCH(内訳計算!AO$6,単価表!$AY$63:$CC$63,0)),
INDEX(単価表!$AY$72:$CC$79,MATCH($V79&amp;$W79,INDEX(単価表!$AY$64:$AY$71&amp;単価表!$AZ$64:$AZ$71,),),MATCH(内訳計算!AO$6,単価表!$AY$63:$CC$63,0))),0)*$Y79/25,0),0)</f>
        <v>0</v>
      </c>
      <c r="AP79" s="1022" cm="1">
        <f t="array" ref="AP79">IFERROR(ROUNDDOWN(IF(HLOOKUP($U79,加算と減算!$E$4:$P$10,4,FALSE)="○",IF(OR($U79=2,$U79=3),
INDEX(単価表!$AY$72:$CC$79,MATCH($V79&amp;$W79,INDEX(単価表!$AY$64:$AY$71&amp;単価表!$AZ$64:$AZ$71,),),MATCH(内訳計算!AP$6,単価表!$AY$63:$CC$63,0)),
INDEX(単価表!$AY$72:$CC$79,MATCH($V79&amp;$W79,INDEX(単価表!$AY$64:$AY$71&amp;単価表!$AZ$64:$AZ$71,),),MATCH(内訳計算!AP$6,単価表!$AY$63:$CC$63,0))),0)*$Y79/25,0),0)</f>
        <v>0</v>
      </c>
      <c r="AQ79" s="1023" cm="1">
        <f t="array" ref="AQ79">IFERROR(ROUNDDOWN(IF(HLOOKUP($U79,加算と減算!$E$4:$P$10,4,FALSE)="○",IF(OR($U79=2,$U79=3),
INDEX(単価表!$AY$72:$CC$79,MATCH($V79&amp;$W79,INDEX(単価表!$AY$64:$AY$71&amp;単価表!$AZ$64:$AZ$71,),),MATCH(内訳計算!AQ$6,単価表!$AY$63:$CC$63,0)),
INDEX(単価表!$AY$72:$CC$79,MATCH($V79&amp;$W79,INDEX(単価表!$AY$64:$AY$71&amp;単価表!$AZ$64:$AZ$71,),),MATCH(内訳計算!AQ$6,単価表!$AY$63:$CC$63,0))),0)*$Y79/25,0),0)</f>
        <v>0</v>
      </c>
      <c r="AR79" s="1021" cm="1">
        <f t="array" ref="AR79">IFERROR(IF(HLOOKUP($U79,加算と減算!$E$4:$P$10,5,FALSE)="○",IF(OR($U79=2,$U79=3),
INDEX(単価表!$AY$72:$CC$79,MATCH($V79&amp;$W79,INDEX(単価表!$AY$64:$AY$71&amp;単価表!$AZ$64:$AZ$71,),),MATCH(内訳計算!AR$6,単価表!$AY$63:$CC$63,0)),
INDEX(単価表!$AY$72:$CC$79,MATCH($V79&amp;$W79,INDEX(単価表!$AY$64:$AY$71&amp;単価表!$AZ$64:$AZ$71,),),MATCH(内訳計算!AR$6,単価表!$AY$63:$CC$63,0))),0),0)</f>
        <v>0</v>
      </c>
      <c r="AS79" s="1023" cm="1">
        <f t="array" ref="AS79">IFERROR(ROUNDDOWN(IF(HLOOKUP($U79,加算と減算!$E$4:$P$10,5,FALSE)="○",IF(OR($U79=2,$U79=3),
INDEX(単価表!$AY$72:$CC$79,MATCH($V79&amp;$W79,INDEX(単価表!$AY$64:$AY$71&amp;単価表!$AZ$64:$AZ$71,),),MATCH(内訳計算!AS$6,単価表!$AY$63:$CC$63,0)),
INDEX(単価表!$AY$72:$CC$79,MATCH($V79&amp;$W79,INDEX(単価表!$AY$64:$AY$71&amp;単価表!$AZ$64:$AZ$71,),),MATCH(内訳計算!AS$6,単価表!$AY$63:$CC$63,0))),0)*$Y79/25,0),0)</f>
        <v>0</v>
      </c>
      <c r="AT79" s="1021" cm="1">
        <f t="array" ref="AT79">IFERROR(IF(HLOOKUP($U79,加算と減算!$E$4:$P$10,6,FALSE)="○",IF(OR($U79=2,$U79=3),
INDEX(単価表!$AY$72:$CC$79,MATCH($V79&amp;$W79,INDEX(単価表!$AY$64:$AY$71&amp;単価表!$AZ$64:$AZ$71,),),MATCH(内訳計算!AT$6,単価表!$AY$63:$CC$63,0)),
INDEX(単価表!$AY$72:$CC$79,MATCH($V79&amp;$W79,INDEX(単価表!$AY$64:$AY$71&amp;単価表!$AZ$64:$AZ$71,),),MATCH(内訳計算!AT$6,単価表!$AY$63:$CC$63,0))),0),0)</f>
        <v>0</v>
      </c>
      <c r="AU79" s="1023" cm="1">
        <f t="array" ref="AU79">IFERROR(ROUNDDOWN(IF(HLOOKUP($U79,加算と減算!$E$4:$P$10,6,FALSE)="○",IF(OR($U79=2,$U79=3),
INDEX(単価表!$AY$72:$CC$79,MATCH($V79&amp;$W79,INDEX(単価表!$AY$64:$AY$71&amp;単価表!$AZ$64:$AZ$71,),),MATCH(内訳計算!AU$6,単価表!$AY$63:$CC$63,0)),
INDEX(単価表!$AY$72:$CC$79,MATCH($V79&amp;$W79,INDEX(単価表!$AY$64:$AY$71&amp;単価表!$AZ$64:$AZ$71,),),MATCH(内訳計算!AU$6,単価表!$AY$63:$CC$63,0))),0)*$Y79/25,0),0)</f>
        <v>0</v>
      </c>
      <c r="AV79" s="1021" cm="1">
        <f t="array" ref="AV79">IFERROR(IF(HLOOKUP($U79,加算と減算!$E$4:$P$10,7,FALSE)="○",IF(OR($U79=2,$U79=3),
INDEX(単価表!$AY$72:$CC$79,MATCH($V79&amp;$W79,INDEX(単価表!$AY$64:$AY$71&amp;単価表!$AZ$64:$AZ$71,),),MATCH(内訳計算!AV$6,単価表!$AY$63:$CC$63,0)),
INDEX(単価表!$AY$72:$CC$79,MATCH($V79&amp;$W79,INDEX(単価表!$AY$64:$AY$71&amp;単価表!$AZ$64:$AZ$71,),),MATCH(内訳計算!AV$6,単価表!$AY$63:$CC$63,0))),0),0)</f>
        <v>0</v>
      </c>
      <c r="AW79" s="1022" cm="1">
        <f t="array" ref="AW79">IFERROR(ROUNDDOWN(IF(HLOOKUP($U79,加算と減算!$E$4:$P$10,7,FALSE)="○",IF(OR($U79=2,$U79=3),
INDEX(単価表!$AY$72:$CC$79,MATCH($V79&amp;$W79,INDEX(単価表!$AY$64:$AY$71&amp;単価表!$AZ$64:$AZ$71,),),MATCH(内訳計算!AW$6,単価表!$AY$63:$CC$63,0)),
INDEX(単価表!$AY$72:$CC$79,MATCH($V79&amp;$W79,INDEX(単価表!$AY$64:$AY$71&amp;単価表!$AZ$64:$AZ$71,),),MATCH(内訳計算!AW$6,単価表!$AY$63:$CC$63,0))),0)*$Y79/25,0),0)</f>
        <v>0</v>
      </c>
      <c r="AX79" s="1022" cm="1">
        <f t="array" ref="AX79">IFERROR(ROUNDDOWN(IF(HLOOKUP($U79,加算と減算!$E$4:$P$10,7,FALSE)="○",IF(OR($U79=2,$U79=3),
INDEX(単価表!$AY$72:$CC$79,MATCH($V79&amp;$W79,INDEX(単価表!$AY$64:$AY$71&amp;単価表!$AZ$64:$AZ$71,),),MATCH(内訳計算!AX$6,単価表!$AY$63:$CC$63,0)),
INDEX(単価表!$AY$72:$CC$79,MATCH($V79&amp;$W79,INDEX(単価表!$AY$64:$AY$71&amp;単価表!$AZ$64:$AZ$71,),),MATCH(内訳計算!AX$6,単価表!$AY$63:$CC$63,0))),0)*$Y79/25,0),0)</f>
        <v>0</v>
      </c>
      <c r="AY79" s="1023" cm="1">
        <f t="array" ref="AY79">IFERROR(ROUNDDOWN(IF(HLOOKUP($U79,加算と減算!$E$4:$P$10,7,FALSE)="○",IF(OR($U79=2,$U79=3),
INDEX(単価表!$AY$72:$CC$79,MATCH($V79&amp;$W79,INDEX(単価表!$AY$64:$AY$71&amp;単価表!$AZ$64:$AZ$71,),),MATCH(内訳計算!AY$6,単価表!$AY$63:$CC$63,0)),
INDEX(単価表!$AY$72:$CC$79,MATCH($V79&amp;$W79,INDEX(単価表!$AY$64:$AY$71&amp;単価表!$AZ$64:$AZ$71,),),MATCH(内訳計算!AY$6,単価表!$AY$63:$CC$63,0))),0)*$Y79/25,0),0)</f>
        <v>0</v>
      </c>
      <c r="AZ79" s="1021" cm="1">
        <f t="array" ref="AZ79">IFERROR(IF(X79="○",INDEX(単価表!$AY$72:$CC$79,MATCH($V79&amp;$W79,INDEX(単価表!$AY$64:$AY$71&amp;単価表!$AZ$64:$AZ$71,),),MATCH(内訳計算!AZ$6,単価表!$AY$63:$CC$63,0)),0),0)</f>
        <v>0</v>
      </c>
      <c r="BA79" s="1023" cm="1">
        <f t="array" ref="BA79">IFERROR(ROUNDDOWN(INDEX(単価表!$AY$72:$CC$79,MATCH($V79&amp;$W79,INDEX(単価表!$AY$64:$AY$71&amp;単価表!$AZ$64:$AZ$71,),),MATCH(内訳計算!BA$6,単価表!$AY$63:$CC$63,0))*$Y79/25,0),0)</f>
        <v>0</v>
      </c>
      <c r="BB79" s="1021" cm="1">
        <f t="array" ref="BB79">IFERROR(INDEX(単価表!$AY$72:$CC$79,MATCH($V79&amp;$W79,INDEX(単価表!$AY$64:$AY$71&amp;単価表!$AZ$64:$AZ$71,),),MATCH(内訳計算!BB$6,単価表!$AY$63:$CC$63,0)),0)</f>
        <v>0</v>
      </c>
      <c r="BC79" s="1023" cm="1">
        <f t="array" ref="BC79">IFERROR(ROUNDDOWN(INDEX(単価表!$AY$72:$CC$79,MATCH($V79&amp;$W79,INDEX(単価表!$AY$64:$AY$71&amp;単価表!$AZ$64:$AZ$71,),),MATCH(内訳計算!BC$6,単価表!$AY$63:$CC$63,0))*$Y79/25,0),0)</f>
        <v>0</v>
      </c>
      <c r="BD79" s="985">
        <f>IFERROR(IF(HLOOKUP($U79,加算と減算!$E$31:$P$32,2,FALSE)="○",IF(OR($U79=2,$U79=3),-(単価表!$AZ$23+単価表!$BA$23*基本情報!$G$7),-(単価表!$AZ$23+単価表!$BA$23*基本情報!$G$7)),0),0)</f>
        <v>0</v>
      </c>
      <c r="BE79" s="1007" t="e">
        <f t="shared" si="116"/>
        <v>#VALUE!</v>
      </c>
      <c r="BF79" s="1007" t="e">
        <f t="shared" si="117"/>
        <v>#VALUE!</v>
      </c>
      <c r="BG79" s="1030" t="e">
        <f t="shared" si="118"/>
        <v>#N/A</v>
      </c>
      <c r="BH79" s="1031">
        <f>IFERROR(IF(基本情報!$E$12&lt;&gt;"",-ROUNDDOWN((AA79+AE79+AH79+AL79)*基本情報!$H$13/100,-1),0),0)</f>
        <v>0</v>
      </c>
      <c r="BI79" s="1007" t="e">
        <f t="shared" si="119"/>
        <v>#VALUE!</v>
      </c>
      <c r="BJ79" s="1007" t="e">
        <f t="shared" si="120"/>
        <v>#VALUE!</v>
      </c>
      <c r="BK79" s="1008" t="e">
        <f t="shared" si="121"/>
        <v>#N/A</v>
      </c>
      <c r="BL79" s="1031">
        <f t="shared" si="122"/>
        <v>0</v>
      </c>
      <c r="BM79" s="1007" t="e">
        <f t="shared" si="123"/>
        <v>#VALUE!</v>
      </c>
      <c r="BN79" s="1007" t="e">
        <f t="shared" si="124"/>
        <v>#VALUE!</v>
      </c>
      <c r="BO79" s="1008" t="e">
        <f t="shared" si="125"/>
        <v>#N/A</v>
      </c>
      <c r="BP79" s="1006">
        <f>IFERROR(-ROUNDUP(SUM(AA79,AE79,AH79,AL79,AR79,AT79,AV79,BD79,BH79,BL79)*基本情報!$H$15/100,-1),0)</f>
        <v>0</v>
      </c>
      <c r="BQ79" s="1007" t="e">
        <f t="shared" si="126"/>
        <v>#VALUE!</v>
      </c>
      <c r="BR79" s="1007" t="e">
        <f t="shared" si="127"/>
        <v>#VALUE!</v>
      </c>
      <c r="BS79" s="1008" t="e">
        <f t="shared" si="128"/>
        <v>#N/A</v>
      </c>
      <c r="BT79" s="721"/>
      <c r="BU79" s="1043" t="e">
        <f t="shared" si="129"/>
        <v>#VALUE!</v>
      </c>
      <c r="BV79" s="1044" t="e">
        <f t="shared" si="130"/>
        <v>#VALUE!</v>
      </c>
      <c r="BW79" s="1044" t="e">
        <f t="shared" si="131"/>
        <v>#N/A</v>
      </c>
      <c r="BX79" s="1051">
        <f t="shared" si="132"/>
        <v>0</v>
      </c>
      <c r="BY79" s="1045">
        <f t="shared" si="133"/>
        <v>0</v>
      </c>
      <c r="CW79" s="1683" t="s">
        <v>720</v>
      </c>
      <c r="CX79" s="1683"/>
      <c r="CY79" s="1684">
        <f>集計!D12</f>
        <v>0</v>
      </c>
      <c r="CZ79" s="1685"/>
      <c r="DC79" s="1680"/>
      <c r="DD79" s="1680"/>
      <c r="DE79" s="1680"/>
      <c r="DF79" s="1680"/>
      <c r="DG79" s="1680"/>
      <c r="DH79" s="1680"/>
      <c r="DI79" s="1680"/>
      <c r="DJ79" s="1680"/>
    </row>
    <row r="80" spans="1:114" ht="19.5" customHeight="1">
      <c r="A80" s="1640"/>
      <c r="B80" s="1525" t="s">
        <v>587</v>
      </c>
      <c r="C80" s="1526"/>
      <c r="D80" s="1526"/>
      <c r="E80" s="802">
        <f>E77-E78-E79</f>
        <v>0</v>
      </c>
      <c r="F80" s="802">
        <f t="shared" ref="F80:P80" si="151">F77-F78-F79</f>
        <v>0</v>
      </c>
      <c r="G80" s="802">
        <f t="shared" si="151"/>
        <v>0</v>
      </c>
      <c r="H80" s="802">
        <f t="shared" si="151"/>
        <v>0</v>
      </c>
      <c r="I80" s="802">
        <f t="shared" si="151"/>
        <v>0</v>
      </c>
      <c r="J80" s="802">
        <f t="shared" si="151"/>
        <v>0</v>
      </c>
      <c r="K80" s="802">
        <f t="shared" si="151"/>
        <v>0</v>
      </c>
      <c r="L80" s="802">
        <f t="shared" si="151"/>
        <v>0</v>
      </c>
      <c r="M80" s="802">
        <f t="shared" si="151"/>
        <v>0</v>
      </c>
      <c r="N80" s="802">
        <f t="shared" si="151"/>
        <v>0</v>
      </c>
      <c r="O80" s="802">
        <f t="shared" si="151"/>
        <v>0</v>
      </c>
      <c r="P80" s="802">
        <f t="shared" si="151"/>
        <v>0</v>
      </c>
      <c r="Q80" s="801"/>
      <c r="T80" s="682">
        <v>19</v>
      </c>
      <c r="U80" s="918">
        <f>月途中入退所情報!D49</f>
        <v>0</v>
      </c>
      <c r="V80" s="918">
        <f>月途中入退所情報!H49</f>
        <v>0</v>
      </c>
      <c r="W80" s="918">
        <f>月途中入退所情報!G49</f>
        <v>0</v>
      </c>
      <c r="X80" s="945">
        <f>月途中入退所情報!I49</f>
        <v>0</v>
      </c>
      <c r="Y80" s="918">
        <f>月途中入退所情報!J49</f>
        <v>0</v>
      </c>
      <c r="Z80" s="993">
        <f t="shared" si="114"/>
        <v>0</v>
      </c>
      <c r="AA80" s="1021" cm="1">
        <f t="array" ref="AA80">IFERROR(IF(OR($U80=2,$U80=3),
INDEX(単価表!$AY$72:$CC$79,MATCH($V80&amp;$W80,INDEX(単価表!$AY$64:$AY$71&amp;単価表!$AZ$64:$AZ$71,),),MATCH(内訳計算!AA$6,単価表!$AY$63:$CC$63,0)),
INDEX(単価表!$AY$72:$CC$79,MATCH($V80&amp;$W80,INDEX(単価表!$AY$64:$AY$71&amp;単価表!$AZ$64:$AZ$71,),),MATCH(内訳計算!AA$6,単価表!$AY$63:$CC$63,0))),0)</f>
        <v>0</v>
      </c>
      <c r="AB80" s="1022" t="e">
        <f t="shared" si="115"/>
        <v>#VALUE!</v>
      </c>
      <c r="AC80" s="1022" cm="1">
        <f t="array" ref="AC80">IFERROR(ROUNDDOWN(IF(OR($U80=2,$U80=3),
INDEX(単価表!$AY$72:$CC$79,MATCH($V80&amp;$W80,INDEX(単価表!$AY$64:$AY$71&amp;単価表!$AZ$64:$AZ$71,),),MATCH(内訳計算!AC$6,単価表!$AY$63:$CC$63,0)),
INDEX(単価表!$AY$72:$CC$79,MATCH($V80&amp;$W80,INDEX(単価表!$AY$64:$AY$71&amp;単価表!$AZ$64:$AZ$71,),),MATCH(内訳計算!AC$6,単価表!$AY$63:$CC$63,0)))*$Y80/25,0),0)</f>
        <v>0</v>
      </c>
      <c r="AD80" s="1023" cm="1">
        <f t="array" ref="AD80">IFERROR(ROUNDDOWN(IF(OR($U80=2,$U80=3),
INDEX(単価表!$AY$72:$CC$79,MATCH($V80&amp;$W80,INDEX(単価表!$AY$64:$AY$71&amp;単価表!$AZ$64:$AZ$71,),),MATCH(内訳計算!AD$6,単価表!$AY$63:$CC$63,0)),
INDEX(単価表!$AY$72:$CC$79,MATCH($V80&amp;$W80,INDEX(単価表!$AY$64:$AY$71&amp;単価表!$AZ$64:$AZ$71,),),MATCH(内訳計算!AD$6,単価表!$AY$63:$CC$63,0)))*$Y80/25,0),0)</f>
        <v>0</v>
      </c>
      <c r="AE80" s="1021" cm="1">
        <f t="array" ref="AE80">IFERROR(IF(OR($U80=2,$U80=3),
INDEX(単価表!$AY$72:$CC$79,MATCH($V80&amp;$W80,INDEX(単価表!$AY$64:$AY$71&amp;単価表!$AZ$64:$AZ$71,),),MATCH(内訳計算!AE$6,単価表!$AY$63:$CC$63,0)),
INDEX(単価表!$AY$72:$CC$79,MATCH($V80&amp;$W80,INDEX(単価表!$AY$64:$AY$71&amp;単価表!$AZ$64:$AZ$71,),),MATCH(内訳計算!AE$6,単価表!$AY$63:$CC$63,0))),0)</f>
        <v>0</v>
      </c>
      <c r="AF80" s="1022" cm="1">
        <f t="array" ref="AF80">IFERROR(ROUNDDOWN(IF(OR($U80=2,$U80=3),
INDEX(単価表!$AY$72:$CC$79,MATCH($V80&amp;$W80,INDEX(単価表!$AY$64:$AY$71&amp;単価表!$AZ$64:$AZ$71,),),MATCH(内訳計算!AF$6,単価表!$AY$63:$CC$63,0)),
INDEX(単価表!$AY$72:$CC$79,MATCH($V80&amp;$W80,INDEX(単価表!$AY$64:$AY$71&amp;単価表!$AZ$64:$AZ$71,),),MATCH(内訳計算!AF$6,単価表!$AY$63:$CC$63,0)))*$Y80/25,0),0)</f>
        <v>0</v>
      </c>
      <c r="AG80" s="1023" cm="1">
        <f t="array" ref="AG80">IFERROR(ROUNDDOWN(IF(OR($U80=2,$U80=3),
INDEX(単価表!$AY$72:$CC$79,MATCH($V80&amp;$W80,INDEX(単価表!$AY$64:$AY$71&amp;単価表!$AZ$64:$AZ$71,),),MATCH(内訳計算!AG$6,単価表!$AY$63:$CC$63,0)),
INDEX(単価表!$AY$72:$CC$79,MATCH($V80&amp;$W80,INDEX(単価表!$AY$64:$AY$71&amp;単価表!$AZ$64:$AZ$71,),),MATCH(内訳計算!AG$6,単価表!$AY$63:$CC$63,0)))*$Y80/25,0),0)</f>
        <v>0</v>
      </c>
      <c r="AH80" s="1021" cm="1">
        <f t="array" ref="AH80">IFERROR(IF(HLOOKUP($U80,加算と減算!$E$4:$P$10,2,FALSE)="○",IF(OR($U80=2,$U80=3),
INDEX(単価表!$AY$72:$CC$79,MATCH($V80&amp;$W80,INDEX(単価表!$AY$64:$AY$71&amp;単価表!$AZ$64:$AZ$71,),),MATCH(内訳計算!AH$6,単価表!$AY$63:$CC$63,0)),
INDEX(単価表!$AY$72:$CC$79,MATCH($V80&amp;$W80,INDEX(単価表!$AY$64:$AY$71&amp;単価表!$AZ$64:$AZ$71,),),MATCH(内訳計算!AH$6,単価表!$AY$63:$CC$63,0))),0),0)</f>
        <v>0</v>
      </c>
      <c r="AI80" s="1024" cm="1">
        <f t="array" ref="AI80">IFERROR(ROUNDDOWN(IF(HLOOKUP($U80,加算と減算!$E$4:$P$10,2,FALSE)="○",IF(OR($U80=2,$U80=3),
INDEX(単価表!$AY$72:$CC$79,MATCH($V80&amp;$W80,INDEX(単価表!$AY$64:$AY$71&amp;単価表!$AZ$64:$AZ$71,),),MATCH(内訳計算!AI$6,単価表!$AY$63:$CC$63,0)),
INDEX(単価表!$AY$72:$CC$79,MATCH($V80&amp;$W80,INDEX(単価表!$AY$64:$AY$71&amp;単価表!$AZ$64:$AZ$71,),),MATCH(内訳計算!AI$6,単価表!$AY$63:$CC$63,0))),0)*$Y80/25,0),0)</f>
        <v>0</v>
      </c>
      <c r="AJ80" s="1022" cm="1">
        <f t="array" ref="AJ80">IFERROR(ROUNDDOWN(IF(HLOOKUP($U80,加算と減算!$E$4:$P$10,2,FALSE)="○",IF(OR($U80=2,$U80=3),
INDEX(単価表!$AY$72:$CC$79,MATCH($V80&amp;$W80,INDEX(単価表!$AY$64:$AY$71&amp;単価表!$AZ$64:$AZ$71,),),MATCH(内訳計算!AJ$6,単価表!$AY$63:$CC$63,0)),
INDEX(単価表!$AY$72:$CC$79,MATCH($V80&amp;$W80,INDEX(単価表!$AY$64:$AY$71&amp;単価表!$AZ$64:$AZ$71,),),MATCH(内訳計算!AJ$6,単価表!$AY$63:$CC$63,0))),0)*$Y80/25,0),0)</f>
        <v>0</v>
      </c>
      <c r="AK80" s="1023" cm="1">
        <f t="array" ref="AK80">IFERROR(ROUNDDOWN(IF(HLOOKUP($U80,加算と減算!$E$4:$P$10,2,FALSE)="○",IF(OR($U80=2,$U80=3),
INDEX(単価表!$AY$72:$CC$79,MATCH($V80&amp;$W80,INDEX(単価表!$AY$64:$AY$71&amp;単価表!$AZ$64:$AZ$71,),),MATCH(内訳計算!AK$6,単価表!$AY$63:$CC$63,0)),
INDEX(単価表!$AY$72:$CC$79,MATCH($V80&amp;$W80,INDEX(単価表!$AY$64:$AY$71&amp;単価表!$AZ$64:$AZ$71,),),MATCH(内訳計算!AK$6,単価表!$AY$63:$CC$63,0))),0)*$Y80/25,0),0)</f>
        <v>0</v>
      </c>
      <c r="AL80" s="1021" cm="1">
        <f t="array" ref="AL80">IFERROR(IF(HLOOKUP($U80,加算と減算!$E$4:$P$10,4,FALSE)="○",IF(OR($U80=2,$U80=3),
INDEX(単価表!$AY$72:$CC$79,MATCH($V80&amp;$W80,INDEX(単価表!$AY$64:$AY$71&amp;単価表!$AZ$64:$AZ$71,),),MATCH(内訳計算!AL$6,単価表!$AY$63:$CC$63,0)),
INDEX(単価表!$AY$72:$CC$79,MATCH($V80&amp;$W80,INDEX(単価表!$AY$64:$AY$71&amp;単価表!$AZ$64:$AZ$71,),),MATCH(内訳計算!AL$6,単価表!$AY$63:$CC$63,0))),0),0)</f>
        <v>0</v>
      </c>
      <c r="AM80" s="1022" cm="1">
        <f t="array" ref="AM80">IFERROR(ROUNDDOWN(IF(HLOOKUP($U80,加算と減算!$E$4:$P$10,4,FALSE)="○",IF(OR($U80=2,$U80=3),
INDEX(単価表!$AY$72:$CC$79,MATCH($V80&amp;$W80,INDEX(単価表!$AY$64:$AY$71&amp;単価表!$AZ$64:$AZ$71,),),MATCH(内訳計算!AM$6,単価表!$AY$63:$CC$63,0)),
INDEX(単価表!$AY$72:$CC$79,MATCH($V80&amp;$W80,INDEX(単価表!$AY$64:$AY$71&amp;単価表!$AZ$64:$AZ$71,),),MATCH(内訳計算!AM$6,単価表!$AY$63:$CC$63,0))),0)*$Y80/25,0),0)</f>
        <v>0</v>
      </c>
      <c r="AN80" s="1022" cm="1">
        <f t="array" ref="AN80">IFERROR(ROUNDDOWN(IF(HLOOKUP($U80,加算と減算!$E$4:$P$10,4,FALSE)="○",IF(OR($U80=2,$U80=3),
INDEX(単価表!$AY$72:$CC$79,MATCH($V80&amp;$W80,INDEX(単価表!$AY$64:$AY$71&amp;単価表!$AZ$64:$AZ$71,),),MATCH(内訳計算!AN$6,単価表!$AY$63:$CC$63,0)),
INDEX(単価表!$AY$72:$CC$79,MATCH($V80&amp;$W80,INDEX(単価表!$AY$64:$AY$71&amp;単価表!$AZ$64:$AZ$71,),),MATCH(内訳計算!AN$6,単価表!$AY$63:$CC$63,0))),0)*$Y80/25,0),0)</f>
        <v>0</v>
      </c>
      <c r="AO80" s="1022" cm="1">
        <f t="array" ref="AO80">IFERROR(ROUNDDOWN(IF(HLOOKUP($U80,加算と減算!$E$4:$P$10,4,FALSE)="○",IF(OR($U80=2,$U80=3),
INDEX(単価表!$AY$72:$CC$79,MATCH($V80&amp;$W80,INDEX(単価表!$AY$64:$AY$71&amp;単価表!$AZ$64:$AZ$71,),),MATCH(内訳計算!AO$6,単価表!$AY$63:$CC$63,0)),
INDEX(単価表!$AY$72:$CC$79,MATCH($V80&amp;$W80,INDEX(単価表!$AY$64:$AY$71&amp;単価表!$AZ$64:$AZ$71,),),MATCH(内訳計算!AO$6,単価表!$AY$63:$CC$63,0))),0)*$Y80/25,0),0)</f>
        <v>0</v>
      </c>
      <c r="AP80" s="1022" cm="1">
        <f t="array" ref="AP80">IFERROR(ROUNDDOWN(IF(HLOOKUP($U80,加算と減算!$E$4:$P$10,4,FALSE)="○",IF(OR($U80=2,$U80=3),
INDEX(単価表!$AY$72:$CC$79,MATCH($V80&amp;$W80,INDEX(単価表!$AY$64:$AY$71&amp;単価表!$AZ$64:$AZ$71,),),MATCH(内訳計算!AP$6,単価表!$AY$63:$CC$63,0)),
INDEX(単価表!$AY$72:$CC$79,MATCH($V80&amp;$W80,INDEX(単価表!$AY$64:$AY$71&amp;単価表!$AZ$64:$AZ$71,),),MATCH(内訳計算!AP$6,単価表!$AY$63:$CC$63,0))),0)*$Y80/25,0),0)</f>
        <v>0</v>
      </c>
      <c r="AQ80" s="1023" cm="1">
        <f t="array" ref="AQ80">IFERROR(ROUNDDOWN(IF(HLOOKUP($U80,加算と減算!$E$4:$P$10,4,FALSE)="○",IF(OR($U80=2,$U80=3),
INDEX(単価表!$AY$72:$CC$79,MATCH($V80&amp;$W80,INDEX(単価表!$AY$64:$AY$71&amp;単価表!$AZ$64:$AZ$71,),),MATCH(内訳計算!AQ$6,単価表!$AY$63:$CC$63,0)),
INDEX(単価表!$AY$72:$CC$79,MATCH($V80&amp;$W80,INDEX(単価表!$AY$64:$AY$71&amp;単価表!$AZ$64:$AZ$71,),),MATCH(内訳計算!AQ$6,単価表!$AY$63:$CC$63,0))),0)*$Y80/25,0),0)</f>
        <v>0</v>
      </c>
      <c r="AR80" s="1021" cm="1">
        <f t="array" ref="AR80">IFERROR(IF(HLOOKUP($U80,加算と減算!$E$4:$P$10,5,FALSE)="○",IF(OR($U80=2,$U80=3),
INDEX(単価表!$AY$72:$CC$79,MATCH($V80&amp;$W80,INDEX(単価表!$AY$64:$AY$71&amp;単価表!$AZ$64:$AZ$71,),),MATCH(内訳計算!AR$6,単価表!$AY$63:$CC$63,0)),
INDEX(単価表!$AY$72:$CC$79,MATCH($V80&amp;$W80,INDEX(単価表!$AY$64:$AY$71&amp;単価表!$AZ$64:$AZ$71,),),MATCH(内訳計算!AR$6,単価表!$AY$63:$CC$63,0))),0),0)</f>
        <v>0</v>
      </c>
      <c r="AS80" s="1023" cm="1">
        <f t="array" ref="AS80">IFERROR(ROUNDDOWN(IF(HLOOKUP($U80,加算と減算!$E$4:$P$10,5,FALSE)="○",IF(OR($U80=2,$U80=3),
INDEX(単価表!$AY$72:$CC$79,MATCH($V80&amp;$W80,INDEX(単価表!$AY$64:$AY$71&amp;単価表!$AZ$64:$AZ$71,),),MATCH(内訳計算!AS$6,単価表!$AY$63:$CC$63,0)),
INDEX(単価表!$AY$72:$CC$79,MATCH($V80&amp;$W80,INDEX(単価表!$AY$64:$AY$71&amp;単価表!$AZ$64:$AZ$71,),),MATCH(内訳計算!AS$6,単価表!$AY$63:$CC$63,0))),0)*$Y80/25,0),0)</f>
        <v>0</v>
      </c>
      <c r="AT80" s="1021" cm="1">
        <f t="array" ref="AT80">IFERROR(IF(HLOOKUP($U80,加算と減算!$E$4:$P$10,6,FALSE)="○",IF(OR($U80=2,$U80=3),
INDEX(単価表!$AY$72:$CC$79,MATCH($V80&amp;$W80,INDEX(単価表!$AY$64:$AY$71&amp;単価表!$AZ$64:$AZ$71,),),MATCH(内訳計算!AT$6,単価表!$AY$63:$CC$63,0)),
INDEX(単価表!$AY$72:$CC$79,MATCH($V80&amp;$W80,INDEX(単価表!$AY$64:$AY$71&amp;単価表!$AZ$64:$AZ$71,),),MATCH(内訳計算!AT$6,単価表!$AY$63:$CC$63,0))),0),0)</f>
        <v>0</v>
      </c>
      <c r="AU80" s="1023" cm="1">
        <f t="array" ref="AU80">IFERROR(ROUNDDOWN(IF(HLOOKUP($U80,加算と減算!$E$4:$P$10,6,FALSE)="○",IF(OR($U80=2,$U80=3),
INDEX(単価表!$AY$72:$CC$79,MATCH($V80&amp;$W80,INDEX(単価表!$AY$64:$AY$71&amp;単価表!$AZ$64:$AZ$71,),),MATCH(内訳計算!AU$6,単価表!$AY$63:$CC$63,0)),
INDEX(単価表!$AY$72:$CC$79,MATCH($V80&amp;$W80,INDEX(単価表!$AY$64:$AY$71&amp;単価表!$AZ$64:$AZ$71,),),MATCH(内訳計算!AU$6,単価表!$AY$63:$CC$63,0))),0)*$Y80/25,0),0)</f>
        <v>0</v>
      </c>
      <c r="AV80" s="1021" cm="1">
        <f t="array" ref="AV80">IFERROR(IF(HLOOKUP($U80,加算と減算!$E$4:$P$10,7,FALSE)="○",IF(OR($U80=2,$U80=3),
INDEX(単価表!$AY$72:$CC$79,MATCH($V80&amp;$W80,INDEX(単価表!$AY$64:$AY$71&amp;単価表!$AZ$64:$AZ$71,),),MATCH(内訳計算!AV$6,単価表!$AY$63:$CC$63,0)),
INDEX(単価表!$AY$72:$CC$79,MATCH($V80&amp;$W80,INDEX(単価表!$AY$64:$AY$71&amp;単価表!$AZ$64:$AZ$71,),),MATCH(内訳計算!AV$6,単価表!$AY$63:$CC$63,0))),0),0)</f>
        <v>0</v>
      </c>
      <c r="AW80" s="1022" cm="1">
        <f t="array" ref="AW80">IFERROR(ROUNDDOWN(IF(HLOOKUP($U80,加算と減算!$E$4:$P$10,7,FALSE)="○",IF(OR($U80=2,$U80=3),
INDEX(単価表!$AY$72:$CC$79,MATCH($V80&amp;$W80,INDEX(単価表!$AY$64:$AY$71&amp;単価表!$AZ$64:$AZ$71,),),MATCH(内訳計算!AW$6,単価表!$AY$63:$CC$63,0)),
INDEX(単価表!$AY$72:$CC$79,MATCH($V80&amp;$W80,INDEX(単価表!$AY$64:$AY$71&amp;単価表!$AZ$64:$AZ$71,),),MATCH(内訳計算!AW$6,単価表!$AY$63:$CC$63,0))),0)*$Y80/25,0),0)</f>
        <v>0</v>
      </c>
      <c r="AX80" s="1022" cm="1">
        <f t="array" ref="AX80">IFERROR(ROUNDDOWN(IF(HLOOKUP($U80,加算と減算!$E$4:$P$10,7,FALSE)="○",IF(OR($U80=2,$U80=3),
INDEX(単価表!$AY$72:$CC$79,MATCH($V80&amp;$W80,INDEX(単価表!$AY$64:$AY$71&amp;単価表!$AZ$64:$AZ$71,),),MATCH(内訳計算!AX$6,単価表!$AY$63:$CC$63,0)),
INDEX(単価表!$AY$72:$CC$79,MATCH($V80&amp;$W80,INDEX(単価表!$AY$64:$AY$71&amp;単価表!$AZ$64:$AZ$71,),),MATCH(内訳計算!AX$6,単価表!$AY$63:$CC$63,0))),0)*$Y80/25,0),0)</f>
        <v>0</v>
      </c>
      <c r="AY80" s="1023" cm="1">
        <f t="array" ref="AY80">IFERROR(ROUNDDOWN(IF(HLOOKUP($U80,加算と減算!$E$4:$P$10,7,FALSE)="○",IF(OR($U80=2,$U80=3),
INDEX(単価表!$AY$72:$CC$79,MATCH($V80&amp;$W80,INDEX(単価表!$AY$64:$AY$71&amp;単価表!$AZ$64:$AZ$71,),),MATCH(内訳計算!AY$6,単価表!$AY$63:$CC$63,0)),
INDEX(単価表!$AY$72:$CC$79,MATCH($V80&amp;$W80,INDEX(単価表!$AY$64:$AY$71&amp;単価表!$AZ$64:$AZ$71,),),MATCH(内訳計算!AY$6,単価表!$AY$63:$CC$63,0))),0)*$Y80/25,0),0)</f>
        <v>0</v>
      </c>
      <c r="AZ80" s="1021" cm="1">
        <f t="array" ref="AZ80">IFERROR(IF(X80="○",INDEX(単価表!$AY$72:$CC$79,MATCH($V80&amp;$W80,INDEX(単価表!$AY$64:$AY$71&amp;単価表!$AZ$64:$AZ$71,),),MATCH(内訳計算!AZ$6,単価表!$AY$63:$CC$63,0)),0),0)</f>
        <v>0</v>
      </c>
      <c r="BA80" s="1023" cm="1">
        <f t="array" ref="BA80">IFERROR(ROUNDDOWN(INDEX(単価表!$AY$72:$CC$79,MATCH($V80&amp;$W80,INDEX(単価表!$AY$64:$AY$71&amp;単価表!$AZ$64:$AZ$71,),),MATCH(内訳計算!BA$6,単価表!$AY$63:$CC$63,0))*$Y80/25,0),0)</f>
        <v>0</v>
      </c>
      <c r="BB80" s="1021" cm="1">
        <f t="array" ref="BB80">IFERROR(INDEX(単価表!$AY$72:$CC$79,MATCH($V80&amp;$W80,INDEX(単価表!$AY$64:$AY$71&amp;単価表!$AZ$64:$AZ$71,),),MATCH(内訳計算!BB$6,単価表!$AY$63:$CC$63,0)),0)</f>
        <v>0</v>
      </c>
      <c r="BC80" s="1023" cm="1">
        <f t="array" ref="BC80">IFERROR(ROUNDDOWN(INDEX(単価表!$AY$72:$CC$79,MATCH($V80&amp;$W80,INDEX(単価表!$AY$64:$AY$71&amp;単価表!$AZ$64:$AZ$71,),),MATCH(内訳計算!BC$6,単価表!$AY$63:$CC$63,0))*$Y80/25,0),0)</f>
        <v>0</v>
      </c>
      <c r="BD80" s="985">
        <f>IFERROR(IF(HLOOKUP($U80,加算と減算!$E$31:$P$32,2,FALSE)="○",IF(OR($U80=2,$U80=3),-(単価表!$AZ$23+単価表!$BA$23*基本情報!$G$7),-(単価表!$AZ$23+単価表!$BA$23*基本情報!$G$7)),0),0)</f>
        <v>0</v>
      </c>
      <c r="BE80" s="1007" t="e">
        <f t="shared" si="116"/>
        <v>#VALUE!</v>
      </c>
      <c r="BF80" s="1007" t="e">
        <f t="shared" si="117"/>
        <v>#VALUE!</v>
      </c>
      <c r="BG80" s="1030" t="e">
        <f t="shared" si="118"/>
        <v>#N/A</v>
      </c>
      <c r="BH80" s="1031">
        <f>IFERROR(IF(基本情報!$E$12&lt;&gt;"",-ROUNDDOWN((AA80+AE80+AH80+AL80)*基本情報!$H$13/100,-1),0),0)</f>
        <v>0</v>
      </c>
      <c r="BI80" s="1007" t="e">
        <f t="shared" si="119"/>
        <v>#VALUE!</v>
      </c>
      <c r="BJ80" s="1007" t="e">
        <f t="shared" si="120"/>
        <v>#VALUE!</v>
      </c>
      <c r="BK80" s="1008" t="e">
        <f t="shared" si="121"/>
        <v>#N/A</v>
      </c>
      <c r="BL80" s="1031">
        <f t="shared" si="122"/>
        <v>0</v>
      </c>
      <c r="BM80" s="1007" t="e">
        <f t="shared" si="123"/>
        <v>#VALUE!</v>
      </c>
      <c r="BN80" s="1007" t="e">
        <f t="shared" si="124"/>
        <v>#VALUE!</v>
      </c>
      <c r="BO80" s="1008" t="e">
        <f t="shared" si="125"/>
        <v>#N/A</v>
      </c>
      <c r="BP80" s="1006">
        <f>IFERROR(-ROUNDUP(SUM(AA80,AE80,AH80,AL80,AR80,AT80,AV80,BD80,BH80,BL80)*基本情報!$H$15/100,-1),0)</f>
        <v>0</v>
      </c>
      <c r="BQ80" s="1007" t="e">
        <f t="shared" si="126"/>
        <v>#VALUE!</v>
      </c>
      <c r="BR80" s="1007" t="e">
        <f t="shared" si="127"/>
        <v>#VALUE!</v>
      </c>
      <c r="BS80" s="1008" t="e">
        <f t="shared" si="128"/>
        <v>#N/A</v>
      </c>
      <c r="BT80" s="721"/>
      <c r="BU80" s="1043" t="e">
        <f t="shared" si="129"/>
        <v>#VALUE!</v>
      </c>
      <c r="BV80" s="1044" t="e">
        <f t="shared" si="130"/>
        <v>#VALUE!</v>
      </c>
      <c r="BW80" s="1044" t="e">
        <f t="shared" si="131"/>
        <v>#N/A</v>
      </c>
      <c r="BX80" s="1051">
        <f t="shared" si="132"/>
        <v>0</v>
      </c>
      <c r="BY80" s="1045">
        <f t="shared" si="133"/>
        <v>0</v>
      </c>
      <c r="CX80" s="974" t="s">
        <v>721</v>
      </c>
      <c r="CY80" s="1686" t="e">
        <f>CY78-CY79</f>
        <v>#VALUE!</v>
      </c>
      <c r="CZ80" s="1687"/>
      <c r="DC80" s="1680"/>
      <c r="DD80" s="1680"/>
      <c r="DE80" s="1680"/>
      <c r="DF80" s="1680"/>
      <c r="DG80" s="1680"/>
      <c r="DH80" s="1680"/>
      <c r="DI80" s="1680"/>
      <c r="DJ80" s="1680"/>
    </row>
    <row r="81" spans="1:114" ht="18.75" customHeight="1" thickBot="1">
      <c r="A81" s="1640"/>
      <c r="B81" s="803"/>
      <c r="C81" s="803"/>
      <c r="D81" s="803"/>
      <c r="E81" s="801"/>
      <c r="F81" s="801"/>
      <c r="G81" s="801"/>
      <c r="H81" s="801"/>
      <c r="I81" s="801"/>
      <c r="J81" s="801"/>
      <c r="K81" s="801"/>
      <c r="L81" s="801"/>
      <c r="M81" s="801"/>
      <c r="N81" s="801"/>
      <c r="O81" s="801"/>
      <c r="P81" s="801"/>
      <c r="Q81" s="801"/>
      <c r="T81" s="683">
        <v>20</v>
      </c>
      <c r="U81" s="946">
        <f>月途中入退所情報!D50</f>
        <v>0</v>
      </c>
      <c r="V81" s="946">
        <f>月途中入退所情報!H50</f>
        <v>0</v>
      </c>
      <c r="W81" s="946">
        <f>月途中入退所情報!G50</f>
        <v>0</v>
      </c>
      <c r="X81" s="947">
        <f>月途中入退所情報!I50</f>
        <v>0</v>
      </c>
      <c r="Y81" s="946">
        <f>月途中入退所情報!J50</f>
        <v>0</v>
      </c>
      <c r="Z81" s="869">
        <f t="shared" si="114"/>
        <v>0</v>
      </c>
      <c r="AA81" s="870" cm="1">
        <f t="array" ref="AA81">IFERROR(IF(OR($U81=2,$U81=3),
INDEX(単価表!$AY$72:$CC$79,MATCH($V81&amp;$W81,INDEX(単価表!$AY$64:$AY$71&amp;単価表!$AZ$64:$AZ$71,),),MATCH(内訳計算!AA$6,単価表!$AY$63:$CC$63,0)),
INDEX(単価表!$AY$72:$CC$79,MATCH($V81&amp;$W81,INDEX(単価表!$AY$64:$AY$71&amp;単価表!$AZ$64:$AZ$71,),),MATCH(内訳計算!AA$6,単価表!$AY$63:$CC$63,0))),0)</f>
        <v>0</v>
      </c>
      <c r="AB81" s="889" t="e">
        <f t="shared" si="115"/>
        <v>#VALUE!</v>
      </c>
      <c r="AC81" s="889" cm="1">
        <f t="array" ref="AC81">IFERROR(ROUNDDOWN(IF(OR($U81=2,$U81=3),
INDEX(単価表!$AY$72:$CC$79,MATCH($V81&amp;$W81,INDEX(単価表!$AY$64:$AY$71&amp;単価表!$AZ$64:$AZ$71,),),MATCH(内訳計算!AC$6,単価表!$AY$63:$CC$63,0)),
INDEX(単価表!$AY$72:$CC$79,MATCH($V81&amp;$W81,INDEX(単価表!$AY$64:$AY$71&amp;単価表!$AZ$64:$AZ$71,),),MATCH(内訳計算!AC$6,単価表!$AY$63:$CC$63,0)))*$Y81/25,0),0)</f>
        <v>0</v>
      </c>
      <c r="AD81" s="869" cm="1">
        <f t="array" ref="AD81">IFERROR(ROUNDDOWN(IF(OR($U81=2,$U81=3),
INDEX(単価表!$AY$72:$CC$79,MATCH($V81&amp;$W81,INDEX(単価表!$AY$64:$AY$71&amp;単価表!$AZ$64:$AZ$71,),),MATCH(内訳計算!AD$6,単価表!$AY$63:$CC$63,0)),
INDEX(単価表!$AY$72:$CC$79,MATCH($V81&amp;$W81,INDEX(単価表!$AY$64:$AY$71&amp;単価表!$AZ$64:$AZ$71,),),MATCH(内訳計算!AD$6,単価表!$AY$63:$CC$63,0)))*$Y81/25,0),0)</f>
        <v>0</v>
      </c>
      <c r="AE81" s="870" cm="1">
        <f t="array" ref="AE81">IFERROR(IF(OR($U81=2,$U81=3),
INDEX(単価表!$AY$72:$CC$79,MATCH($V81&amp;$W81,INDEX(単価表!$AY$64:$AY$71&amp;単価表!$AZ$64:$AZ$71,),),MATCH(内訳計算!AE$6,単価表!$AY$63:$CC$63,0)),
INDEX(単価表!$AY$72:$CC$79,MATCH($V81&amp;$W81,INDEX(単価表!$AY$64:$AY$71&amp;単価表!$AZ$64:$AZ$71,),),MATCH(内訳計算!AE$6,単価表!$AY$63:$CC$63,0))),0)</f>
        <v>0</v>
      </c>
      <c r="AF81" s="889" cm="1">
        <f t="array" ref="AF81">IFERROR(ROUNDDOWN(IF(OR($U81=2,$U81=3),
INDEX(単価表!$AY$72:$CC$79,MATCH($V81&amp;$W81,INDEX(単価表!$AY$64:$AY$71&amp;単価表!$AZ$64:$AZ$71,),),MATCH(内訳計算!AF$6,単価表!$AY$63:$CC$63,0)),
INDEX(単価表!$AY$72:$CC$79,MATCH($V81&amp;$W81,INDEX(単価表!$AY$64:$AY$71&amp;単価表!$AZ$64:$AZ$71,),),MATCH(内訳計算!AF$6,単価表!$AY$63:$CC$63,0)))*$Y81/25,0),0)</f>
        <v>0</v>
      </c>
      <c r="AG81" s="869" cm="1">
        <f t="array" ref="AG81">IFERROR(ROUNDDOWN(IF(OR($U81=2,$U81=3),
INDEX(単価表!$AY$72:$CC$79,MATCH($V81&amp;$W81,INDEX(単価表!$AY$64:$AY$71&amp;単価表!$AZ$64:$AZ$71,),),MATCH(内訳計算!AG$6,単価表!$AY$63:$CC$63,0)),
INDEX(単価表!$AY$72:$CC$79,MATCH($V81&amp;$W81,INDEX(単価表!$AY$64:$AY$71&amp;単価表!$AZ$64:$AZ$71,),),MATCH(内訳計算!AG$6,単価表!$AY$63:$CC$63,0)))*$Y81/25,0),0)</f>
        <v>0</v>
      </c>
      <c r="AH81" s="870" cm="1">
        <f t="array" ref="AH81">IFERROR(IF(HLOOKUP($U81,加算と減算!$E$4:$P$10,2,FALSE)="○",IF(OR($U81=2,$U81=3),
INDEX(単価表!$AY$72:$CC$79,MATCH($V81&amp;$W81,INDEX(単価表!$AY$64:$AY$71&amp;単価表!$AZ$64:$AZ$71,),),MATCH(内訳計算!AH$6,単価表!$AY$63:$CC$63,0)),
INDEX(単価表!$AY$72:$CC$79,MATCH($V81&amp;$W81,INDEX(単価表!$AY$64:$AY$71&amp;単価表!$AZ$64:$AZ$71,),),MATCH(内訳計算!AH$6,単価表!$AY$63:$CC$63,0))),0),0)</f>
        <v>0</v>
      </c>
      <c r="AI81" s="1032" cm="1">
        <f t="array" ref="AI81">IFERROR(ROUNDDOWN(IF(HLOOKUP($U81,加算と減算!$E$4:$P$10,2,FALSE)="○",IF(OR($U81=2,$U81=3),
INDEX(単価表!$AY$72:$CC$79,MATCH($V81&amp;$W81,INDEX(単価表!$AY$64:$AY$71&amp;単価表!$AZ$64:$AZ$71,),),MATCH(内訳計算!AI$6,単価表!$AY$63:$CC$63,0)),
INDEX(単価表!$AY$72:$CC$79,MATCH($V81&amp;$W81,INDEX(単価表!$AY$64:$AY$71&amp;単価表!$AZ$64:$AZ$71,),),MATCH(内訳計算!AI$6,単価表!$AY$63:$CC$63,0))),0)*$Y81/25,0),0)</f>
        <v>0</v>
      </c>
      <c r="AJ81" s="889" cm="1">
        <f t="array" ref="AJ81">IFERROR(ROUNDDOWN(IF(HLOOKUP($U81,加算と減算!$E$4:$P$10,2,FALSE)="○",IF(OR($U81=2,$U81=3),
INDEX(単価表!$AY$72:$CC$79,MATCH($V81&amp;$W81,INDEX(単価表!$AY$64:$AY$71&amp;単価表!$AZ$64:$AZ$71,),),MATCH(内訳計算!AJ$6,単価表!$AY$63:$CC$63,0)),
INDEX(単価表!$AY$72:$CC$79,MATCH($V81&amp;$W81,INDEX(単価表!$AY$64:$AY$71&amp;単価表!$AZ$64:$AZ$71,),),MATCH(内訳計算!AJ$6,単価表!$AY$63:$CC$63,0))),0)*$Y81/25,0),0)</f>
        <v>0</v>
      </c>
      <c r="AK81" s="869" cm="1">
        <f t="array" ref="AK81">IFERROR(ROUNDDOWN(IF(HLOOKUP($U81,加算と減算!$E$4:$P$10,2,FALSE)="○",IF(OR($U81=2,$U81=3),
INDEX(単価表!$AY$72:$CC$79,MATCH($V81&amp;$W81,INDEX(単価表!$AY$64:$AY$71&amp;単価表!$AZ$64:$AZ$71,),),MATCH(内訳計算!AK$6,単価表!$AY$63:$CC$63,0)),
INDEX(単価表!$AY$72:$CC$79,MATCH($V81&amp;$W81,INDEX(単価表!$AY$64:$AY$71&amp;単価表!$AZ$64:$AZ$71,),),MATCH(内訳計算!AK$6,単価表!$AY$63:$CC$63,0))),0)*$Y81/25,0),0)</f>
        <v>0</v>
      </c>
      <c r="AL81" s="870" cm="1">
        <f t="array" ref="AL81">IFERROR(IF(HLOOKUP($U81,加算と減算!$E$4:$P$10,4,FALSE)="○",IF(OR($U81=2,$U81=3),
INDEX(単価表!$AY$72:$CC$79,MATCH($V81&amp;$W81,INDEX(単価表!$AY$64:$AY$71&amp;単価表!$AZ$64:$AZ$71,),),MATCH(内訳計算!AL$6,単価表!$AY$63:$CC$63,0)),
INDEX(単価表!$AY$72:$CC$79,MATCH($V81&amp;$W81,INDEX(単価表!$AY$64:$AY$71&amp;単価表!$AZ$64:$AZ$71,),),MATCH(内訳計算!AL$6,単価表!$AY$63:$CC$63,0))),0),0)</f>
        <v>0</v>
      </c>
      <c r="AM81" s="889" cm="1">
        <f t="array" ref="AM81">IFERROR(ROUNDDOWN(IF(HLOOKUP($U81,加算と減算!$E$4:$P$10,4,FALSE)="○",IF(OR($U81=2,$U81=3),
INDEX(単価表!$AY$72:$CC$79,MATCH($V81&amp;$W81,INDEX(単価表!$AY$64:$AY$71&amp;単価表!$AZ$64:$AZ$71,),),MATCH(内訳計算!AM$6,単価表!$AY$63:$CC$63,0)),
INDEX(単価表!$AY$72:$CC$79,MATCH($V81&amp;$W81,INDEX(単価表!$AY$64:$AY$71&amp;単価表!$AZ$64:$AZ$71,),),MATCH(内訳計算!AM$6,単価表!$AY$63:$CC$63,0))),0)*$Y81/25,0),0)</f>
        <v>0</v>
      </c>
      <c r="AN81" s="889" cm="1">
        <f t="array" ref="AN81">IFERROR(ROUNDDOWN(IF(HLOOKUP($U81,加算と減算!$E$4:$P$10,4,FALSE)="○",IF(OR($U81=2,$U81=3),
INDEX(単価表!$AY$72:$CC$79,MATCH($V81&amp;$W81,INDEX(単価表!$AY$64:$AY$71&amp;単価表!$AZ$64:$AZ$71,),),MATCH(内訳計算!AN$6,単価表!$AY$63:$CC$63,0)),
INDEX(単価表!$AY$72:$CC$79,MATCH($V81&amp;$W81,INDEX(単価表!$AY$64:$AY$71&amp;単価表!$AZ$64:$AZ$71,),),MATCH(内訳計算!AN$6,単価表!$AY$63:$CC$63,0))),0)*$Y81/25,0),0)</f>
        <v>0</v>
      </c>
      <c r="AO81" s="889" cm="1">
        <f t="array" ref="AO81">IFERROR(ROUNDDOWN(IF(HLOOKUP($U81,加算と減算!$E$4:$P$10,4,FALSE)="○",IF(OR($U81=2,$U81=3),
INDEX(単価表!$AY$72:$CC$79,MATCH($V81&amp;$W81,INDEX(単価表!$AY$64:$AY$71&amp;単価表!$AZ$64:$AZ$71,),),MATCH(内訳計算!AO$6,単価表!$AY$63:$CC$63,0)),
INDEX(単価表!$AY$72:$CC$79,MATCH($V81&amp;$W81,INDEX(単価表!$AY$64:$AY$71&amp;単価表!$AZ$64:$AZ$71,),),MATCH(内訳計算!AO$6,単価表!$AY$63:$CC$63,0))),0)*$Y81/25,0),0)</f>
        <v>0</v>
      </c>
      <c r="AP81" s="889" cm="1">
        <f t="array" ref="AP81">IFERROR(ROUNDDOWN(IF(HLOOKUP($U81,加算と減算!$E$4:$P$10,4,FALSE)="○",IF(OR($U81=2,$U81=3),
INDEX(単価表!$AY$72:$CC$79,MATCH($V81&amp;$W81,INDEX(単価表!$AY$64:$AY$71&amp;単価表!$AZ$64:$AZ$71,),),MATCH(内訳計算!AP$6,単価表!$AY$63:$CC$63,0)),
INDEX(単価表!$AY$72:$CC$79,MATCH($V81&amp;$W81,INDEX(単価表!$AY$64:$AY$71&amp;単価表!$AZ$64:$AZ$71,),),MATCH(内訳計算!AP$6,単価表!$AY$63:$CC$63,0))),0)*$Y81/25,0),0)</f>
        <v>0</v>
      </c>
      <c r="AQ81" s="869" cm="1">
        <f t="array" ref="AQ81">IFERROR(ROUNDDOWN(IF(HLOOKUP($U81,加算と減算!$E$4:$P$10,4,FALSE)="○",IF(OR($U81=2,$U81=3),
INDEX(単価表!$AY$72:$CC$79,MATCH($V81&amp;$W81,INDEX(単価表!$AY$64:$AY$71&amp;単価表!$AZ$64:$AZ$71,),),MATCH(内訳計算!AQ$6,単価表!$AY$63:$CC$63,0)),
INDEX(単価表!$AY$72:$CC$79,MATCH($V81&amp;$W81,INDEX(単価表!$AY$64:$AY$71&amp;単価表!$AZ$64:$AZ$71,),),MATCH(内訳計算!AQ$6,単価表!$AY$63:$CC$63,0))),0)*$Y81/25,0),0)</f>
        <v>0</v>
      </c>
      <c r="AR81" s="870" cm="1">
        <f t="array" ref="AR81">IFERROR(IF(HLOOKUP($U81,加算と減算!$E$4:$P$10,5,FALSE)="○",IF(OR($U81=2,$U81=3),
INDEX(単価表!$AY$72:$CC$79,MATCH($V81&amp;$W81,INDEX(単価表!$AY$64:$AY$71&amp;単価表!$AZ$64:$AZ$71,),),MATCH(内訳計算!AR$6,単価表!$AY$63:$CC$63,0)),
INDEX(単価表!$AY$72:$CC$79,MATCH($V81&amp;$W81,INDEX(単価表!$AY$64:$AY$71&amp;単価表!$AZ$64:$AZ$71,),),MATCH(内訳計算!AR$6,単価表!$AY$63:$CC$63,0))),0),0)</f>
        <v>0</v>
      </c>
      <c r="AS81" s="869" cm="1">
        <f t="array" ref="AS81">IFERROR(ROUNDDOWN(IF(HLOOKUP($U81,加算と減算!$E$4:$P$10,5,FALSE)="○",IF(OR($U81=2,$U81=3),
INDEX(単価表!$AY$72:$CC$79,MATCH($V81&amp;$W81,INDEX(単価表!$AY$64:$AY$71&amp;単価表!$AZ$64:$AZ$71,),),MATCH(内訳計算!AS$6,単価表!$AY$63:$CC$63,0)),
INDEX(単価表!$AY$72:$CC$79,MATCH($V81&amp;$W81,INDEX(単価表!$AY$64:$AY$71&amp;単価表!$AZ$64:$AZ$71,),),MATCH(内訳計算!AS$6,単価表!$AY$63:$CC$63,0))),0)*$Y81/25,0),0)</f>
        <v>0</v>
      </c>
      <c r="AT81" s="870" cm="1">
        <f t="array" ref="AT81">IFERROR(IF(HLOOKUP($U81,加算と減算!$E$4:$P$10,6,FALSE)="○",IF(OR($U81=2,$U81=3),
INDEX(単価表!$AY$72:$CC$79,MATCH($V81&amp;$W81,INDEX(単価表!$AY$64:$AY$71&amp;単価表!$AZ$64:$AZ$71,),),MATCH(内訳計算!AT$6,単価表!$AY$63:$CC$63,0)),
INDEX(単価表!$AY$72:$CC$79,MATCH($V81&amp;$W81,INDEX(単価表!$AY$64:$AY$71&amp;単価表!$AZ$64:$AZ$71,),),MATCH(内訳計算!AT$6,単価表!$AY$63:$CC$63,0))),0),0)</f>
        <v>0</v>
      </c>
      <c r="AU81" s="869" cm="1">
        <f t="array" ref="AU81">IFERROR(ROUNDDOWN(IF(HLOOKUP($U81,加算と減算!$E$4:$P$10,6,FALSE)="○",IF(OR($U81=2,$U81=3),
INDEX(単価表!$AY$72:$CC$79,MATCH($V81&amp;$W81,INDEX(単価表!$AY$64:$AY$71&amp;単価表!$AZ$64:$AZ$71,),),MATCH(内訳計算!AU$6,単価表!$AY$63:$CC$63,0)),
INDEX(単価表!$AY$72:$CC$79,MATCH($V81&amp;$W81,INDEX(単価表!$AY$64:$AY$71&amp;単価表!$AZ$64:$AZ$71,),),MATCH(内訳計算!AU$6,単価表!$AY$63:$CC$63,0))),0)*$Y81/25,0),0)</f>
        <v>0</v>
      </c>
      <c r="AV81" s="870" cm="1">
        <f t="array" ref="AV81">IFERROR(IF(HLOOKUP($U81,加算と減算!$E$4:$P$10,7,FALSE)="○",IF(OR($U81=2,$U81=3),
INDEX(単価表!$AY$72:$CC$79,MATCH($V81&amp;$W81,INDEX(単価表!$AY$64:$AY$71&amp;単価表!$AZ$64:$AZ$71,),),MATCH(内訳計算!AV$6,単価表!$AY$63:$CC$63,0)),
INDEX(単価表!$AY$72:$CC$79,MATCH($V81&amp;$W81,INDEX(単価表!$AY$64:$AY$71&amp;単価表!$AZ$64:$AZ$71,),),MATCH(内訳計算!AV$6,単価表!$AY$63:$CC$63,0))),0),0)</f>
        <v>0</v>
      </c>
      <c r="AW81" s="889" cm="1">
        <f t="array" ref="AW81">IFERROR(ROUNDDOWN(IF(HLOOKUP($U81,加算と減算!$E$4:$P$10,7,FALSE)="○",IF(OR($U81=2,$U81=3),
INDEX(単価表!$AY$72:$CC$79,MATCH($V81&amp;$W81,INDEX(単価表!$AY$64:$AY$71&amp;単価表!$AZ$64:$AZ$71,),),MATCH(内訳計算!AW$6,単価表!$AY$63:$CC$63,0)),
INDEX(単価表!$AY$72:$CC$79,MATCH($V81&amp;$W81,INDEX(単価表!$AY$64:$AY$71&amp;単価表!$AZ$64:$AZ$71,),),MATCH(内訳計算!AW$6,単価表!$AY$63:$CC$63,0))),0)*$Y81/25,0),0)</f>
        <v>0</v>
      </c>
      <c r="AX81" s="889" cm="1">
        <f t="array" ref="AX81">IFERROR(ROUNDDOWN(IF(HLOOKUP($U81,加算と減算!$E$4:$P$10,7,FALSE)="○",IF(OR($U81=2,$U81=3),
INDEX(単価表!$AY$72:$CC$79,MATCH($V81&amp;$W81,INDEX(単価表!$AY$64:$AY$71&amp;単価表!$AZ$64:$AZ$71,),),MATCH(内訳計算!AX$6,単価表!$AY$63:$CC$63,0)),
INDEX(単価表!$AY$72:$CC$79,MATCH($V81&amp;$W81,INDEX(単価表!$AY$64:$AY$71&amp;単価表!$AZ$64:$AZ$71,),),MATCH(内訳計算!AX$6,単価表!$AY$63:$CC$63,0))),0)*$Y81/25,0),0)</f>
        <v>0</v>
      </c>
      <c r="AY81" s="869" cm="1">
        <f t="array" ref="AY81">IFERROR(ROUNDDOWN(IF(HLOOKUP($U81,加算と減算!$E$4:$P$10,7,FALSE)="○",IF(OR($U81=2,$U81=3),
INDEX(単価表!$AY$72:$CC$79,MATCH($V81&amp;$W81,INDEX(単価表!$AY$64:$AY$71&amp;単価表!$AZ$64:$AZ$71,),),MATCH(内訳計算!AY$6,単価表!$AY$63:$CC$63,0)),
INDEX(単価表!$AY$72:$CC$79,MATCH($V81&amp;$W81,INDEX(単価表!$AY$64:$AY$71&amp;単価表!$AZ$64:$AZ$71,),),MATCH(内訳計算!AY$6,単価表!$AY$63:$CC$63,0))),0)*$Y81/25,0),0)</f>
        <v>0</v>
      </c>
      <c r="AZ81" s="870" cm="1">
        <f t="array" ref="AZ81">IFERROR(IF(X81="○",INDEX(単価表!$AY$72:$CC$79,MATCH($V81&amp;$W81,INDEX(単価表!$AY$64:$AY$71&amp;単価表!$AZ$64:$AZ$71,),),MATCH(内訳計算!AZ$6,単価表!$AY$63:$CC$63,0)),0),0)</f>
        <v>0</v>
      </c>
      <c r="BA81" s="869" cm="1">
        <f t="array" ref="BA81">IFERROR(ROUNDDOWN(INDEX(単価表!$AY$72:$CC$79,MATCH($V81&amp;$W81,INDEX(単価表!$AY$64:$AY$71&amp;単価表!$AZ$64:$AZ$71,),),MATCH(内訳計算!BA$6,単価表!$AY$63:$CC$63,0))*$Y81/25,0),0)</f>
        <v>0</v>
      </c>
      <c r="BB81" s="870" cm="1">
        <f t="array" ref="BB81">IFERROR(INDEX(単価表!$AY$72:$CC$79,MATCH($V81&amp;$W81,INDEX(単価表!$AY$64:$AY$71&amp;単価表!$AZ$64:$AZ$71,),),MATCH(内訳計算!BB$6,単価表!$AY$63:$CC$63,0)),0)</f>
        <v>0</v>
      </c>
      <c r="BC81" s="869" cm="1">
        <f t="array" ref="BC81">IFERROR(ROUNDDOWN(INDEX(単価表!$AY$72:$CC$79,MATCH($V81&amp;$W81,INDEX(単価表!$AY$64:$AY$71&amp;単価表!$AZ$64:$AZ$71,),),MATCH(内訳計算!BC$6,単価表!$AY$63:$CC$63,0))*$Y81/25,0),0)</f>
        <v>0</v>
      </c>
      <c r="BD81" s="995">
        <f>IFERROR(IF(HLOOKUP($U81,加算と減算!$E$31:$P$32,2,FALSE)="○",IF(OR($U81=2,$U81=3),-(単価表!$AZ$23+単価表!$BA$23*基本情報!$G$7),-(単価表!$AZ$23+単価表!$BA$23*基本情報!$G$7)),0),0)</f>
        <v>0</v>
      </c>
      <c r="BE81" s="1013" t="e">
        <f t="shared" si="116"/>
        <v>#VALUE!</v>
      </c>
      <c r="BF81" s="1013" t="e">
        <f t="shared" si="117"/>
        <v>#VALUE!</v>
      </c>
      <c r="BG81" s="1033" t="e">
        <f t="shared" si="118"/>
        <v>#N/A</v>
      </c>
      <c r="BH81" s="1034">
        <f>IFERROR(IF(基本情報!$E$12&lt;&gt;"",-ROUNDDOWN((AA81+AE81+AH81+AL81)*基本情報!$H$13/100,-1),0),0)</f>
        <v>0</v>
      </c>
      <c r="BI81" s="1013" t="e">
        <f t="shared" si="119"/>
        <v>#VALUE!</v>
      </c>
      <c r="BJ81" s="1013" t="e">
        <f t="shared" si="120"/>
        <v>#VALUE!</v>
      </c>
      <c r="BK81" s="1014" t="e">
        <f t="shared" si="121"/>
        <v>#N/A</v>
      </c>
      <c r="BL81" s="1034">
        <f t="shared" si="122"/>
        <v>0</v>
      </c>
      <c r="BM81" s="1013" t="e">
        <f t="shared" si="123"/>
        <v>#VALUE!</v>
      </c>
      <c r="BN81" s="1013" t="e">
        <f t="shared" si="124"/>
        <v>#VALUE!</v>
      </c>
      <c r="BO81" s="1014" t="e">
        <f t="shared" si="125"/>
        <v>#N/A</v>
      </c>
      <c r="BP81" s="1012">
        <f>IFERROR(-ROUNDUP(SUM(AA81,AE81,AH81,AL81,AR81,AT81,AV81,BD81,BH81,BL81)*基本情報!$H$15/100,-1),0)</f>
        <v>0</v>
      </c>
      <c r="BQ81" s="1013" t="e">
        <f t="shared" si="126"/>
        <v>#VALUE!</v>
      </c>
      <c r="BR81" s="1013" t="e">
        <f t="shared" si="127"/>
        <v>#VALUE!</v>
      </c>
      <c r="BS81" s="1014" t="e">
        <f t="shared" si="128"/>
        <v>#N/A</v>
      </c>
      <c r="BT81" s="721"/>
      <c r="BU81" s="1047" t="e">
        <f t="shared" si="129"/>
        <v>#VALUE!</v>
      </c>
      <c r="BV81" s="1048" t="e">
        <f t="shared" si="130"/>
        <v>#VALUE!</v>
      </c>
      <c r="BW81" s="1048" t="e">
        <f t="shared" si="131"/>
        <v>#N/A</v>
      </c>
      <c r="BX81" s="1052">
        <f t="shared" si="132"/>
        <v>0</v>
      </c>
      <c r="BY81" s="1049">
        <f t="shared" si="133"/>
        <v>0</v>
      </c>
      <c r="DC81" s="1680"/>
      <c r="DD81" s="1680"/>
      <c r="DE81" s="1680"/>
      <c r="DF81" s="1680"/>
      <c r="DG81" s="1680"/>
      <c r="DH81" s="1680"/>
      <c r="DI81" s="1680"/>
      <c r="DJ81" s="1680"/>
    </row>
    <row r="82" spans="1:114" ht="18.75" customHeight="1" thickTop="1" thickBot="1">
      <c r="A82" s="1640"/>
      <c r="B82" s="1551" t="s">
        <v>588</v>
      </c>
      <c r="C82" s="1552"/>
      <c r="D82" s="1552"/>
      <c r="E82" s="804">
        <f>IF(E71="○",単価表!$AV$128,0)</f>
        <v>0</v>
      </c>
      <c r="F82" s="804">
        <f>IF(F71="○",単価表!$AV$128,0)</f>
        <v>0</v>
      </c>
      <c r="G82" s="804">
        <f>IF(G71="○",単価表!$AV$128,0)</f>
        <v>0</v>
      </c>
      <c r="H82" s="804">
        <f>IF(H71="○",単価表!$AV$128,0)</f>
        <v>0</v>
      </c>
      <c r="I82" s="804">
        <f>IF(I71="○",単価表!$AV$128,0)</f>
        <v>0</v>
      </c>
      <c r="J82" s="804">
        <f>IF(J71="○",単価表!$AV$128,0)</f>
        <v>0</v>
      </c>
      <c r="K82" s="804">
        <f>IF(K71="○",単価表!$AV$128,0)</f>
        <v>0</v>
      </c>
      <c r="L82" s="804">
        <f>IF(L71="○",単価表!$AV$128,0)</f>
        <v>0</v>
      </c>
      <c r="M82" s="804">
        <f>IF(M71="○",単価表!$AV$128,0)</f>
        <v>0</v>
      </c>
      <c r="N82" s="804">
        <f>IF(N71="○",単価表!$AV$128,0)</f>
        <v>0</v>
      </c>
      <c r="O82" s="804">
        <f>IF(N71="○",単価表!$AV$128,0)</f>
        <v>0</v>
      </c>
      <c r="P82" s="804">
        <f>IF(O71="○",単価表!$AV$128,0)</f>
        <v>0</v>
      </c>
      <c r="Q82" s="801"/>
      <c r="T82" s="915"/>
      <c r="U82" s="915"/>
      <c r="V82" s="915"/>
      <c r="W82" s="915"/>
      <c r="X82" s="1015"/>
      <c r="Y82" s="915"/>
      <c r="Z82" s="721">
        <f>SUM(Z62:Z81)</f>
        <v>0</v>
      </c>
      <c r="AA82" s="721"/>
      <c r="AB82" s="721" t="e">
        <f>SUM(AB62:AB81)</f>
        <v>#VALUE!</v>
      </c>
      <c r="AC82" s="721">
        <f>SUM(AC62:AC81)</f>
        <v>0</v>
      </c>
      <c r="AD82" s="721">
        <f>SUM(AD62:AD81)</f>
        <v>0</v>
      </c>
      <c r="AE82" s="721"/>
      <c r="AF82" s="721">
        <f>SUM(AF62:AF81)</f>
        <v>0</v>
      </c>
      <c r="AG82" s="721">
        <f>SUM(AG62:AG81)</f>
        <v>0</v>
      </c>
      <c r="AH82" s="721"/>
      <c r="AI82" s="721">
        <f t="shared" ref="AI82" si="152">SUM(AI62:AI81)</f>
        <v>0</v>
      </c>
      <c r="AJ82" s="721">
        <f t="shared" ref="AJ82" si="153">SUM(AJ62:AJ81)</f>
        <v>0</v>
      </c>
      <c r="AK82" s="721">
        <f t="shared" ref="AK82" si="154">SUM(AK62:AK81)</f>
        <v>0</v>
      </c>
      <c r="AL82" s="721"/>
      <c r="AM82" s="721">
        <f t="shared" ref="AM82" si="155">SUM(AM62:AM81)</f>
        <v>0</v>
      </c>
      <c r="AN82" s="721">
        <f t="shared" ref="AN82" si="156">SUM(AN62:AN81)</f>
        <v>0</v>
      </c>
      <c r="AO82" s="721">
        <f t="shared" ref="AO82" si="157">SUM(AO62:AO81)</f>
        <v>0</v>
      </c>
      <c r="AP82" s="721">
        <f t="shared" ref="AP82" si="158">SUM(AP62:AP81)</f>
        <v>0</v>
      </c>
      <c r="AQ82" s="721">
        <f t="shared" ref="AQ82" si="159">SUM(AQ62:AQ81)</f>
        <v>0</v>
      </c>
      <c r="AR82" s="721"/>
      <c r="AS82" s="721">
        <f t="shared" ref="AS82" si="160">SUM(AS62:AS81)</f>
        <v>0</v>
      </c>
      <c r="AT82" s="721"/>
      <c r="AU82" s="721">
        <f t="shared" ref="AU82" si="161">SUM(AU62:AU81)</f>
        <v>0</v>
      </c>
      <c r="AV82" s="721"/>
      <c r="AW82" s="721">
        <f>SUM(AW62:AW81)</f>
        <v>0</v>
      </c>
      <c r="AX82" s="721">
        <f>SUM(AX62:AX81)</f>
        <v>0</v>
      </c>
      <c r="AY82" s="721">
        <f>SUM(AY62:AY81)</f>
        <v>0</v>
      </c>
      <c r="AZ82" s="721"/>
      <c r="BA82" s="721">
        <f>SUM(BA62:BA81)</f>
        <v>0</v>
      </c>
      <c r="BB82" s="721"/>
      <c r="BC82" s="721">
        <f>SUM(BC62:BC81)</f>
        <v>0</v>
      </c>
      <c r="BD82" s="721"/>
      <c r="BE82" s="721" t="e">
        <f t="shared" ref="BE82" si="162">SUM(BE62:BE81)</f>
        <v>#VALUE!</v>
      </c>
      <c r="BF82" s="721" t="e">
        <f t="shared" ref="BF82" si="163">SUM(BF62:BF81)</f>
        <v>#VALUE!</v>
      </c>
      <c r="BG82" s="721" t="e">
        <f t="shared" ref="BG82" si="164">SUM(BG62:BG81)</f>
        <v>#N/A</v>
      </c>
      <c r="BH82" s="721"/>
      <c r="BI82" s="721" t="e">
        <f t="shared" ref="BI82" si="165">SUM(BI62:BI81)</f>
        <v>#VALUE!</v>
      </c>
      <c r="BJ82" s="721" t="e">
        <f t="shared" ref="BJ82" si="166">SUM(BJ62:BJ81)</f>
        <v>#VALUE!</v>
      </c>
      <c r="BK82" s="721" t="e">
        <f t="shared" ref="BK82" si="167">SUM(BK62:BK81)</f>
        <v>#N/A</v>
      </c>
      <c r="BL82" s="1018"/>
      <c r="BM82" s="1018" t="e">
        <f>SUM(BM62:BM81)</f>
        <v>#VALUE!</v>
      </c>
      <c r="BN82" s="1018" t="e">
        <f>SUM(BN62:BN81)</f>
        <v>#VALUE!</v>
      </c>
      <c r="BO82" s="1018" t="e">
        <f>SUM(BO62:BO81)</f>
        <v>#N/A</v>
      </c>
      <c r="BP82" s="1018"/>
      <c r="BQ82" s="1018" t="e">
        <f>SUM(BQ62:BQ81)</f>
        <v>#VALUE!</v>
      </c>
      <c r="BR82" s="1018" t="e">
        <f>SUM(BR62:BR81)</f>
        <v>#VALUE!</v>
      </c>
      <c r="BS82" s="1018" t="e">
        <f>SUM(BS62:BS81)</f>
        <v>#N/A</v>
      </c>
      <c r="BU82" s="1037" t="e">
        <f>SUM(BU62:BU81)</f>
        <v>#VALUE!</v>
      </c>
      <c r="BV82" s="1038" t="e">
        <f>SUM(BV62:BV81)</f>
        <v>#VALUE!</v>
      </c>
      <c r="BW82" s="1038" t="e">
        <f>SUM(BW62:BW81)</f>
        <v>#N/A</v>
      </c>
      <c r="BX82" s="1053">
        <f>SUM(BX62:BX81)</f>
        <v>0</v>
      </c>
      <c r="BY82" s="1039">
        <f>SUM(BY62:BY81)</f>
        <v>0</v>
      </c>
      <c r="CY82" s="1072" t="s">
        <v>722</v>
      </c>
      <c r="DC82" s="1680"/>
      <c r="DD82" s="1680"/>
      <c r="DE82" s="1680"/>
      <c r="DF82" s="1680"/>
      <c r="DG82" s="1680"/>
      <c r="DH82" s="1680"/>
      <c r="DI82" s="1680"/>
      <c r="DJ82" s="1680"/>
    </row>
    <row r="83" spans="1:114" ht="18.75" customHeight="1" thickTop="1" thickBot="1">
      <c r="A83" s="1640"/>
      <c r="B83" s="1551" t="s">
        <v>589</v>
      </c>
      <c r="C83" s="1552"/>
      <c r="D83" s="1552"/>
      <c r="E83" s="804" t="e">
        <f>ROUNDDOWN(E82/E75,-1)</f>
        <v>#DIV/0!</v>
      </c>
      <c r="F83" s="804" t="e">
        <f t="shared" ref="F83:P83" si="168">ROUNDDOWN(F82/F75,-1)</f>
        <v>#DIV/0!</v>
      </c>
      <c r="G83" s="804" t="e">
        <f t="shared" si="168"/>
        <v>#DIV/0!</v>
      </c>
      <c r="H83" s="804" t="e">
        <f t="shared" si="168"/>
        <v>#DIV/0!</v>
      </c>
      <c r="I83" s="804" t="e">
        <f t="shared" si="168"/>
        <v>#DIV/0!</v>
      </c>
      <c r="J83" s="804" t="e">
        <f t="shared" si="168"/>
        <v>#DIV/0!</v>
      </c>
      <c r="K83" s="804" t="e">
        <f t="shared" si="168"/>
        <v>#DIV/0!</v>
      </c>
      <c r="L83" s="804" t="e">
        <f t="shared" si="168"/>
        <v>#DIV/0!</v>
      </c>
      <c r="M83" s="804" t="e">
        <f t="shared" si="168"/>
        <v>#DIV/0!</v>
      </c>
      <c r="N83" s="804" t="e">
        <f>ROUNDDOWN(N82/N75,-1)</f>
        <v>#DIV/0!</v>
      </c>
      <c r="O83" s="804" t="e">
        <f t="shared" si="168"/>
        <v>#DIV/0!</v>
      </c>
      <c r="P83" s="804" t="e">
        <f t="shared" si="168"/>
        <v>#DIV/0!</v>
      </c>
      <c r="Q83" s="801"/>
      <c r="T83" s="716" t="s">
        <v>675</v>
      </c>
      <c r="BD83" s="671"/>
      <c r="BE83" s="671"/>
      <c r="BF83" s="671"/>
      <c r="BG83" s="671"/>
      <c r="BH83" s="671"/>
      <c r="BI83" s="671"/>
      <c r="BJ83" s="671"/>
      <c r="BK83" s="671"/>
      <c r="BL83" s="671"/>
      <c r="BM83" s="671"/>
      <c r="BN83" s="671"/>
      <c r="BO83" s="671"/>
      <c r="BP83" s="671"/>
      <c r="BQ83" s="671"/>
      <c r="BR83" s="671"/>
      <c r="BS83" s="671"/>
      <c r="DC83" s="1680"/>
      <c r="DD83" s="1680"/>
      <c r="DE83" s="1680"/>
      <c r="DF83" s="1680"/>
      <c r="DG83" s="1680"/>
      <c r="DH83" s="1680"/>
      <c r="DI83" s="1680"/>
      <c r="DJ83" s="1680"/>
    </row>
    <row r="84" spans="1:114" ht="18.75" customHeight="1" thickBot="1">
      <c r="A84" s="1640"/>
      <c r="B84" s="151"/>
      <c r="C84" s="151"/>
      <c r="D84" s="151"/>
      <c r="E84" s="151"/>
      <c r="F84" s="151"/>
      <c r="G84" s="151"/>
      <c r="H84" s="151"/>
      <c r="I84" s="151"/>
      <c r="J84" s="151"/>
      <c r="K84" s="151"/>
      <c r="L84" s="151"/>
      <c r="M84" s="151"/>
      <c r="N84" s="151"/>
      <c r="O84" s="151"/>
      <c r="P84" s="151"/>
      <c r="Q84" s="801"/>
      <c r="T84" s="1391"/>
      <c r="U84" s="1560" t="s">
        <v>438</v>
      </c>
      <c r="V84" s="1560" t="s">
        <v>444</v>
      </c>
      <c r="W84" s="1560" t="s">
        <v>206</v>
      </c>
      <c r="X84" s="1557" t="s">
        <v>544</v>
      </c>
      <c r="Y84" s="1634" t="s">
        <v>218</v>
      </c>
      <c r="Z84" s="1637" t="s">
        <v>481</v>
      </c>
      <c r="AA84" s="1388" t="s">
        <v>548</v>
      </c>
      <c r="AB84" s="1389"/>
      <c r="AC84" s="1389"/>
      <c r="AD84" s="1390"/>
      <c r="AE84" s="1388" t="s">
        <v>613</v>
      </c>
      <c r="AF84" s="1389"/>
      <c r="AG84" s="1390"/>
      <c r="AH84" s="1388" t="s">
        <v>615</v>
      </c>
      <c r="AI84" s="1389"/>
      <c r="AJ84" s="1389"/>
      <c r="AK84" s="1390"/>
      <c r="AL84" s="1391" t="s">
        <v>619</v>
      </c>
      <c r="AM84" s="1392"/>
      <c r="AN84" s="1392"/>
      <c r="AO84" s="1392"/>
      <c r="AP84" s="1392"/>
      <c r="AQ84" s="1393"/>
      <c r="AR84" s="1391" t="s">
        <v>622</v>
      </c>
      <c r="AS84" s="1393"/>
      <c r="AT84" s="1391" t="s">
        <v>623</v>
      </c>
      <c r="AU84" s="1393"/>
      <c r="AV84" s="1391" t="s">
        <v>624</v>
      </c>
      <c r="AW84" s="1392"/>
      <c r="AX84" s="1392"/>
      <c r="AY84" s="1393"/>
      <c r="AZ84" s="1391" t="s">
        <v>626</v>
      </c>
      <c r="BA84" s="1393"/>
      <c r="BB84" s="1391" t="s">
        <v>625</v>
      </c>
      <c r="BC84" s="1393"/>
      <c r="BD84" s="1518" t="s">
        <v>670</v>
      </c>
      <c r="BE84" s="1519"/>
      <c r="BF84" s="1519"/>
      <c r="BG84" s="1520"/>
      <c r="BH84" s="1521" t="s">
        <v>671</v>
      </c>
      <c r="BI84" s="1519"/>
      <c r="BJ84" s="1519"/>
      <c r="BK84" s="1522"/>
      <c r="BL84" s="1521" t="s">
        <v>673</v>
      </c>
      <c r="BM84" s="1519"/>
      <c r="BN84" s="1519"/>
      <c r="BO84" s="1522"/>
      <c r="BP84" s="1524" t="s">
        <v>672</v>
      </c>
      <c r="BQ84" s="1519"/>
      <c r="BR84" s="1519"/>
      <c r="BS84" s="1522"/>
    </row>
    <row r="85" spans="1:114" ht="18.75" customHeight="1" thickTop="1">
      <c r="A85" s="1640"/>
      <c r="B85" s="1553" t="s">
        <v>475</v>
      </c>
      <c r="C85" s="1553"/>
      <c r="D85" s="1554"/>
      <c r="E85" s="805" t="e">
        <f t="shared" ref="E85:P85" si="169">ROUNDDOWN((E77+E82*$E$68)/E75,-1)</f>
        <v>#DIV/0!</v>
      </c>
      <c r="F85" s="805" t="e">
        <f t="shared" si="169"/>
        <v>#DIV/0!</v>
      </c>
      <c r="G85" s="805" t="e">
        <f t="shared" si="169"/>
        <v>#DIV/0!</v>
      </c>
      <c r="H85" s="805" t="e">
        <f t="shared" si="169"/>
        <v>#DIV/0!</v>
      </c>
      <c r="I85" s="805" t="e">
        <f t="shared" si="169"/>
        <v>#DIV/0!</v>
      </c>
      <c r="J85" s="805" t="e">
        <f t="shared" si="169"/>
        <v>#DIV/0!</v>
      </c>
      <c r="K85" s="805" t="e">
        <f t="shared" si="169"/>
        <v>#DIV/0!</v>
      </c>
      <c r="L85" s="805" t="e">
        <f t="shared" si="169"/>
        <v>#DIV/0!</v>
      </c>
      <c r="M85" s="805" t="e">
        <f t="shared" si="169"/>
        <v>#DIV/0!</v>
      </c>
      <c r="N85" s="805" t="e">
        <f t="shared" si="169"/>
        <v>#DIV/0!</v>
      </c>
      <c r="O85" s="805" t="e">
        <f t="shared" si="169"/>
        <v>#DIV/0!</v>
      </c>
      <c r="P85" s="805" t="e">
        <f t="shared" si="169"/>
        <v>#DIV/0!</v>
      </c>
      <c r="Q85" s="151"/>
      <c r="T85" s="1407"/>
      <c r="U85" s="1561"/>
      <c r="V85" s="1561"/>
      <c r="W85" s="1561"/>
      <c r="X85" s="1558"/>
      <c r="Y85" s="1635"/>
      <c r="Z85" s="1638"/>
      <c r="AA85" s="1394" t="s">
        <v>612</v>
      </c>
      <c r="AB85" s="1396" t="s">
        <v>550</v>
      </c>
      <c r="AC85" s="1397"/>
      <c r="AD85" s="1398"/>
      <c r="AE85" s="1394" t="s">
        <v>612</v>
      </c>
      <c r="AF85" s="1396" t="s">
        <v>550</v>
      </c>
      <c r="AG85" s="1398"/>
      <c r="AH85" s="1394" t="s">
        <v>612</v>
      </c>
      <c r="AI85" s="1396" t="s">
        <v>620</v>
      </c>
      <c r="AJ85" s="1397"/>
      <c r="AK85" s="1398"/>
      <c r="AL85" s="1404" t="s">
        <v>612</v>
      </c>
      <c r="AM85" s="1405" t="s">
        <v>621</v>
      </c>
      <c r="AN85" s="1405"/>
      <c r="AO85" s="1405"/>
      <c r="AP85" s="1405"/>
      <c r="AQ85" s="1406"/>
      <c r="AR85" s="1407" t="s">
        <v>612</v>
      </c>
      <c r="AS85" s="1406" t="s">
        <v>620</v>
      </c>
      <c r="AT85" s="1407" t="s">
        <v>612</v>
      </c>
      <c r="AU85" s="1406" t="s">
        <v>620</v>
      </c>
      <c r="AV85" s="1404" t="s">
        <v>612</v>
      </c>
      <c r="AW85" s="1405" t="s">
        <v>620</v>
      </c>
      <c r="AX85" s="1405"/>
      <c r="AY85" s="1406"/>
      <c r="AZ85" s="1407" t="s">
        <v>612</v>
      </c>
      <c r="BA85" s="1406" t="s">
        <v>620</v>
      </c>
      <c r="BB85" s="1407" t="s">
        <v>612</v>
      </c>
      <c r="BC85" s="1406" t="s">
        <v>620</v>
      </c>
      <c r="BD85" s="1512" t="s">
        <v>612</v>
      </c>
      <c r="BE85" s="1513" t="s">
        <v>620</v>
      </c>
      <c r="BF85" s="1513"/>
      <c r="BG85" s="1514"/>
      <c r="BH85" s="1515" t="s">
        <v>612</v>
      </c>
      <c r="BI85" s="1513" t="s">
        <v>620</v>
      </c>
      <c r="BJ85" s="1513"/>
      <c r="BK85" s="1516"/>
      <c r="BL85" s="1515" t="s">
        <v>612</v>
      </c>
      <c r="BM85" s="1513" t="s">
        <v>620</v>
      </c>
      <c r="BN85" s="1513"/>
      <c r="BO85" s="1516"/>
      <c r="BP85" s="1517" t="s">
        <v>612</v>
      </c>
      <c r="BQ85" s="1513" t="s">
        <v>620</v>
      </c>
      <c r="BR85" s="1513"/>
      <c r="BS85" s="1516"/>
      <c r="BU85" s="1670" t="s">
        <v>708</v>
      </c>
      <c r="BV85" s="1671"/>
      <c r="BW85" s="1671"/>
      <c r="BX85" s="1672"/>
      <c r="BY85" s="1673"/>
    </row>
    <row r="86" spans="1:114" ht="18.75" customHeight="1" thickBot="1">
      <c r="A86" s="1640"/>
      <c r="B86" s="1555" t="s">
        <v>678</v>
      </c>
      <c r="C86" s="1556"/>
      <c r="D86" s="1556"/>
      <c r="E86" s="806" t="e">
        <f>E83*($E$68-基本情報!$C$7)</f>
        <v>#DIV/0!</v>
      </c>
      <c r="F86" s="806" t="e">
        <f>F83*($E$68-基本情報!$C$7)</f>
        <v>#DIV/0!</v>
      </c>
      <c r="G86" s="806" t="e">
        <f>G83*($E$68-基本情報!$C$7)</f>
        <v>#DIV/0!</v>
      </c>
      <c r="H86" s="806" t="e">
        <f>H83*($E$68-基本情報!$C$7)</f>
        <v>#DIV/0!</v>
      </c>
      <c r="I86" s="806" t="e">
        <f>I83*($E$68-基本情報!$C$7)</f>
        <v>#DIV/0!</v>
      </c>
      <c r="J86" s="806" t="e">
        <f>J83*($E$68-基本情報!$C$7)</f>
        <v>#DIV/0!</v>
      </c>
      <c r="K86" s="806" t="e">
        <f>K83*($E$68-基本情報!$C$7)</f>
        <v>#DIV/0!</v>
      </c>
      <c r="L86" s="806" t="e">
        <f>L83*($E$68-基本情報!$C$7)</f>
        <v>#DIV/0!</v>
      </c>
      <c r="M86" s="806" t="e">
        <f>M83*($E$68-基本情報!$C$7)</f>
        <v>#DIV/0!</v>
      </c>
      <c r="N86" s="806" t="e">
        <f>N83*($E$68-基本情報!$C$7)</f>
        <v>#DIV/0!</v>
      </c>
      <c r="O86" s="806" t="e">
        <f>O83*($E$68-基本情報!$C$7)</f>
        <v>#DIV/0!</v>
      </c>
      <c r="P86" s="806" t="e">
        <f>P83*($E$68-基本情報!$C$7)</f>
        <v>#DIV/0!</v>
      </c>
      <c r="Q86" s="801"/>
      <c r="T86" s="1536"/>
      <c r="U86" s="1562"/>
      <c r="V86" s="1562"/>
      <c r="W86" s="1562"/>
      <c r="X86" s="1559"/>
      <c r="Y86" s="1636"/>
      <c r="Z86" s="1639"/>
      <c r="AA86" s="1544"/>
      <c r="AB86" s="725" t="s">
        <v>609</v>
      </c>
      <c r="AC86" s="725" t="s">
        <v>610</v>
      </c>
      <c r="AD86" s="726" t="s">
        <v>611</v>
      </c>
      <c r="AE86" s="1544"/>
      <c r="AF86" s="964" t="s">
        <v>700</v>
      </c>
      <c r="AG86" s="965" t="s">
        <v>682</v>
      </c>
      <c r="AH86" s="1544"/>
      <c r="AI86" s="725" t="s">
        <v>617</v>
      </c>
      <c r="AJ86" s="964" t="s">
        <v>700</v>
      </c>
      <c r="AK86" s="965" t="s">
        <v>682</v>
      </c>
      <c r="AL86" s="1404"/>
      <c r="AM86" s="724" t="s">
        <v>616</v>
      </c>
      <c r="AN86" s="724" t="s">
        <v>618</v>
      </c>
      <c r="AO86" s="723" t="s">
        <v>614</v>
      </c>
      <c r="AP86" s="964" t="s">
        <v>700</v>
      </c>
      <c r="AQ86" s="965" t="s">
        <v>682</v>
      </c>
      <c r="AR86" s="1407"/>
      <c r="AS86" s="1406"/>
      <c r="AT86" s="1407"/>
      <c r="AU86" s="1406"/>
      <c r="AV86" s="1404"/>
      <c r="AW86" s="724" t="s">
        <v>617</v>
      </c>
      <c r="AX86" s="964" t="s">
        <v>700</v>
      </c>
      <c r="AY86" s="965" t="s">
        <v>682</v>
      </c>
      <c r="AZ86" s="1407"/>
      <c r="BA86" s="1406"/>
      <c r="BB86" s="1407"/>
      <c r="BC86" s="1406"/>
      <c r="BD86" s="1512"/>
      <c r="BE86" s="929" t="s">
        <v>559</v>
      </c>
      <c r="BF86" s="930" t="s">
        <v>376</v>
      </c>
      <c r="BG86" s="931" t="s">
        <v>353</v>
      </c>
      <c r="BH86" s="1515"/>
      <c r="BI86" s="929" t="s">
        <v>559</v>
      </c>
      <c r="BJ86" s="930" t="s">
        <v>376</v>
      </c>
      <c r="BK86" s="931" t="s">
        <v>353</v>
      </c>
      <c r="BL86" s="1515"/>
      <c r="BM86" s="929" t="s">
        <v>559</v>
      </c>
      <c r="BN86" s="930" t="s">
        <v>376</v>
      </c>
      <c r="BO86" s="932" t="s">
        <v>353</v>
      </c>
      <c r="BP86" s="1517"/>
      <c r="BQ86" s="929" t="s">
        <v>559</v>
      </c>
      <c r="BR86" s="930" t="s">
        <v>376</v>
      </c>
      <c r="BS86" s="932" t="s">
        <v>353</v>
      </c>
      <c r="BU86" s="1674" t="s">
        <v>616</v>
      </c>
      <c r="BV86" s="1676" t="s">
        <v>618</v>
      </c>
      <c r="BW86" s="1678" t="s">
        <v>574</v>
      </c>
      <c r="BX86" s="1678" t="s">
        <v>709</v>
      </c>
      <c r="BY86" s="1659" t="s">
        <v>682</v>
      </c>
    </row>
    <row r="87" spans="1:114" ht="18.75" customHeight="1" thickTop="1" thickBot="1">
      <c r="A87" s="1640"/>
      <c r="B87" s="1555" t="s">
        <v>679</v>
      </c>
      <c r="C87" s="1556"/>
      <c r="D87" s="1556"/>
      <c r="E87" s="806" t="e">
        <f>E83*基本情報!$C$7</f>
        <v>#DIV/0!</v>
      </c>
      <c r="F87" s="806" t="e">
        <f>F83*基本情報!$C$7</f>
        <v>#DIV/0!</v>
      </c>
      <c r="G87" s="806" t="e">
        <f>G83*基本情報!$C$7</f>
        <v>#DIV/0!</v>
      </c>
      <c r="H87" s="806" t="e">
        <f>H83*基本情報!$C$7</f>
        <v>#DIV/0!</v>
      </c>
      <c r="I87" s="806" t="e">
        <f>I83*基本情報!$C$7</f>
        <v>#DIV/0!</v>
      </c>
      <c r="J87" s="806" t="e">
        <f>J83*基本情報!$C$7</f>
        <v>#DIV/0!</v>
      </c>
      <c r="K87" s="806" t="e">
        <f>K83*基本情報!$C$7</f>
        <v>#DIV/0!</v>
      </c>
      <c r="L87" s="806" t="e">
        <f>L83*基本情報!$C$7</f>
        <v>#DIV/0!</v>
      </c>
      <c r="M87" s="806" t="e">
        <f>M83*基本情報!$C$7</f>
        <v>#DIV/0!</v>
      </c>
      <c r="N87" s="806" t="e">
        <f>N83*基本情報!$C$7</f>
        <v>#DIV/0!</v>
      </c>
      <c r="O87" s="806" t="e">
        <f>O83*基本情報!$C$7</f>
        <v>#DIV/0!</v>
      </c>
      <c r="P87" s="806" t="e">
        <f>P83*基本情報!$C$7</f>
        <v>#DIV/0!</v>
      </c>
      <c r="Q87" s="801"/>
      <c r="T87" s="911"/>
      <c r="U87" s="905"/>
      <c r="V87" s="905"/>
      <c r="W87" s="905"/>
      <c r="X87" s="913"/>
      <c r="Y87" s="905"/>
      <c r="Z87" s="922"/>
      <c r="AA87" s="951" t="s">
        <v>630</v>
      </c>
      <c r="AB87" s="920" t="s">
        <v>632</v>
      </c>
      <c r="AC87" s="920" t="s">
        <v>634</v>
      </c>
      <c r="AD87" s="922" t="s">
        <v>636</v>
      </c>
      <c r="AE87" s="951" t="s">
        <v>638</v>
      </c>
      <c r="AF87" s="923" t="s">
        <v>640</v>
      </c>
      <c r="AG87" s="922" t="s">
        <v>642</v>
      </c>
      <c r="AH87" s="951" t="s">
        <v>644</v>
      </c>
      <c r="AI87" s="924" t="s">
        <v>646</v>
      </c>
      <c r="AJ87" s="923" t="s">
        <v>648</v>
      </c>
      <c r="AK87" s="925" t="s">
        <v>650</v>
      </c>
      <c r="AL87" s="926" t="s">
        <v>652</v>
      </c>
      <c r="AM87" s="949" t="s">
        <v>653</v>
      </c>
      <c r="AN87" s="949" t="s">
        <v>654</v>
      </c>
      <c r="AO87" s="836" t="s">
        <v>655</v>
      </c>
      <c r="AP87" s="927" t="s">
        <v>656</v>
      </c>
      <c r="AQ87" s="837" t="s">
        <v>657</v>
      </c>
      <c r="AR87" s="950" t="s">
        <v>658</v>
      </c>
      <c r="AS87" s="928" t="s">
        <v>659</v>
      </c>
      <c r="AT87" s="950" t="s">
        <v>660</v>
      </c>
      <c r="AU87" s="928" t="s">
        <v>661</v>
      </c>
      <c r="AV87" s="926" t="s">
        <v>662</v>
      </c>
      <c r="AW87" s="949" t="s">
        <v>663</v>
      </c>
      <c r="AX87" s="927" t="s">
        <v>664</v>
      </c>
      <c r="AY87" s="837" t="s">
        <v>665</v>
      </c>
      <c r="AZ87" s="950" t="s">
        <v>666</v>
      </c>
      <c r="BA87" s="928" t="s">
        <v>667</v>
      </c>
      <c r="BB87" s="950" t="s">
        <v>668</v>
      </c>
      <c r="BC87" s="928" t="s">
        <v>669</v>
      </c>
      <c r="BD87" s="933"/>
      <c r="BE87" s="935" t="e">
        <f>1-BF87-BG87</f>
        <v>#VALUE!</v>
      </c>
      <c r="BF87" s="935" t="e">
        <f>$CW$58</f>
        <v>#VALUE!</v>
      </c>
      <c r="BG87" s="936" t="e">
        <f>$CX$58</f>
        <v>#N/A</v>
      </c>
      <c r="BH87" s="934"/>
      <c r="BI87" s="935" t="e">
        <f>1-BJ87-BK87</f>
        <v>#VALUE!</v>
      </c>
      <c r="BJ87" s="935" t="e">
        <f>$CW$58</f>
        <v>#VALUE!</v>
      </c>
      <c r="BK87" s="942" t="e">
        <f>$CX$58</f>
        <v>#N/A</v>
      </c>
      <c r="BL87" s="940"/>
      <c r="BM87" s="935" t="e">
        <f>1-BN87-BO87</f>
        <v>#VALUE!</v>
      </c>
      <c r="BN87" s="941" t="e">
        <f>$CW$58</f>
        <v>#VALUE!</v>
      </c>
      <c r="BO87" s="943" t="e">
        <f>$CX$58</f>
        <v>#N/A</v>
      </c>
      <c r="BP87" s="940"/>
      <c r="BQ87" s="935" t="e">
        <f>1-BR87-BS87</f>
        <v>#VALUE!</v>
      </c>
      <c r="BR87" s="941" t="e">
        <f>$CW$58</f>
        <v>#VALUE!</v>
      </c>
      <c r="BS87" s="943" t="e">
        <f>$CX$58</f>
        <v>#N/A</v>
      </c>
      <c r="BU87" s="1675"/>
      <c r="BV87" s="1677"/>
      <c r="BW87" s="1679"/>
      <c r="BX87" s="1679"/>
      <c r="BY87" s="1660"/>
    </row>
    <row r="88" spans="1:114" ht="18.75" customHeight="1" thickTop="1">
      <c r="A88" s="1640"/>
      <c r="B88" s="1574" t="s">
        <v>374</v>
      </c>
      <c r="C88" s="1575"/>
      <c r="D88" s="1575"/>
      <c r="E88" s="807" t="e">
        <f>E85-E86-E87</f>
        <v>#DIV/0!</v>
      </c>
      <c r="F88" s="807" t="e">
        <f t="shared" ref="F88:P88" si="170">F85-F86-F87</f>
        <v>#DIV/0!</v>
      </c>
      <c r="G88" s="807" t="e">
        <f t="shared" si="170"/>
        <v>#DIV/0!</v>
      </c>
      <c r="H88" s="807" t="e">
        <f t="shared" si="170"/>
        <v>#DIV/0!</v>
      </c>
      <c r="I88" s="807" t="e">
        <f t="shared" si="170"/>
        <v>#DIV/0!</v>
      </c>
      <c r="J88" s="807" t="e">
        <f t="shared" si="170"/>
        <v>#DIV/0!</v>
      </c>
      <c r="K88" s="807" t="e">
        <f t="shared" si="170"/>
        <v>#DIV/0!</v>
      </c>
      <c r="L88" s="807" t="e">
        <f t="shared" si="170"/>
        <v>#DIV/0!</v>
      </c>
      <c r="M88" s="807" t="e">
        <f t="shared" si="170"/>
        <v>#DIV/0!</v>
      </c>
      <c r="N88" s="807" t="e">
        <f t="shared" si="170"/>
        <v>#DIV/0!</v>
      </c>
      <c r="O88" s="807" t="e">
        <f t="shared" si="170"/>
        <v>#DIV/0!</v>
      </c>
      <c r="P88" s="807" t="e">
        <f t="shared" si="170"/>
        <v>#DIV/0!</v>
      </c>
      <c r="Q88" s="801"/>
      <c r="T88" s="685">
        <v>1</v>
      </c>
      <c r="U88" s="904">
        <f>月途中入退所情報!N31</f>
        <v>0</v>
      </c>
      <c r="V88" s="904">
        <f>月途中入退所情報!R31</f>
        <v>0</v>
      </c>
      <c r="W88" s="904">
        <f>月途中入退所情報!Q31</f>
        <v>0</v>
      </c>
      <c r="X88" s="948">
        <f>月途中入退所情報!S31</f>
        <v>0</v>
      </c>
      <c r="Y88" s="904">
        <f>月途中入退所情報!T31</f>
        <v>0</v>
      </c>
      <c r="Z88" s="975">
        <f>-ROUNDUP((AA88+AE88+AH88+AL88+AR88+AT88+AV88+AZ88+BB88+BD88+BH88+BL88+BP88)*Y88/25,-1)</f>
        <v>0</v>
      </c>
      <c r="AA88" s="1021" cm="1">
        <f t="array" ref="AA88">IFERROR(IF(OR($U88=2,$U88=3),
INDEX(単価表!$AY$72:$CC$79,MATCH($V88&amp;$W88,INDEX(単価表!$AY$64:$AY$71&amp;単価表!$AZ$64:$AZ$71,),),MATCH(内訳計算!AA$6,単価表!$AY$63:$CC$63,0)),
INDEX(単価表!$AY$72:$CC$79,MATCH($V88&amp;$W88,INDEX(単価表!$AY$64:$AY$71&amp;単価表!$AZ$64:$AZ$71,),),MATCH(内訳計算!AA$6,単価表!$AY$63:$CC$63,0))),0)</f>
        <v>0</v>
      </c>
      <c r="AB88" s="1022" t="e">
        <f>-Z88-SUM(AC88:AD88,AF88:AG88,AI88:AK88,AM88:AQ88,AS88,AU88,AW88:AY88,BA88,BC88,BE88:BG88,BI88:BK88,BM88:BO88)</f>
        <v>#VALUE!</v>
      </c>
      <c r="AC88" s="1022" cm="1">
        <f t="array" ref="AC88">IFERROR(ROUNDUP(IF(OR($U88=2,$U88=3),
INDEX(単価表!$AY$72:$CC$79,MATCH($V88&amp;$W88,INDEX(単価表!$AY$64:$AY$71&amp;単価表!$AZ$64:$AZ$71,),),MATCH(内訳計算!AC$6,単価表!$AY$63:$CC$63,0)),
INDEX(単価表!$AY$72:$CC$79,MATCH($V88&amp;$W88,INDEX(単価表!$AY$64:$AY$71&amp;単価表!$AZ$64:$AZ$71,),),MATCH(内訳計算!AC$6,単価表!$AY$63:$CC$63,0)))*$Y88/25,0),0)</f>
        <v>0</v>
      </c>
      <c r="AD88" s="1023" cm="1">
        <f t="array" ref="AD88">IFERROR(ROUNDUP(IF(OR($U88=2,$U88=3),
INDEX(単価表!$AY$72:$CC$79,MATCH($V88&amp;$W88,INDEX(単価表!$AY$64:$AY$71&amp;単価表!$AZ$64:$AZ$71,),),MATCH(内訳計算!AD$6,単価表!$AY$63:$CC$63,0)),
INDEX(単価表!$AY$72:$CC$79,MATCH($V88&amp;$W88,INDEX(単価表!$AY$64:$AY$71&amp;単価表!$AZ$64:$AZ$71,),),MATCH(内訳計算!AD$6,単価表!$AY$63:$CC$63,0)))*$Y88/25,0),0)</f>
        <v>0</v>
      </c>
      <c r="AE88" s="1021" cm="1">
        <f t="array" ref="AE88">IFERROR(IF(OR($U88=2,$U88=3),
INDEX(単価表!$AY$72:$CC$79,MATCH($V88&amp;$W88,INDEX(単価表!$AY$64:$AY$71&amp;単価表!$AZ$64:$AZ$71,),),MATCH(内訳計算!AE$6,単価表!$AY$63:$CC$63,0)),
INDEX(単価表!$AY$72:$CC$79,MATCH($V88&amp;$W88,INDEX(単価表!$AY$64:$AY$71&amp;単価表!$AZ$64:$AZ$71,),),MATCH(内訳計算!AE$6,単価表!$AY$63:$CC$63,0))),0)</f>
        <v>0</v>
      </c>
      <c r="AF88" s="1022" cm="1">
        <f t="array" ref="AF88">IFERROR(ROUNDUP(IF(OR($U88=2,$U88=3),
INDEX(単価表!$AY$72:$CC$79,MATCH($V88&amp;$W88,INDEX(単価表!$AY$64:$AY$71&amp;単価表!$AZ$64:$AZ$71,),),MATCH(内訳計算!AF$6,単価表!$AY$63:$CC$63,0)),
INDEX(単価表!$AY$72:$CC$79,MATCH($V88&amp;$W88,INDEX(単価表!$AY$64:$AY$71&amp;単価表!$AZ$64:$AZ$71,),),MATCH(内訳計算!AF$6,単価表!$AY$63:$CC$63,0)))*$Y88/25,0),0)</f>
        <v>0</v>
      </c>
      <c r="AG88" s="1023" cm="1">
        <f t="array" ref="AG88">IFERROR(ROUNDUP(IF(OR($U88=2,$U88=3),
INDEX(単価表!$AY$72:$CC$79,MATCH($V88&amp;$W88,INDEX(単価表!$AY$64:$AY$71&amp;単価表!$AZ$64:$AZ$71,),),MATCH(内訳計算!AG$6,単価表!$AY$63:$CC$63,0)),
INDEX(単価表!$AY$72:$CC$79,MATCH($V88&amp;$W88,INDEX(単価表!$AY$64:$AY$71&amp;単価表!$AZ$64:$AZ$71,),),MATCH(内訳計算!AG$6,単価表!$AY$63:$CC$63,0)))*$Y88/25,0),0)</f>
        <v>0</v>
      </c>
      <c r="AH88" s="1021" cm="1">
        <f t="array" ref="AH88">IFERROR(IF(HLOOKUP($U88,加算と減算!$E$4:$P$10,2,FALSE)="○",IF(OR($U88=2,$U88=3),
INDEX(単価表!$AY$72:$CC$79,MATCH($V88&amp;$W88,INDEX(単価表!$AY$64:$AY$71&amp;単価表!$AZ$64:$AZ$71,),),MATCH(内訳計算!AH$6,単価表!$AY$63:$CC$63,0)),
INDEX(単価表!$AY$72:$CC$79,MATCH($V88&amp;$W88,INDEX(単価表!$AY$64:$AY$71&amp;単価表!$AZ$64:$AZ$71,),),MATCH(内訳計算!AH$6,単価表!$AY$63:$CC$63,0))),0),0)</f>
        <v>0</v>
      </c>
      <c r="AI88" s="1024" cm="1">
        <f t="array" ref="AI88">IFERROR(ROUNDUP(IF(HLOOKUP($U88,加算と減算!$E$4:$P$10,2,FALSE)="○",IF(OR($U88=2,$U88=3),
INDEX(単価表!$AY$72:$CC$79,MATCH($V88&amp;$W88,INDEX(単価表!$AY$64:$AY$71&amp;単価表!$AZ$64:$AZ$71,),),MATCH(内訳計算!AI$6,単価表!$AY$63:$CC$63,0)),
INDEX(単価表!$AY$72:$CC$79,MATCH($V88&amp;$W88,INDEX(単価表!$AY$64:$AY$71&amp;単価表!$AZ$64:$AZ$71,),),MATCH(内訳計算!AI$6,単価表!$AY$63:$CC$63,0))),0)*$Y88/25,0),0)</f>
        <v>0</v>
      </c>
      <c r="AJ88" s="1022" cm="1">
        <f t="array" ref="AJ88">IFERROR(ROUNDUP(IF(HLOOKUP($U88,加算と減算!$E$4:$P$10,2,FALSE)="○",IF(OR($U88=2,$U88=3),
INDEX(単価表!$AY$72:$CC$79,MATCH($V88&amp;$W88,INDEX(単価表!$AY$64:$AY$71&amp;単価表!$AZ$64:$AZ$71,),),MATCH(内訳計算!AJ$6,単価表!$AY$63:$CC$63,0)),
INDEX(単価表!$AY$72:$CC$79,MATCH($V88&amp;$W88,INDEX(単価表!$AY$64:$AY$71&amp;単価表!$AZ$64:$AZ$71,),),MATCH(内訳計算!AJ$6,単価表!$AY$63:$CC$63,0))),0)*$Y88/25,0),0)</f>
        <v>0</v>
      </c>
      <c r="AK88" s="1023" cm="1">
        <f t="array" ref="AK88">IFERROR(ROUNDUP(IF(HLOOKUP($U88,加算と減算!$E$4:$P$10,2,FALSE)="○",IF(OR($U88=2,$U88=3),
INDEX(単価表!$AY$72:$CC$79,MATCH($V88&amp;$W88,INDEX(単価表!$AY$64:$AY$71&amp;単価表!$AZ$64:$AZ$71,),),MATCH(内訳計算!AK$6,単価表!$AY$63:$CC$63,0)),
INDEX(単価表!$AY$72:$CC$79,MATCH($V88&amp;$W88,INDEX(単価表!$AY$64:$AY$71&amp;単価表!$AZ$64:$AZ$71,),),MATCH(内訳計算!AK$6,単価表!$AY$63:$CC$63,0))),0)*$Y88/25,0),0)</f>
        <v>0</v>
      </c>
      <c r="AL88" s="1021" cm="1">
        <f t="array" ref="AL88">IFERROR(IF(HLOOKUP($U88,加算と減算!$E$4:$P$10,4,FALSE)="○",IF(OR($U88=2,$U88=3),
INDEX(単価表!$AY$72:$CC$79,MATCH($V88&amp;$W88,INDEX(単価表!$AY$64:$AY$71&amp;単価表!$AZ$64:$AZ$71,),),MATCH(内訳計算!AL$6,単価表!$AY$63:$CC$63,0)),
INDEX(単価表!$AY$72:$CC$79,MATCH($V88&amp;$W88,INDEX(単価表!$AY$64:$AY$71&amp;単価表!$AZ$64:$AZ$71,),),MATCH(内訳計算!AL$6,単価表!$AY$63:$CC$63,0))),0),0)</f>
        <v>0</v>
      </c>
      <c r="AM88" s="1022" cm="1">
        <f t="array" ref="AM88">IFERROR(ROUNDUP(IF(HLOOKUP($U88,加算と減算!$E$4:$P$10,4,FALSE)="○",IF(OR($U88=2,$U88=3),
INDEX(単価表!$AY$72:$CC$79,MATCH($V88&amp;$W88,INDEX(単価表!$AY$64:$AY$71&amp;単価表!$AZ$64:$AZ$71,),),MATCH(内訳計算!AM$6,単価表!$AY$63:$CC$63,0)),
INDEX(単価表!$AY$72:$CC$79,MATCH($V88&amp;$W88,INDEX(単価表!$AY$64:$AY$71&amp;単価表!$AZ$64:$AZ$71,),),MATCH(内訳計算!AM$6,単価表!$AY$63:$CC$63,0))),0)*$Y88/25,0),0)</f>
        <v>0</v>
      </c>
      <c r="AN88" s="1022" cm="1">
        <f t="array" ref="AN88">IFERROR(ROUNDUP(IF(HLOOKUP($U88,加算と減算!$E$4:$P$10,4,FALSE)="○",IF(OR($U88=2,$U88=3),
INDEX(単価表!$AY$72:$CC$79,MATCH($V88&amp;$W88,INDEX(単価表!$AY$64:$AY$71&amp;単価表!$AZ$64:$AZ$71,),),MATCH(内訳計算!AN$6,単価表!$AY$63:$CC$63,0)),
INDEX(単価表!$AY$72:$CC$79,MATCH($V88&amp;$W88,INDEX(単価表!$AY$64:$AY$71&amp;単価表!$AZ$64:$AZ$71,),),MATCH(内訳計算!AN$6,単価表!$AY$63:$CC$63,0))),0)*$Y88/25,0),0)</f>
        <v>0</v>
      </c>
      <c r="AO88" s="1022" cm="1">
        <f t="array" ref="AO88">IFERROR(ROUNDUP(IF(HLOOKUP($U88,加算と減算!$E$4:$P$10,4,FALSE)="○",IF(OR($U88=2,$U88=3),
INDEX(単価表!$AY$72:$CC$79,MATCH($V88&amp;$W88,INDEX(単価表!$AY$64:$AY$71&amp;単価表!$AZ$64:$AZ$71,),),MATCH(内訳計算!AO$6,単価表!$AY$63:$CC$63,0)),
INDEX(単価表!$AY$72:$CC$79,MATCH($V88&amp;$W88,INDEX(単価表!$AY$64:$AY$71&amp;単価表!$AZ$64:$AZ$71,),),MATCH(内訳計算!AO$6,単価表!$AY$63:$CC$63,0))),0)*$Y88/25,0),0)</f>
        <v>0</v>
      </c>
      <c r="AP88" s="1022" cm="1">
        <f t="array" ref="AP88">IFERROR(ROUNDUP(IF(HLOOKUP($U88,加算と減算!$E$4:$P$10,4,FALSE)="○",IF(OR($U88=2,$U88=3),
INDEX(単価表!$AY$72:$CC$79,MATCH($V88&amp;$W88,INDEX(単価表!$AY$64:$AY$71&amp;単価表!$AZ$64:$AZ$71,),),MATCH(内訳計算!AP$6,単価表!$AY$63:$CC$63,0)),
INDEX(単価表!$AY$72:$CC$79,MATCH($V88&amp;$W88,INDEX(単価表!$AY$64:$AY$71&amp;単価表!$AZ$64:$AZ$71,),),MATCH(内訳計算!AP$6,単価表!$AY$63:$CC$63,0))),0)*$Y88/25,0),0)</f>
        <v>0</v>
      </c>
      <c r="AQ88" s="1023" cm="1">
        <f t="array" ref="AQ88">IFERROR(ROUNDUP(IF(HLOOKUP($U88,加算と減算!$E$4:$P$10,4,FALSE)="○",IF(OR($U88=2,$U88=3),
INDEX(単価表!$AY$72:$CC$79,MATCH($V88&amp;$W88,INDEX(単価表!$AY$64:$AY$71&amp;単価表!$AZ$64:$AZ$71,),),MATCH(内訳計算!AQ$6,単価表!$AY$63:$CC$63,0)),
INDEX(単価表!$AY$72:$CC$79,MATCH($V88&amp;$W88,INDEX(単価表!$AY$64:$AY$71&amp;単価表!$AZ$64:$AZ$71,),),MATCH(内訳計算!AQ$6,単価表!$AY$63:$CC$63,0))),0)*$Y88/25,0),0)</f>
        <v>0</v>
      </c>
      <c r="AR88" s="1021" cm="1">
        <f t="array" ref="AR88">IFERROR(IF(HLOOKUP($U88,加算と減算!$E$4:$P$10,5,FALSE)="○",IF(OR($U88=2,$U88=3),
INDEX(単価表!$AY$72:$CC$79,MATCH($V88&amp;$W88,INDEX(単価表!$AY$64:$AY$71&amp;単価表!$AZ$64:$AZ$71,),),MATCH(内訳計算!AR$6,単価表!$AY$63:$CC$63,0)),
INDEX(単価表!$AY$72:$CC$79,MATCH($V88&amp;$W88,INDEX(単価表!$AY$64:$AY$71&amp;単価表!$AZ$64:$AZ$71,),),MATCH(内訳計算!AR$6,単価表!$AY$63:$CC$63,0))),0),0)</f>
        <v>0</v>
      </c>
      <c r="AS88" s="1023" cm="1">
        <f t="array" ref="AS88">IFERROR(ROUNDUP(IF(HLOOKUP($U88,加算と減算!$E$4:$P$10,5,FALSE)="○",IF(OR($U88=2,$U88=3),
INDEX(単価表!$AY$72:$CC$79,MATCH($V88&amp;$W88,INDEX(単価表!$AY$64:$AY$71&amp;単価表!$AZ$64:$AZ$71,),),MATCH(内訳計算!AS$6,単価表!$AY$63:$CC$63,0)),
INDEX(単価表!$AY$72:$CC$79,MATCH($V88&amp;$W88,INDEX(単価表!$AY$64:$AY$71&amp;単価表!$AZ$64:$AZ$71,),),MATCH(内訳計算!AS$6,単価表!$AY$63:$CC$63,0))),0)*$Y88/25,0),0)</f>
        <v>0</v>
      </c>
      <c r="AT88" s="1021" cm="1">
        <f t="array" ref="AT88">IFERROR(IF(HLOOKUP($U88,加算と減算!$E$4:$P$10,6,FALSE)="○",IF(OR($U88=2,$U88=3),
INDEX(単価表!$AY$72:$CC$79,MATCH($V88&amp;$W88,INDEX(単価表!$AY$64:$AY$71&amp;単価表!$AZ$64:$AZ$71,),),MATCH(内訳計算!AT$6,単価表!$AY$63:$CC$63,0)),
INDEX(単価表!$AY$72:$CC$79,MATCH($V88&amp;$W88,INDEX(単価表!$AY$64:$AY$71&amp;単価表!$AZ$64:$AZ$71,),),MATCH(内訳計算!AT$6,単価表!$AY$63:$CC$63,0))),0),0)</f>
        <v>0</v>
      </c>
      <c r="AU88" s="1023" cm="1">
        <f t="array" ref="AU88">IFERROR(ROUNDUP(IF(HLOOKUP($U88,加算と減算!$E$4:$P$10,6,FALSE)="○",IF(OR($U88=2,$U88=3),
INDEX(単価表!$AY$72:$CC$79,MATCH($V88&amp;$W88,INDEX(単価表!$AY$64:$AY$71&amp;単価表!$AZ$64:$AZ$71,),),MATCH(内訳計算!AU$6,単価表!$AY$63:$CC$63,0)),
INDEX(単価表!$AY$72:$CC$79,MATCH($V88&amp;$W88,INDEX(単価表!$AY$64:$AY$71&amp;単価表!$AZ$64:$AZ$71,),),MATCH(内訳計算!AU$6,単価表!$AY$63:$CC$63,0))),0)*$Y88/25,0),0)</f>
        <v>0</v>
      </c>
      <c r="AV88" s="1021" cm="1">
        <f t="array" ref="AV88">IFERROR(IF(HLOOKUP($U88,加算と減算!$E$4:$P$10,7,FALSE)="○",IF(OR($U88=2,$U88=3),
INDEX(単価表!$AY$72:$CC$79,MATCH($V88&amp;$W88,INDEX(単価表!$AY$64:$AY$71&amp;単価表!$AZ$64:$AZ$71,),),MATCH(内訳計算!AV$6,単価表!$AY$63:$CC$63,0)),
INDEX(単価表!$AY$72:$CC$79,MATCH($V88&amp;$W88,INDEX(単価表!$AY$64:$AY$71&amp;単価表!$AZ$64:$AZ$71,),),MATCH(内訳計算!AV$6,単価表!$AY$63:$CC$63,0))),0),0)</f>
        <v>0</v>
      </c>
      <c r="AW88" s="1022" cm="1">
        <f t="array" ref="AW88">IFERROR(ROUNDUP(IF(HLOOKUP($U88,加算と減算!$E$4:$P$10,7,FALSE)="○",IF(OR($U88=2,$U88=3),
INDEX(単価表!$AY$72:$CC$79,MATCH($V88&amp;$W88,INDEX(単価表!$AY$64:$AY$71&amp;単価表!$AZ$64:$AZ$71,),),MATCH(内訳計算!AW$6,単価表!$AY$63:$CC$63,0)),
INDEX(単価表!$AY$72:$CC$79,MATCH($V88&amp;$W88,INDEX(単価表!$AY$64:$AY$71&amp;単価表!$AZ$64:$AZ$71,),),MATCH(内訳計算!AW$6,単価表!$AY$63:$CC$63,0))),0)*$Y88/25,0),0)</f>
        <v>0</v>
      </c>
      <c r="AX88" s="1022" cm="1">
        <f t="array" ref="AX88">IFERROR(ROUNDUP(IF(HLOOKUP($U88,加算と減算!$E$4:$P$10,7,FALSE)="○",IF(OR($U88=2,$U88=3),
INDEX(単価表!$AY$72:$CC$79,MATCH($V88&amp;$W88,INDEX(単価表!$AY$64:$AY$71&amp;単価表!$AZ$64:$AZ$71,),),MATCH(内訳計算!AX$6,単価表!$AY$63:$CC$63,0)),
INDEX(単価表!$AY$72:$CC$79,MATCH($V88&amp;$W88,INDEX(単価表!$AY$64:$AY$71&amp;単価表!$AZ$64:$AZ$71,),),MATCH(内訳計算!AX$6,単価表!$AY$63:$CC$63,0))),0)*$Y88/25,0),0)</f>
        <v>0</v>
      </c>
      <c r="AY88" s="1023" cm="1">
        <f t="array" ref="AY88">IFERROR(ROUNDUP(IF(HLOOKUP($U88,加算と減算!$E$4:$P$10,7,FALSE)="○",IF(OR($U88=2,$U88=3),
INDEX(単価表!$AY$72:$CC$79,MATCH($V88&amp;$W88,INDEX(単価表!$AY$64:$AY$71&amp;単価表!$AZ$64:$AZ$71,),),MATCH(内訳計算!AY$6,単価表!$AY$63:$CC$63,0)),
INDEX(単価表!$AY$72:$CC$79,MATCH($V88&amp;$W88,INDEX(単価表!$AY$64:$AY$71&amp;単価表!$AZ$64:$AZ$71,),),MATCH(内訳計算!AY$6,単価表!$AY$63:$CC$63,0))),0)*$Y88/25,0),0)</f>
        <v>0</v>
      </c>
      <c r="AZ88" s="1021" cm="1">
        <f t="array" ref="AZ88">IFERROR(IF(X88="○",INDEX(単価表!$AY$72:$CC$79,MATCH($V88&amp;$W88,INDEX(単価表!$AY$64:$AY$71&amp;単価表!$AZ$64:$AZ$71,),),MATCH(内訳計算!AZ$6,単価表!$AY$63:$CC$63,0)),0),0)</f>
        <v>0</v>
      </c>
      <c r="BA88" s="1023" cm="1">
        <f t="array" ref="BA88">IFERROR(ROUNDUP(INDEX(単価表!$AY$72:$CC$79,MATCH($V88&amp;$W88,INDEX(単価表!$AY$64:$AY$71&amp;単価表!$AZ$64:$AZ$71,),),MATCH(内訳計算!BA$6,単価表!$AY$63:$CC$63,0))*$Y88/25,0),0)</f>
        <v>0</v>
      </c>
      <c r="BB88" s="1021" cm="1">
        <f t="array" ref="BB88">IFERROR(INDEX(単価表!$AY$72:$CC$79,MATCH($V88&amp;$W88,INDEX(単価表!$AY$64:$AY$71&amp;単価表!$AZ$64:$AZ$71,),),MATCH(内訳計算!BB$6,単価表!$AY$63:$CC$63,0)),0)</f>
        <v>0</v>
      </c>
      <c r="BC88" s="1023" cm="1">
        <f t="array" ref="BC88">IFERROR(ROUNDUP(INDEX(単価表!$AY$72:$CC$79,MATCH($V88&amp;$W88,INDEX(単価表!$AY$64:$AY$71&amp;単価表!$AZ$64:$AZ$71,),),MATCH(内訳計算!BC$6,単価表!$AY$63:$CC$63,0))*$Y88/25,0),0)</f>
        <v>0</v>
      </c>
      <c r="BD88" s="979">
        <f>IFERROR(IF(HLOOKUP($U88,加算と減算!$E$31:$P$32,2,FALSE)="○",IF(OR($U88=2,$U88=3),-(単価表!$AZ$23+単価表!$BA$23*基本情報!$G$7),-(単価表!$AZ$23+単価表!$BA$23*基本情報!$G$7)),0),0)</f>
        <v>0</v>
      </c>
      <c r="BE88" s="1025" t="e">
        <f t="shared" ref="BE88:BE107" si="171">ROUNDUP($BD88*$Y88/25,0)-BF88-BG88</f>
        <v>#VALUE!</v>
      </c>
      <c r="BF88" s="1025" t="e">
        <f t="shared" ref="BF88:BF107" si="172">ROUNDUP($BD88*$Y88/25*$BF$61,0)</f>
        <v>#VALUE!</v>
      </c>
      <c r="BG88" s="1026" t="e">
        <f t="shared" ref="BG88:BG107" si="173">ROUNDUP($BD88*$Y88/25*$BG$61,0)</f>
        <v>#N/A</v>
      </c>
      <c r="BH88" s="1027">
        <f>IFERROR(IF(基本情報!$E$12&lt;&gt;"",-ROUNDDOWN((AA88+AE88+AH88+AL88)*基本情報!$H$13/100,-1),0),0)</f>
        <v>0</v>
      </c>
      <c r="BI88" s="1025" t="e">
        <f t="shared" ref="BI88:BI107" si="174">ROUNDUP($BH88*$Y88/25,0)-BJ88-BK88</f>
        <v>#VALUE!</v>
      </c>
      <c r="BJ88" s="1025" t="e">
        <f t="shared" ref="BJ88:BJ107" si="175">ROUNDUP($BH88*$Y88/25*$BJ$61,0)</f>
        <v>#VALUE!</v>
      </c>
      <c r="BK88" s="1028" t="e">
        <f t="shared" ref="BK88:BK107" si="176">ROUNDUP($BH88*$Y88/25*$BK$61,0)</f>
        <v>#N/A</v>
      </c>
      <c r="BL88" s="1027">
        <f>-ROUNDDOWN((AA88+AE88)*1/10,-1)</f>
        <v>0</v>
      </c>
      <c r="BM88" s="1025" t="e">
        <f t="shared" ref="BM88:BM107" si="177">ROUNDUP($BL88*$Y88/25,0)-BN88-BO88</f>
        <v>#VALUE!</v>
      </c>
      <c r="BN88" s="1025" t="e">
        <f t="shared" ref="BN88:BN107" si="178">ROUNDUP($BL88*$Y88/25*$BN$61,0)</f>
        <v>#VALUE!</v>
      </c>
      <c r="BO88" s="1028" t="e">
        <f t="shared" ref="BO88:BO107" si="179">ROUNDUP($BL88*$Y88/25*$BO$61,0)</f>
        <v>#N/A</v>
      </c>
      <c r="BP88" s="1029">
        <f>IFERROR(-ROUNDUP(SUM(AA88,AE88,AH88,AL88,AR88,AT88,AV88,BD88,BH88,BL88)*基本情報!$H$15/100,-1),0)</f>
        <v>0</v>
      </c>
      <c r="BQ88" s="1025" t="e">
        <f t="shared" ref="BQ88:BQ107" si="180">ROUNDUP($BP88*$Y88/25,0)-BR88-BS88</f>
        <v>#VALUE!</v>
      </c>
      <c r="BR88" s="1025" t="e">
        <f t="shared" ref="BR88:BR107" si="181">ROUNDUP($BP88*$Y88/25*$BR$61,0)</f>
        <v>#VALUE!</v>
      </c>
      <c r="BS88" s="1028" t="e">
        <f t="shared" ref="BS88:BS107" si="182">ROUNDUP($BP88*$Y88/25*$BS$61,0)</f>
        <v>#N/A</v>
      </c>
      <c r="BU88" s="1040" t="e">
        <f>-(AB88+AI88+AM88+AW88+BE88+BI88+BM88)</f>
        <v>#VALUE!</v>
      </c>
      <c r="BV88" s="1041" t="e">
        <f>-(AC88+AN88+BA88+BF88+BJ88+BN88)</f>
        <v>#VALUE!</v>
      </c>
      <c r="BW88" s="1041" t="e">
        <f>-(AD88+AO88+AS88+AU88+BC88+BG88+BK88+BO88)</f>
        <v>#N/A</v>
      </c>
      <c r="BX88" s="1050">
        <f>-(AF88+AJ88+AP88+AX88)</f>
        <v>0</v>
      </c>
      <c r="BY88" s="1042">
        <f>-(AG88+AK88+AQ88+AY88)</f>
        <v>0</v>
      </c>
    </row>
    <row r="89" spans="1:114" ht="18.75" customHeight="1">
      <c r="A89" s="1640"/>
      <c r="B89" s="808"/>
      <c r="C89" s="808"/>
      <c r="D89" s="952" t="s">
        <v>680</v>
      </c>
      <c r="E89" s="809"/>
      <c r="F89" s="809"/>
      <c r="G89" s="809"/>
      <c r="H89" s="809"/>
      <c r="I89" s="809"/>
      <c r="J89" s="809"/>
      <c r="K89" s="809"/>
      <c r="L89" s="809"/>
      <c r="M89" s="809"/>
      <c r="N89" s="809"/>
      <c r="O89" s="809"/>
      <c r="P89" s="809"/>
      <c r="Q89" s="801"/>
      <c r="T89" s="682">
        <v>2</v>
      </c>
      <c r="U89" s="918">
        <f>月途中入退所情報!N32</f>
        <v>0</v>
      </c>
      <c r="V89" s="918">
        <f>月途中入退所情報!R32</f>
        <v>0</v>
      </c>
      <c r="W89" s="918">
        <f>月途中入退所情報!Q32</f>
        <v>0</v>
      </c>
      <c r="X89" s="945">
        <f>月途中入退所情報!S32</f>
        <v>0</v>
      </c>
      <c r="Y89" s="918">
        <f>月途中入退所情報!T32</f>
        <v>0</v>
      </c>
      <c r="Z89" s="840">
        <f t="shared" ref="Z89:Z107" si="183">-ROUNDUP((AA89+AE89+AH89+AL89+AR89+AT89+AV89+AZ89+BB89+BD89+BH89+BL89+BP89)*Y89/25,-1)</f>
        <v>0</v>
      </c>
      <c r="AA89" s="1021" cm="1">
        <f t="array" ref="AA89">IFERROR(IF(OR($U89=2,$U89=3),
INDEX(単価表!$AY$72:$CC$79,MATCH($V89&amp;$W89,INDEX(単価表!$AY$64:$AY$71&amp;単価表!$AZ$64:$AZ$71,),),MATCH(内訳計算!AA$6,単価表!$AY$63:$CC$63,0)),
INDEX(単価表!$AY$72:$CC$79,MATCH($V89&amp;$W89,INDEX(単価表!$AY$64:$AY$71&amp;単価表!$AZ$64:$AZ$71,),),MATCH(内訳計算!AA$6,単価表!$AY$63:$CC$63,0))),0)</f>
        <v>0</v>
      </c>
      <c r="AB89" s="1022" t="e">
        <f t="shared" ref="AB89:AB107" si="184">-Z89-SUM(AC89:AD89,AF89:AG89,AI89:AK89,AM89:AQ89,AS89,AU89,AW89:AY89,BA89,BC89,BE89:BG89,BI89:BK89,BM89:BO89)</f>
        <v>#VALUE!</v>
      </c>
      <c r="AC89" s="1022" cm="1">
        <f t="array" ref="AC89">IFERROR(ROUNDUP(IF(OR($U89=2,$U89=3),
INDEX(単価表!$AY$72:$CC$79,MATCH($V89&amp;$W89,INDEX(単価表!$AY$64:$AY$71&amp;単価表!$AZ$64:$AZ$71,),),MATCH(内訳計算!AC$6,単価表!$AY$63:$CC$63,0)),
INDEX(単価表!$AY$72:$CC$79,MATCH($V89&amp;$W89,INDEX(単価表!$AY$64:$AY$71&amp;単価表!$AZ$64:$AZ$71,),),MATCH(内訳計算!AC$6,単価表!$AY$63:$CC$63,0)))*$Y89/25,0),0)</f>
        <v>0</v>
      </c>
      <c r="AD89" s="1023" cm="1">
        <f t="array" ref="AD89">IFERROR(ROUNDUP(IF(OR($U89=2,$U89=3),
INDEX(単価表!$AY$72:$CC$79,MATCH($V89&amp;$W89,INDEX(単価表!$AY$64:$AY$71&amp;単価表!$AZ$64:$AZ$71,),),MATCH(内訳計算!AD$6,単価表!$AY$63:$CC$63,0)),
INDEX(単価表!$AY$72:$CC$79,MATCH($V89&amp;$W89,INDEX(単価表!$AY$64:$AY$71&amp;単価表!$AZ$64:$AZ$71,),),MATCH(内訳計算!AD$6,単価表!$AY$63:$CC$63,0)))*$Y89/25,0),0)</f>
        <v>0</v>
      </c>
      <c r="AE89" s="1021" cm="1">
        <f t="array" ref="AE89">IFERROR(IF(OR($U89=2,$U89=3),
INDEX(単価表!$AY$72:$CC$79,MATCH($V89&amp;$W89,INDEX(単価表!$AY$64:$AY$71&amp;単価表!$AZ$64:$AZ$71,),),MATCH(内訳計算!AE$6,単価表!$AY$63:$CC$63,0)),
INDEX(単価表!$AY$72:$CC$79,MATCH($V89&amp;$W89,INDEX(単価表!$AY$64:$AY$71&amp;単価表!$AZ$64:$AZ$71,),),MATCH(内訳計算!AE$6,単価表!$AY$63:$CC$63,0))),0)</f>
        <v>0</v>
      </c>
      <c r="AF89" s="1022" cm="1">
        <f t="array" ref="AF89">IFERROR(ROUNDUP(IF(OR($U89=2,$U89=3),
INDEX(単価表!$AY$72:$CC$79,MATCH($V89&amp;$W89,INDEX(単価表!$AY$64:$AY$71&amp;単価表!$AZ$64:$AZ$71,),),MATCH(内訳計算!AF$6,単価表!$AY$63:$CC$63,0)),
INDEX(単価表!$AY$72:$CC$79,MATCH($V89&amp;$W89,INDEX(単価表!$AY$64:$AY$71&amp;単価表!$AZ$64:$AZ$71,),),MATCH(内訳計算!AF$6,単価表!$AY$63:$CC$63,0)))*$Y89/25,0),0)</f>
        <v>0</v>
      </c>
      <c r="AG89" s="1023" cm="1">
        <f t="array" ref="AG89">IFERROR(ROUNDUP(IF(OR($U89=2,$U89=3),
INDEX(単価表!$AY$72:$CC$79,MATCH($V89&amp;$W89,INDEX(単価表!$AY$64:$AY$71&amp;単価表!$AZ$64:$AZ$71,),),MATCH(内訳計算!AG$6,単価表!$AY$63:$CC$63,0)),
INDEX(単価表!$AY$72:$CC$79,MATCH($V89&amp;$W89,INDEX(単価表!$AY$64:$AY$71&amp;単価表!$AZ$64:$AZ$71,),),MATCH(内訳計算!AG$6,単価表!$AY$63:$CC$63,0)))*$Y89/25,0),0)</f>
        <v>0</v>
      </c>
      <c r="AH89" s="1021" cm="1">
        <f t="array" ref="AH89">IFERROR(IF(HLOOKUP($U89,加算と減算!$E$4:$P$10,2,FALSE)="○",IF(OR($U89=2,$U89=3),
INDEX(単価表!$AY$72:$CC$79,MATCH($V89&amp;$W89,INDEX(単価表!$AY$64:$AY$71&amp;単価表!$AZ$64:$AZ$71,),),MATCH(内訳計算!AH$6,単価表!$AY$63:$CC$63,0)),
INDEX(単価表!$AY$72:$CC$79,MATCH($V89&amp;$W89,INDEX(単価表!$AY$64:$AY$71&amp;単価表!$AZ$64:$AZ$71,),),MATCH(内訳計算!AH$6,単価表!$AY$63:$CC$63,0))),0),0)</f>
        <v>0</v>
      </c>
      <c r="AI89" s="1024" cm="1">
        <f t="array" ref="AI89">IFERROR(ROUNDUP(IF(HLOOKUP($U89,加算と減算!$E$4:$P$10,2,FALSE)="○",IF(OR($U89=2,$U89=3),
INDEX(単価表!$AY$72:$CC$79,MATCH($V89&amp;$W89,INDEX(単価表!$AY$64:$AY$71&amp;単価表!$AZ$64:$AZ$71,),),MATCH(内訳計算!AI$6,単価表!$AY$63:$CC$63,0)),
INDEX(単価表!$AY$72:$CC$79,MATCH($V89&amp;$W89,INDEX(単価表!$AY$64:$AY$71&amp;単価表!$AZ$64:$AZ$71,),),MATCH(内訳計算!AI$6,単価表!$AY$63:$CC$63,0))),0)*$Y89/25,0),0)</f>
        <v>0</v>
      </c>
      <c r="AJ89" s="1022" cm="1">
        <f t="array" ref="AJ89">IFERROR(ROUNDUP(IF(HLOOKUP($U89,加算と減算!$E$4:$P$10,2,FALSE)="○",IF(OR($U89=2,$U89=3),
INDEX(単価表!$AY$72:$CC$79,MATCH($V89&amp;$W89,INDEX(単価表!$AY$64:$AY$71&amp;単価表!$AZ$64:$AZ$71,),),MATCH(内訳計算!AJ$6,単価表!$AY$63:$CC$63,0)),
INDEX(単価表!$AY$72:$CC$79,MATCH($V89&amp;$W89,INDEX(単価表!$AY$64:$AY$71&amp;単価表!$AZ$64:$AZ$71,),),MATCH(内訳計算!AJ$6,単価表!$AY$63:$CC$63,0))),0)*$Y89/25,0),0)</f>
        <v>0</v>
      </c>
      <c r="AK89" s="1023" cm="1">
        <f t="array" ref="AK89">IFERROR(ROUNDUP(IF(HLOOKUP($U89,加算と減算!$E$4:$P$10,2,FALSE)="○",IF(OR($U89=2,$U89=3),
INDEX(単価表!$AY$72:$CC$79,MATCH($V89&amp;$W89,INDEX(単価表!$AY$64:$AY$71&amp;単価表!$AZ$64:$AZ$71,),),MATCH(内訳計算!AK$6,単価表!$AY$63:$CC$63,0)),
INDEX(単価表!$AY$72:$CC$79,MATCH($V89&amp;$W89,INDEX(単価表!$AY$64:$AY$71&amp;単価表!$AZ$64:$AZ$71,),),MATCH(内訳計算!AK$6,単価表!$AY$63:$CC$63,0))),0)*$Y89/25,0),0)</f>
        <v>0</v>
      </c>
      <c r="AL89" s="1021" cm="1">
        <f t="array" ref="AL89">IFERROR(IF(HLOOKUP($U89,加算と減算!$E$4:$P$10,4,FALSE)="○",IF(OR($U89=2,$U89=3),
INDEX(単価表!$AY$72:$CC$79,MATCH($V89&amp;$W89,INDEX(単価表!$AY$64:$AY$71&amp;単価表!$AZ$64:$AZ$71,),),MATCH(内訳計算!AL$6,単価表!$AY$63:$CC$63,0)),
INDEX(単価表!$AY$72:$CC$79,MATCH($V89&amp;$W89,INDEX(単価表!$AY$64:$AY$71&amp;単価表!$AZ$64:$AZ$71,),),MATCH(内訳計算!AL$6,単価表!$AY$63:$CC$63,0))),0),0)</f>
        <v>0</v>
      </c>
      <c r="AM89" s="1022" cm="1">
        <f t="array" ref="AM89">IFERROR(ROUNDUP(IF(HLOOKUP($U89,加算と減算!$E$4:$P$10,4,FALSE)="○",IF(OR($U89=2,$U89=3),
INDEX(単価表!$AY$72:$CC$79,MATCH($V89&amp;$W89,INDEX(単価表!$AY$64:$AY$71&amp;単価表!$AZ$64:$AZ$71,),),MATCH(内訳計算!AM$6,単価表!$AY$63:$CC$63,0)),
INDEX(単価表!$AY$72:$CC$79,MATCH($V89&amp;$W89,INDEX(単価表!$AY$64:$AY$71&amp;単価表!$AZ$64:$AZ$71,),),MATCH(内訳計算!AM$6,単価表!$AY$63:$CC$63,0))),0)*$Y89/25,0),0)</f>
        <v>0</v>
      </c>
      <c r="AN89" s="1022" cm="1">
        <f t="array" ref="AN89">IFERROR(ROUNDUP(IF(HLOOKUP($U89,加算と減算!$E$4:$P$10,4,FALSE)="○",IF(OR($U89=2,$U89=3),
INDEX(単価表!$AY$72:$CC$79,MATCH($V89&amp;$W89,INDEX(単価表!$AY$64:$AY$71&amp;単価表!$AZ$64:$AZ$71,),),MATCH(内訳計算!AN$6,単価表!$AY$63:$CC$63,0)),
INDEX(単価表!$AY$72:$CC$79,MATCH($V89&amp;$W89,INDEX(単価表!$AY$64:$AY$71&amp;単価表!$AZ$64:$AZ$71,),),MATCH(内訳計算!AN$6,単価表!$AY$63:$CC$63,0))),0)*$Y89/25,0),0)</f>
        <v>0</v>
      </c>
      <c r="AO89" s="1022" cm="1">
        <f t="array" ref="AO89">IFERROR(ROUNDUP(IF(HLOOKUP($U89,加算と減算!$E$4:$P$10,4,FALSE)="○",IF(OR($U89=2,$U89=3),
INDEX(単価表!$AY$72:$CC$79,MATCH($V89&amp;$W89,INDEX(単価表!$AY$64:$AY$71&amp;単価表!$AZ$64:$AZ$71,),),MATCH(内訳計算!AO$6,単価表!$AY$63:$CC$63,0)),
INDEX(単価表!$AY$72:$CC$79,MATCH($V89&amp;$W89,INDEX(単価表!$AY$64:$AY$71&amp;単価表!$AZ$64:$AZ$71,),),MATCH(内訳計算!AO$6,単価表!$AY$63:$CC$63,0))),0)*$Y89/25,0),0)</f>
        <v>0</v>
      </c>
      <c r="AP89" s="1022" cm="1">
        <f t="array" ref="AP89">IFERROR(ROUNDUP(IF(HLOOKUP($U89,加算と減算!$E$4:$P$10,4,FALSE)="○",IF(OR($U89=2,$U89=3),
INDEX(単価表!$AY$72:$CC$79,MATCH($V89&amp;$W89,INDEX(単価表!$AY$64:$AY$71&amp;単価表!$AZ$64:$AZ$71,),),MATCH(内訳計算!AP$6,単価表!$AY$63:$CC$63,0)),
INDEX(単価表!$AY$72:$CC$79,MATCH($V89&amp;$W89,INDEX(単価表!$AY$64:$AY$71&amp;単価表!$AZ$64:$AZ$71,),),MATCH(内訳計算!AP$6,単価表!$AY$63:$CC$63,0))),0)*$Y89/25,0),0)</f>
        <v>0</v>
      </c>
      <c r="AQ89" s="1023" cm="1">
        <f t="array" ref="AQ89">IFERROR(ROUNDUP(IF(HLOOKUP($U89,加算と減算!$E$4:$P$10,4,FALSE)="○",IF(OR($U89=2,$U89=3),
INDEX(単価表!$AY$72:$CC$79,MATCH($V89&amp;$W89,INDEX(単価表!$AY$64:$AY$71&amp;単価表!$AZ$64:$AZ$71,),),MATCH(内訳計算!AQ$6,単価表!$AY$63:$CC$63,0)),
INDEX(単価表!$AY$72:$CC$79,MATCH($V89&amp;$W89,INDEX(単価表!$AY$64:$AY$71&amp;単価表!$AZ$64:$AZ$71,),),MATCH(内訳計算!AQ$6,単価表!$AY$63:$CC$63,0))),0)*$Y89/25,0),0)</f>
        <v>0</v>
      </c>
      <c r="AR89" s="1021" cm="1">
        <f t="array" ref="AR89">IFERROR(IF(HLOOKUP($U89,加算と減算!$E$4:$P$10,5,FALSE)="○",IF(OR($U89=2,$U89=3),
INDEX(単価表!$AY$72:$CC$79,MATCH($V89&amp;$W89,INDEX(単価表!$AY$64:$AY$71&amp;単価表!$AZ$64:$AZ$71,),),MATCH(内訳計算!AR$6,単価表!$AY$63:$CC$63,0)),
INDEX(単価表!$AY$72:$CC$79,MATCH($V89&amp;$W89,INDEX(単価表!$AY$64:$AY$71&amp;単価表!$AZ$64:$AZ$71,),),MATCH(内訳計算!AR$6,単価表!$AY$63:$CC$63,0))),0),0)</f>
        <v>0</v>
      </c>
      <c r="AS89" s="1023" cm="1">
        <f t="array" ref="AS89">IFERROR(ROUNDUP(IF(HLOOKUP($U89,加算と減算!$E$4:$P$10,5,FALSE)="○",IF(OR($U89=2,$U89=3),
INDEX(単価表!$AY$72:$CC$79,MATCH($V89&amp;$W89,INDEX(単価表!$AY$64:$AY$71&amp;単価表!$AZ$64:$AZ$71,),),MATCH(内訳計算!AS$6,単価表!$AY$63:$CC$63,0)),
INDEX(単価表!$AY$72:$CC$79,MATCH($V89&amp;$W89,INDEX(単価表!$AY$64:$AY$71&amp;単価表!$AZ$64:$AZ$71,),),MATCH(内訳計算!AS$6,単価表!$AY$63:$CC$63,0))),0)*$Y89/25,0),0)</f>
        <v>0</v>
      </c>
      <c r="AT89" s="1021" cm="1">
        <f t="array" ref="AT89">IFERROR(IF(HLOOKUP($U89,加算と減算!$E$4:$P$10,6,FALSE)="○",IF(OR($U89=2,$U89=3),
INDEX(単価表!$AY$72:$CC$79,MATCH($V89&amp;$W89,INDEX(単価表!$AY$64:$AY$71&amp;単価表!$AZ$64:$AZ$71,),),MATCH(内訳計算!AT$6,単価表!$AY$63:$CC$63,0)),
INDEX(単価表!$AY$72:$CC$79,MATCH($V89&amp;$W89,INDEX(単価表!$AY$64:$AY$71&amp;単価表!$AZ$64:$AZ$71,),),MATCH(内訳計算!AT$6,単価表!$AY$63:$CC$63,0))),0),0)</f>
        <v>0</v>
      </c>
      <c r="AU89" s="1023" cm="1">
        <f t="array" ref="AU89">IFERROR(ROUNDUP(IF(HLOOKUP($U89,加算と減算!$E$4:$P$10,6,FALSE)="○",IF(OR($U89=2,$U89=3),
INDEX(単価表!$AY$72:$CC$79,MATCH($V89&amp;$W89,INDEX(単価表!$AY$64:$AY$71&amp;単価表!$AZ$64:$AZ$71,),),MATCH(内訳計算!AU$6,単価表!$AY$63:$CC$63,0)),
INDEX(単価表!$AY$72:$CC$79,MATCH($V89&amp;$W89,INDEX(単価表!$AY$64:$AY$71&amp;単価表!$AZ$64:$AZ$71,),),MATCH(内訳計算!AU$6,単価表!$AY$63:$CC$63,0))),0)*$Y89/25,0),0)</f>
        <v>0</v>
      </c>
      <c r="AV89" s="1021" cm="1">
        <f t="array" ref="AV89">IFERROR(IF(HLOOKUP($U89,加算と減算!$E$4:$P$10,7,FALSE)="○",IF(OR($U89=2,$U89=3),
INDEX(単価表!$AY$72:$CC$79,MATCH($V89&amp;$W89,INDEX(単価表!$AY$64:$AY$71&amp;単価表!$AZ$64:$AZ$71,),),MATCH(内訳計算!AV$6,単価表!$AY$63:$CC$63,0)),
INDEX(単価表!$AY$72:$CC$79,MATCH($V89&amp;$W89,INDEX(単価表!$AY$64:$AY$71&amp;単価表!$AZ$64:$AZ$71,),),MATCH(内訳計算!AV$6,単価表!$AY$63:$CC$63,0))),0),0)</f>
        <v>0</v>
      </c>
      <c r="AW89" s="1022" cm="1">
        <f t="array" ref="AW89">IFERROR(ROUNDUP(IF(HLOOKUP($U89,加算と減算!$E$4:$P$10,7,FALSE)="○",IF(OR($U89=2,$U89=3),
INDEX(単価表!$AY$72:$CC$79,MATCH($V89&amp;$W89,INDEX(単価表!$AY$64:$AY$71&amp;単価表!$AZ$64:$AZ$71,),),MATCH(内訳計算!AW$6,単価表!$AY$63:$CC$63,0)),
INDEX(単価表!$AY$72:$CC$79,MATCH($V89&amp;$W89,INDEX(単価表!$AY$64:$AY$71&amp;単価表!$AZ$64:$AZ$71,),),MATCH(内訳計算!AW$6,単価表!$AY$63:$CC$63,0))),0)*$Y89/25,0),0)</f>
        <v>0</v>
      </c>
      <c r="AX89" s="1022" cm="1">
        <f t="array" ref="AX89">IFERROR(ROUNDUP(IF(HLOOKUP($U89,加算と減算!$E$4:$P$10,7,FALSE)="○",IF(OR($U89=2,$U89=3),
INDEX(単価表!$AY$72:$CC$79,MATCH($V89&amp;$W89,INDEX(単価表!$AY$64:$AY$71&amp;単価表!$AZ$64:$AZ$71,),),MATCH(内訳計算!AX$6,単価表!$AY$63:$CC$63,0)),
INDEX(単価表!$AY$72:$CC$79,MATCH($V89&amp;$W89,INDEX(単価表!$AY$64:$AY$71&amp;単価表!$AZ$64:$AZ$71,),),MATCH(内訳計算!AX$6,単価表!$AY$63:$CC$63,0))),0)*$Y89/25,0),0)</f>
        <v>0</v>
      </c>
      <c r="AY89" s="1023" cm="1">
        <f t="array" ref="AY89">IFERROR(ROUNDUP(IF(HLOOKUP($U89,加算と減算!$E$4:$P$10,7,FALSE)="○",IF(OR($U89=2,$U89=3),
INDEX(単価表!$AY$72:$CC$79,MATCH($V89&amp;$W89,INDEX(単価表!$AY$64:$AY$71&amp;単価表!$AZ$64:$AZ$71,),),MATCH(内訳計算!AY$6,単価表!$AY$63:$CC$63,0)),
INDEX(単価表!$AY$72:$CC$79,MATCH($V89&amp;$W89,INDEX(単価表!$AY$64:$AY$71&amp;単価表!$AZ$64:$AZ$71,),),MATCH(内訳計算!AY$6,単価表!$AY$63:$CC$63,0))),0)*$Y89/25,0),0)</f>
        <v>0</v>
      </c>
      <c r="AZ89" s="1021" cm="1">
        <f t="array" ref="AZ89">IFERROR(IF(X89="○",INDEX(単価表!$AY$72:$CC$79,MATCH($V89&amp;$W89,INDEX(単価表!$AY$64:$AY$71&amp;単価表!$AZ$64:$AZ$71,),),MATCH(内訳計算!AZ$6,単価表!$AY$63:$CC$63,0)),0),0)</f>
        <v>0</v>
      </c>
      <c r="BA89" s="1023" cm="1">
        <f t="array" ref="BA89">IFERROR(ROUNDUP(INDEX(単価表!$AY$72:$CC$79,MATCH($V89&amp;$W89,INDEX(単価表!$AY$64:$AY$71&amp;単価表!$AZ$64:$AZ$71,),),MATCH(内訳計算!BA$6,単価表!$AY$63:$CC$63,0))*$Y89/25,0),0)</f>
        <v>0</v>
      </c>
      <c r="BB89" s="1021" cm="1">
        <f t="array" ref="BB89">IFERROR(INDEX(単価表!$AY$72:$CC$79,MATCH($V89&amp;$W89,INDEX(単価表!$AY$64:$AY$71&amp;単価表!$AZ$64:$AZ$71,),),MATCH(内訳計算!BB$6,単価表!$AY$63:$CC$63,0)),0)</f>
        <v>0</v>
      </c>
      <c r="BC89" s="1023" cm="1">
        <f t="array" ref="BC89">IFERROR(ROUNDUP(INDEX(単価表!$AY$72:$CC$79,MATCH($V89&amp;$W89,INDEX(単価表!$AY$64:$AY$71&amp;単価表!$AZ$64:$AZ$71,),),MATCH(内訳計算!BC$6,単価表!$AY$63:$CC$63,0))*$Y89/25,0),0)</f>
        <v>0</v>
      </c>
      <c r="BD89" s="985">
        <f>IFERROR(IF(HLOOKUP($U89,加算と減算!$E$31:$P$32,2,FALSE)="○",IF(OR($U89=2,$U89=3),-(単価表!$AZ$23+単価表!$BA$23*基本情報!$G$7),-(単価表!$AZ$23+単価表!$BA$23*基本情報!$G$7)),0),0)</f>
        <v>0</v>
      </c>
      <c r="BE89" s="1007" t="e">
        <f t="shared" si="171"/>
        <v>#VALUE!</v>
      </c>
      <c r="BF89" s="1007" t="e">
        <f t="shared" si="172"/>
        <v>#VALUE!</v>
      </c>
      <c r="BG89" s="1030" t="e">
        <f t="shared" si="173"/>
        <v>#N/A</v>
      </c>
      <c r="BH89" s="1031">
        <f>IFERROR(IF(基本情報!$E$12&lt;&gt;"",-ROUNDDOWN((AA89+AE89+AH89+AL89)*基本情報!$H$13/100,-1),0),0)</f>
        <v>0</v>
      </c>
      <c r="BI89" s="1007" t="e">
        <f t="shared" si="174"/>
        <v>#VALUE!</v>
      </c>
      <c r="BJ89" s="1007" t="e">
        <f t="shared" si="175"/>
        <v>#VALUE!</v>
      </c>
      <c r="BK89" s="1008" t="e">
        <f t="shared" si="176"/>
        <v>#N/A</v>
      </c>
      <c r="BL89" s="1031">
        <f t="shared" ref="BL89:BL107" si="185">-ROUNDDOWN((AA89+AE89)*1/10,-1)</f>
        <v>0</v>
      </c>
      <c r="BM89" s="1007" t="e">
        <f t="shared" si="177"/>
        <v>#VALUE!</v>
      </c>
      <c r="BN89" s="1007" t="e">
        <f t="shared" si="178"/>
        <v>#VALUE!</v>
      </c>
      <c r="BO89" s="1008" t="e">
        <f t="shared" si="179"/>
        <v>#N/A</v>
      </c>
      <c r="BP89" s="1006">
        <f>IFERROR(-ROUNDUP(SUM(AA89,AE89,AH89,AL89,AR89,AT89,AV89,BD89,BH89,BL89)*基本情報!$H$15/100,-1),0)</f>
        <v>0</v>
      </c>
      <c r="BQ89" s="1007" t="e">
        <f t="shared" si="180"/>
        <v>#VALUE!</v>
      </c>
      <c r="BR89" s="1007" t="e">
        <f t="shared" si="181"/>
        <v>#VALUE!</v>
      </c>
      <c r="BS89" s="1008" t="e">
        <f t="shared" si="182"/>
        <v>#N/A</v>
      </c>
      <c r="BU89" s="1043" t="e">
        <f t="shared" ref="BU89:BU107" si="186">-(AB89+AI89+AM89+AW89+BE89+BI89+BM89)</f>
        <v>#VALUE!</v>
      </c>
      <c r="BV89" s="1044" t="e">
        <f t="shared" ref="BV89:BV107" si="187">-(AC89+AN89+BA89+BF89+BJ89+BN89)</f>
        <v>#VALUE!</v>
      </c>
      <c r="BW89" s="1044" t="e">
        <f t="shared" ref="BW89:BW107" si="188">-(AD89+AO89+AS89+AU89+BC89+BG89+BK89+BO89)</f>
        <v>#N/A</v>
      </c>
      <c r="BX89" s="1051">
        <f t="shared" ref="BX89:BX107" si="189">-(AF89+AJ89+AP89+AX89)</f>
        <v>0</v>
      </c>
      <c r="BY89" s="1045">
        <f t="shared" ref="BY89:BY107" si="190">-(AG89+AK89+AQ89+AY89)</f>
        <v>0</v>
      </c>
    </row>
    <row r="90" spans="1:114" ht="19.5" customHeight="1" thickBot="1">
      <c r="A90" s="1640"/>
      <c r="B90" s="953" t="s">
        <v>590</v>
      </c>
      <c r="C90" s="903"/>
      <c r="D90" s="903"/>
      <c r="E90" s="903"/>
      <c r="F90" s="801"/>
      <c r="G90" s="801"/>
      <c r="H90" s="810"/>
      <c r="I90" s="810"/>
      <c r="J90" s="810"/>
      <c r="K90" s="810"/>
      <c r="L90" s="810"/>
      <c r="M90" s="810"/>
      <c r="N90" s="810"/>
      <c r="O90" s="810"/>
      <c r="P90" s="810"/>
      <c r="Q90" s="810"/>
      <c r="T90" s="682">
        <v>3</v>
      </c>
      <c r="U90" s="918">
        <f>月途中入退所情報!N33</f>
        <v>0</v>
      </c>
      <c r="V90" s="918">
        <f>月途中入退所情報!R33</f>
        <v>0</v>
      </c>
      <c r="W90" s="918">
        <f>月途中入退所情報!Q33</f>
        <v>0</v>
      </c>
      <c r="X90" s="945">
        <f>月途中入退所情報!S33</f>
        <v>0</v>
      </c>
      <c r="Y90" s="918">
        <f>月途中入退所情報!T33</f>
        <v>0</v>
      </c>
      <c r="Z90" s="840">
        <f t="shared" si="183"/>
        <v>0</v>
      </c>
      <c r="AA90" s="1021" cm="1">
        <f t="array" ref="AA90">IFERROR(IF(OR($U90=2,$U90=3),
INDEX(単価表!$AY$72:$CC$79,MATCH($V90&amp;$W90,INDEX(単価表!$AY$64:$AY$71&amp;単価表!$AZ$64:$AZ$71,),),MATCH(内訳計算!AA$6,単価表!$AY$63:$CC$63,0)),
INDEX(単価表!$AY$72:$CC$79,MATCH($V90&amp;$W90,INDEX(単価表!$AY$64:$AY$71&amp;単価表!$AZ$64:$AZ$71,),),MATCH(内訳計算!AA$6,単価表!$AY$63:$CC$63,0))),0)</f>
        <v>0</v>
      </c>
      <c r="AB90" s="1022" t="e">
        <f t="shared" si="184"/>
        <v>#VALUE!</v>
      </c>
      <c r="AC90" s="1022" cm="1">
        <f t="array" ref="AC90">IFERROR(ROUNDUP(IF(OR($U90=2,$U90=3),
INDEX(単価表!$AY$72:$CC$79,MATCH($V90&amp;$W90,INDEX(単価表!$AY$64:$AY$71&amp;単価表!$AZ$64:$AZ$71,),),MATCH(内訳計算!AC$6,単価表!$AY$63:$CC$63,0)),
INDEX(単価表!$AY$72:$CC$79,MATCH($V90&amp;$W90,INDEX(単価表!$AY$64:$AY$71&amp;単価表!$AZ$64:$AZ$71,),),MATCH(内訳計算!AC$6,単価表!$AY$63:$CC$63,0)))*$Y90/25,0),0)</f>
        <v>0</v>
      </c>
      <c r="AD90" s="1023" cm="1">
        <f t="array" ref="AD90">IFERROR(ROUNDUP(IF(OR($U90=2,$U90=3),
INDEX(単価表!$AY$72:$CC$79,MATCH($V90&amp;$W90,INDEX(単価表!$AY$64:$AY$71&amp;単価表!$AZ$64:$AZ$71,),),MATCH(内訳計算!AD$6,単価表!$AY$63:$CC$63,0)),
INDEX(単価表!$AY$72:$CC$79,MATCH($V90&amp;$W90,INDEX(単価表!$AY$64:$AY$71&amp;単価表!$AZ$64:$AZ$71,),),MATCH(内訳計算!AD$6,単価表!$AY$63:$CC$63,0)))*$Y90/25,0),0)</f>
        <v>0</v>
      </c>
      <c r="AE90" s="1021" cm="1">
        <f t="array" ref="AE90">IFERROR(IF(OR($U90=2,$U90=3),
INDEX(単価表!$AY$72:$CC$79,MATCH($V90&amp;$W90,INDEX(単価表!$AY$64:$AY$71&amp;単価表!$AZ$64:$AZ$71,),),MATCH(内訳計算!AE$6,単価表!$AY$63:$CC$63,0)),
INDEX(単価表!$AY$72:$CC$79,MATCH($V90&amp;$W90,INDEX(単価表!$AY$64:$AY$71&amp;単価表!$AZ$64:$AZ$71,),),MATCH(内訳計算!AE$6,単価表!$AY$63:$CC$63,0))),0)</f>
        <v>0</v>
      </c>
      <c r="AF90" s="1022" cm="1">
        <f t="array" ref="AF90">IFERROR(ROUNDUP(IF(OR($U90=2,$U90=3),
INDEX(単価表!$AY$72:$CC$79,MATCH($V90&amp;$W90,INDEX(単価表!$AY$64:$AY$71&amp;単価表!$AZ$64:$AZ$71,),),MATCH(内訳計算!AF$6,単価表!$AY$63:$CC$63,0)),
INDEX(単価表!$AY$72:$CC$79,MATCH($V90&amp;$W90,INDEX(単価表!$AY$64:$AY$71&amp;単価表!$AZ$64:$AZ$71,),),MATCH(内訳計算!AF$6,単価表!$AY$63:$CC$63,0)))*$Y90/25,0),0)</f>
        <v>0</v>
      </c>
      <c r="AG90" s="1023" cm="1">
        <f t="array" ref="AG90">IFERROR(ROUNDUP(IF(OR($U90=2,$U90=3),
INDEX(単価表!$AY$72:$CC$79,MATCH($V90&amp;$W90,INDEX(単価表!$AY$64:$AY$71&amp;単価表!$AZ$64:$AZ$71,),),MATCH(内訳計算!AG$6,単価表!$AY$63:$CC$63,0)),
INDEX(単価表!$AY$72:$CC$79,MATCH($V90&amp;$W90,INDEX(単価表!$AY$64:$AY$71&amp;単価表!$AZ$64:$AZ$71,),),MATCH(内訳計算!AG$6,単価表!$AY$63:$CC$63,0)))*$Y90/25,0),0)</f>
        <v>0</v>
      </c>
      <c r="AH90" s="1021" cm="1">
        <f t="array" ref="AH90">IFERROR(IF(HLOOKUP($U90,加算と減算!$E$4:$P$10,2,FALSE)="○",IF(OR($U90=2,$U90=3),
INDEX(単価表!$AY$72:$CC$79,MATCH($V90&amp;$W90,INDEX(単価表!$AY$64:$AY$71&amp;単価表!$AZ$64:$AZ$71,),),MATCH(内訳計算!AH$6,単価表!$AY$63:$CC$63,0)),
INDEX(単価表!$AY$72:$CC$79,MATCH($V90&amp;$W90,INDEX(単価表!$AY$64:$AY$71&amp;単価表!$AZ$64:$AZ$71,),),MATCH(内訳計算!AH$6,単価表!$AY$63:$CC$63,0))),0),0)</f>
        <v>0</v>
      </c>
      <c r="AI90" s="1024" cm="1">
        <f t="array" ref="AI90">IFERROR(ROUNDUP(IF(HLOOKUP($U90,加算と減算!$E$4:$P$10,2,FALSE)="○",IF(OR($U90=2,$U90=3),
INDEX(単価表!$AY$72:$CC$79,MATCH($V90&amp;$W90,INDEX(単価表!$AY$64:$AY$71&amp;単価表!$AZ$64:$AZ$71,),),MATCH(内訳計算!AI$6,単価表!$AY$63:$CC$63,0)),
INDEX(単価表!$AY$72:$CC$79,MATCH($V90&amp;$W90,INDEX(単価表!$AY$64:$AY$71&amp;単価表!$AZ$64:$AZ$71,),),MATCH(内訳計算!AI$6,単価表!$AY$63:$CC$63,0))),0)*$Y90/25,0),0)</f>
        <v>0</v>
      </c>
      <c r="AJ90" s="1022" cm="1">
        <f t="array" ref="AJ90">IFERROR(ROUNDUP(IF(HLOOKUP($U90,加算と減算!$E$4:$P$10,2,FALSE)="○",IF(OR($U90=2,$U90=3),
INDEX(単価表!$AY$72:$CC$79,MATCH($V90&amp;$W90,INDEX(単価表!$AY$64:$AY$71&amp;単価表!$AZ$64:$AZ$71,),),MATCH(内訳計算!AJ$6,単価表!$AY$63:$CC$63,0)),
INDEX(単価表!$AY$72:$CC$79,MATCH($V90&amp;$W90,INDEX(単価表!$AY$64:$AY$71&amp;単価表!$AZ$64:$AZ$71,),),MATCH(内訳計算!AJ$6,単価表!$AY$63:$CC$63,0))),0)*$Y90/25,0),0)</f>
        <v>0</v>
      </c>
      <c r="AK90" s="1023" cm="1">
        <f t="array" ref="AK90">IFERROR(ROUNDUP(IF(HLOOKUP($U90,加算と減算!$E$4:$P$10,2,FALSE)="○",IF(OR($U90=2,$U90=3),
INDEX(単価表!$AY$72:$CC$79,MATCH($V90&amp;$W90,INDEX(単価表!$AY$64:$AY$71&amp;単価表!$AZ$64:$AZ$71,),),MATCH(内訳計算!AK$6,単価表!$AY$63:$CC$63,0)),
INDEX(単価表!$AY$72:$CC$79,MATCH($V90&amp;$W90,INDEX(単価表!$AY$64:$AY$71&amp;単価表!$AZ$64:$AZ$71,),),MATCH(内訳計算!AK$6,単価表!$AY$63:$CC$63,0))),0)*$Y90/25,0),0)</f>
        <v>0</v>
      </c>
      <c r="AL90" s="1021" cm="1">
        <f t="array" ref="AL90">IFERROR(IF(HLOOKUP($U90,加算と減算!$E$4:$P$10,4,FALSE)="○",IF(OR($U90=2,$U90=3),
INDEX(単価表!$AY$72:$CC$79,MATCH($V90&amp;$W90,INDEX(単価表!$AY$64:$AY$71&amp;単価表!$AZ$64:$AZ$71,),),MATCH(内訳計算!AL$6,単価表!$AY$63:$CC$63,0)),
INDEX(単価表!$AY$72:$CC$79,MATCH($V90&amp;$W90,INDEX(単価表!$AY$64:$AY$71&amp;単価表!$AZ$64:$AZ$71,),),MATCH(内訳計算!AL$6,単価表!$AY$63:$CC$63,0))),0),0)</f>
        <v>0</v>
      </c>
      <c r="AM90" s="1022" cm="1">
        <f t="array" ref="AM90">IFERROR(ROUNDUP(IF(HLOOKUP($U90,加算と減算!$E$4:$P$10,4,FALSE)="○",IF(OR($U90=2,$U90=3),
INDEX(単価表!$AY$72:$CC$79,MATCH($V90&amp;$W90,INDEX(単価表!$AY$64:$AY$71&amp;単価表!$AZ$64:$AZ$71,),),MATCH(内訳計算!AM$6,単価表!$AY$63:$CC$63,0)),
INDEX(単価表!$AY$72:$CC$79,MATCH($V90&amp;$W90,INDEX(単価表!$AY$64:$AY$71&amp;単価表!$AZ$64:$AZ$71,),),MATCH(内訳計算!AM$6,単価表!$AY$63:$CC$63,0))),0)*$Y90/25,0),0)</f>
        <v>0</v>
      </c>
      <c r="AN90" s="1022" cm="1">
        <f t="array" ref="AN90">IFERROR(ROUNDUP(IF(HLOOKUP($U90,加算と減算!$E$4:$P$10,4,FALSE)="○",IF(OR($U90=2,$U90=3),
INDEX(単価表!$AY$72:$CC$79,MATCH($V90&amp;$W90,INDEX(単価表!$AY$64:$AY$71&amp;単価表!$AZ$64:$AZ$71,),),MATCH(内訳計算!AN$6,単価表!$AY$63:$CC$63,0)),
INDEX(単価表!$AY$72:$CC$79,MATCH($V90&amp;$W90,INDEX(単価表!$AY$64:$AY$71&amp;単価表!$AZ$64:$AZ$71,),),MATCH(内訳計算!AN$6,単価表!$AY$63:$CC$63,0))),0)*$Y90/25,0),0)</f>
        <v>0</v>
      </c>
      <c r="AO90" s="1022" cm="1">
        <f t="array" ref="AO90">IFERROR(ROUNDUP(IF(HLOOKUP($U90,加算と減算!$E$4:$P$10,4,FALSE)="○",IF(OR($U90=2,$U90=3),
INDEX(単価表!$AY$72:$CC$79,MATCH($V90&amp;$W90,INDEX(単価表!$AY$64:$AY$71&amp;単価表!$AZ$64:$AZ$71,),),MATCH(内訳計算!AO$6,単価表!$AY$63:$CC$63,0)),
INDEX(単価表!$AY$72:$CC$79,MATCH($V90&amp;$W90,INDEX(単価表!$AY$64:$AY$71&amp;単価表!$AZ$64:$AZ$71,),),MATCH(内訳計算!AO$6,単価表!$AY$63:$CC$63,0))),0)*$Y90/25,0),0)</f>
        <v>0</v>
      </c>
      <c r="AP90" s="1022" cm="1">
        <f t="array" ref="AP90">IFERROR(ROUNDUP(IF(HLOOKUP($U90,加算と減算!$E$4:$P$10,4,FALSE)="○",IF(OR($U90=2,$U90=3),
INDEX(単価表!$AY$72:$CC$79,MATCH($V90&amp;$W90,INDEX(単価表!$AY$64:$AY$71&amp;単価表!$AZ$64:$AZ$71,),),MATCH(内訳計算!AP$6,単価表!$AY$63:$CC$63,0)),
INDEX(単価表!$AY$72:$CC$79,MATCH($V90&amp;$W90,INDEX(単価表!$AY$64:$AY$71&amp;単価表!$AZ$64:$AZ$71,),),MATCH(内訳計算!AP$6,単価表!$AY$63:$CC$63,0))),0)*$Y90/25,0),0)</f>
        <v>0</v>
      </c>
      <c r="AQ90" s="1023" cm="1">
        <f t="array" ref="AQ90">IFERROR(ROUNDUP(IF(HLOOKUP($U90,加算と減算!$E$4:$P$10,4,FALSE)="○",IF(OR($U90=2,$U90=3),
INDEX(単価表!$AY$72:$CC$79,MATCH($V90&amp;$W90,INDEX(単価表!$AY$64:$AY$71&amp;単価表!$AZ$64:$AZ$71,),),MATCH(内訳計算!AQ$6,単価表!$AY$63:$CC$63,0)),
INDEX(単価表!$AY$72:$CC$79,MATCH($V90&amp;$W90,INDEX(単価表!$AY$64:$AY$71&amp;単価表!$AZ$64:$AZ$71,),),MATCH(内訳計算!AQ$6,単価表!$AY$63:$CC$63,0))),0)*$Y90/25,0),0)</f>
        <v>0</v>
      </c>
      <c r="AR90" s="1021" cm="1">
        <f t="array" ref="AR90">IFERROR(IF(HLOOKUP($U90,加算と減算!$E$4:$P$10,5,FALSE)="○",IF(OR($U90=2,$U90=3),
INDEX(単価表!$AY$72:$CC$79,MATCH($V90&amp;$W90,INDEX(単価表!$AY$64:$AY$71&amp;単価表!$AZ$64:$AZ$71,),),MATCH(内訳計算!AR$6,単価表!$AY$63:$CC$63,0)),
INDEX(単価表!$AY$72:$CC$79,MATCH($V90&amp;$W90,INDEX(単価表!$AY$64:$AY$71&amp;単価表!$AZ$64:$AZ$71,),),MATCH(内訳計算!AR$6,単価表!$AY$63:$CC$63,0))),0),0)</f>
        <v>0</v>
      </c>
      <c r="AS90" s="1023" cm="1">
        <f t="array" ref="AS90">IFERROR(ROUNDUP(IF(HLOOKUP($U90,加算と減算!$E$4:$P$10,5,FALSE)="○",IF(OR($U90=2,$U90=3),
INDEX(単価表!$AY$72:$CC$79,MATCH($V90&amp;$W90,INDEX(単価表!$AY$64:$AY$71&amp;単価表!$AZ$64:$AZ$71,),),MATCH(内訳計算!AS$6,単価表!$AY$63:$CC$63,0)),
INDEX(単価表!$AY$72:$CC$79,MATCH($V90&amp;$W90,INDEX(単価表!$AY$64:$AY$71&amp;単価表!$AZ$64:$AZ$71,),),MATCH(内訳計算!AS$6,単価表!$AY$63:$CC$63,0))),0)*$Y90/25,0),0)</f>
        <v>0</v>
      </c>
      <c r="AT90" s="1021" cm="1">
        <f t="array" ref="AT90">IFERROR(IF(HLOOKUP($U90,加算と減算!$E$4:$P$10,6,FALSE)="○",IF(OR($U90=2,$U90=3),
INDEX(単価表!$AY$72:$CC$79,MATCH($V90&amp;$W90,INDEX(単価表!$AY$64:$AY$71&amp;単価表!$AZ$64:$AZ$71,),),MATCH(内訳計算!AT$6,単価表!$AY$63:$CC$63,0)),
INDEX(単価表!$AY$72:$CC$79,MATCH($V90&amp;$W90,INDEX(単価表!$AY$64:$AY$71&amp;単価表!$AZ$64:$AZ$71,),),MATCH(内訳計算!AT$6,単価表!$AY$63:$CC$63,0))),0),0)</f>
        <v>0</v>
      </c>
      <c r="AU90" s="1023" cm="1">
        <f t="array" ref="AU90">IFERROR(ROUNDUP(IF(HLOOKUP($U90,加算と減算!$E$4:$P$10,6,FALSE)="○",IF(OR($U90=2,$U90=3),
INDEX(単価表!$AY$72:$CC$79,MATCH($V90&amp;$W90,INDEX(単価表!$AY$64:$AY$71&amp;単価表!$AZ$64:$AZ$71,),),MATCH(内訳計算!AU$6,単価表!$AY$63:$CC$63,0)),
INDEX(単価表!$AY$72:$CC$79,MATCH($V90&amp;$W90,INDEX(単価表!$AY$64:$AY$71&amp;単価表!$AZ$64:$AZ$71,),),MATCH(内訳計算!AU$6,単価表!$AY$63:$CC$63,0))),0)*$Y90/25,0),0)</f>
        <v>0</v>
      </c>
      <c r="AV90" s="1021" cm="1">
        <f t="array" ref="AV90">IFERROR(IF(HLOOKUP($U90,加算と減算!$E$4:$P$10,7,FALSE)="○",IF(OR($U90=2,$U90=3),
INDEX(単価表!$AY$72:$CC$79,MATCH($V90&amp;$W90,INDEX(単価表!$AY$64:$AY$71&amp;単価表!$AZ$64:$AZ$71,),),MATCH(内訳計算!AV$6,単価表!$AY$63:$CC$63,0)),
INDEX(単価表!$AY$72:$CC$79,MATCH($V90&amp;$W90,INDEX(単価表!$AY$64:$AY$71&amp;単価表!$AZ$64:$AZ$71,),),MATCH(内訳計算!AV$6,単価表!$AY$63:$CC$63,0))),0),0)</f>
        <v>0</v>
      </c>
      <c r="AW90" s="1022" cm="1">
        <f t="array" ref="AW90">IFERROR(ROUNDUP(IF(HLOOKUP($U90,加算と減算!$E$4:$P$10,7,FALSE)="○",IF(OR($U90=2,$U90=3),
INDEX(単価表!$AY$72:$CC$79,MATCH($V90&amp;$W90,INDEX(単価表!$AY$64:$AY$71&amp;単価表!$AZ$64:$AZ$71,),),MATCH(内訳計算!AW$6,単価表!$AY$63:$CC$63,0)),
INDEX(単価表!$AY$72:$CC$79,MATCH($V90&amp;$W90,INDEX(単価表!$AY$64:$AY$71&amp;単価表!$AZ$64:$AZ$71,),),MATCH(内訳計算!AW$6,単価表!$AY$63:$CC$63,0))),0)*$Y90/25,0),0)</f>
        <v>0</v>
      </c>
      <c r="AX90" s="1022" cm="1">
        <f t="array" ref="AX90">IFERROR(ROUNDUP(IF(HLOOKUP($U90,加算と減算!$E$4:$P$10,7,FALSE)="○",IF(OR($U90=2,$U90=3),
INDEX(単価表!$AY$72:$CC$79,MATCH($V90&amp;$W90,INDEX(単価表!$AY$64:$AY$71&amp;単価表!$AZ$64:$AZ$71,),),MATCH(内訳計算!AX$6,単価表!$AY$63:$CC$63,0)),
INDEX(単価表!$AY$72:$CC$79,MATCH($V90&amp;$W90,INDEX(単価表!$AY$64:$AY$71&amp;単価表!$AZ$64:$AZ$71,),),MATCH(内訳計算!AX$6,単価表!$AY$63:$CC$63,0))),0)*$Y90/25,0),0)</f>
        <v>0</v>
      </c>
      <c r="AY90" s="1023" cm="1">
        <f t="array" ref="AY90">IFERROR(ROUNDUP(IF(HLOOKUP($U90,加算と減算!$E$4:$P$10,7,FALSE)="○",IF(OR($U90=2,$U90=3),
INDEX(単価表!$AY$72:$CC$79,MATCH($V90&amp;$W90,INDEX(単価表!$AY$64:$AY$71&amp;単価表!$AZ$64:$AZ$71,),),MATCH(内訳計算!AY$6,単価表!$AY$63:$CC$63,0)),
INDEX(単価表!$AY$72:$CC$79,MATCH($V90&amp;$W90,INDEX(単価表!$AY$64:$AY$71&amp;単価表!$AZ$64:$AZ$71,),),MATCH(内訳計算!AY$6,単価表!$AY$63:$CC$63,0))),0)*$Y90/25,0),0)</f>
        <v>0</v>
      </c>
      <c r="AZ90" s="1021" cm="1">
        <f t="array" ref="AZ90">IFERROR(IF(X90="○",INDEX(単価表!$AY$72:$CC$79,MATCH($V90&amp;$W90,INDEX(単価表!$AY$64:$AY$71&amp;単価表!$AZ$64:$AZ$71,),),MATCH(内訳計算!AZ$6,単価表!$AY$63:$CC$63,0)),0),0)</f>
        <v>0</v>
      </c>
      <c r="BA90" s="1023" cm="1">
        <f t="array" ref="BA90">IFERROR(ROUNDUP(INDEX(単価表!$AY$72:$CC$79,MATCH($V90&amp;$W90,INDEX(単価表!$AY$64:$AY$71&amp;単価表!$AZ$64:$AZ$71,),),MATCH(内訳計算!BA$6,単価表!$AY$63:$CC$63,0))*$Y90/25,0),0)</f>
        <v>0</v>
      </c>
      <c r="BB90" s="1021" cm="1">
        <f t="array" ref="BB90">IFERROR(INDEX(単価表!$AY$72:$CC$79,MATCH($V90&amp;$W90,INDEX(単価表!$AY$64:$AY$71&amp;単価表!$AZ$64:$AZ$71,),),MATCH(内訳計算!BB$6,単価表!$AY$63:$CC$63,0)),0)</f>
        <v>0</v>
      </c>
      <c r="BC90" s="1023" cm="1">
        <f t="array" ref="BC90">IFERROR(ROUNDUP(INDEX(単価表!$AY$72:$CC$79,MATCH($V90&amp;$W90,INDEX(単価表!$AY$64:$AY$71&amp;単価表!$AZ$64:$AZ$71,),),MATCH(内訳計算!BC$6,単価表!$AY$63:$CC$63,0))*$Y90/25,0),0)</f>
        <v>0</v>
      </c>
      <c r="BD90" s="985">
        <f>IFERROR(IF(HLOOKUP($U90,加算と減算!$E$31:$P$32,2,FALSE)="○",IF(OR($U90=2,$U90=3),-(単価表!$AZ$23+単価表!$BA$23*基本情報!$G$7),-(単価表!$AZ$23+単価表!$BA$23*基本情報!$G$7)),0),0)</f>
        <v>0</v>
      </c>
      <c r="BE90" s="1007" t="e">
        <f t="shared" si="171"/>
        <v>#VALUE!</v>
      </c>
      <c r="BF90" s="1007" t="e">
        <f t="shared" si="172"/>
        <v>#VALUE!</v>
      </c>
      <c r="BG90" s="1030" t="e">
        <f t="shared" si="173"/>
        <v>#N/A</v>
      </c>
      <c r="BH90" s="1031">
        <f>IFERROR(IF(基本情報!$E$12&lt;&gt;"",-ROUNDDOWN((AA90+AE90+AH90+AL90)*基本情報!$H$13/100,-1),0),0)</f>
        <v>0</v>
      </c>
      <c r="BI90" s="1007" t="e">
        <f t="shared" si="174"/>
        <v>#VALUE!</v>
      </c>
      <c r="BJ90" s="1007" t="e">
        <f t="shared" si="175"/>
        <v>#VALUE!</v>
      </c>
      <c r="BK90" s="1008" t="e">
        <f t="shared" si="176"/>
        <v>#N/A</v>
      </c>
      <c r="BL90" s="1031">
        <f t="shared" si="185"/>
        <v>0</v>
      </c>
      <c r="BM90" s="1007" t="e">
        <f t="shared" si="177"/>
        <v>#VALUE!</v>
      </c>
      <c r="BN90" s="1007" t="e">
        <f t="shared" si="178"/>
        <v>#VALUE!</v>
      </c>
      <c r="BO90" s="1008" t="e">
        <f t="shared" si="179"/>
        <v>#N/A</v>
      </c>
      <c r="BP90" s="1006">
        <f>IFERROR(-ROUNDUP(SUM(AA90,AE90,AH90,AL90,AR90,AT90,AV90,BD90,BH90,BL90)*基本情報!$H$15/100,-1),0)</f>
        <v>0</v>
      </c>
      <c r="BQ90" s="1007" t="e">
        <f t="shared" si="180"/>
        <v>#VALUE!</v>
      </c>
      <c r="BR90" s="1007" t="e">
        <f t="shared" si="181"/>
        <v>#VALUE!</v>
      </c>
      <c r="BS90" s="1008" t="e">
        <f t="shared" si="182"/>
        <v>#N/A</v>
      </c>
      <c r="BU90" s="1043" t="e">
        <f t="shared" si="186"/>
        <v>#VALUE!</v>
      </c>
      <c r="BV90" s="1044" t="e">
        <f t="shared" si="187"/>
        <v>#VALUE!</v>
      </c>
      <c r="BW90" s="1044" t="e">
        <f t="shared" si="188"/>
        <v>#N/A</v>
      </c>
      <c r="BX90" s="1051">
        <f t="shared" si="189"/>
        <v>0</v>
      </c>
      <c r="BY90" s="1046">
        <f t="shared" si="190"/>
        <v>0</v>
      </c>
    </row>
    <row r="91" spans="1:114" ht="19.5" customHeight="1" thickBot="1">
      <c r="A91" s="1640"/>
      <c r="B91" s="1576" t="s">
        <v>591</v>
      </c>
      <c r="C91" s="1577"/>
      <c r="D91" s="1577"/>
      <c r="E91" s="811">
        <f>IF(E71="○",ROUNDDOWN(E88*E78/E77,0),0)</f>
        <v>0</v>
      </c>
      <c r="F91" s="811">
        <f t="shared" ref="F91:M91" si="191">IF(F71="○",ROUNDDOWN(F88*F78/F77,0),0)</f>
        <v>0</v>
      </c>
      <c r="G91" s="811">
        <f t="shared" si="191"/>
        <v>0</v>
      </c>
      <c r="H91" s="811">
        <f t="shared" si="191"/>
        <v>0</v>
      </c>
      <c r="I91" s="811">
        <f t="shared" si="191"/>
        <v>0</v>
      </c>
      <c r="J91" s="811">
        <f t="shared" si="191"/>
        <v>0</v>
      </c>
      <c r="K91" s="811">
        <f t="shared" si="191"/>
        <v>0</v>
      </c>
      <c r="L91" s="811">
        <f t="shared" si="191"/>
        <v>0</v>
      </c>
      <c r="M91" s="811">
        <f t="shared" si="191"/>
        <v>0</v>
      </c>
      <c r="N91" s="811">
        <f>IF(N71="○",ROUNDDOWN(N88*N78/N77,0),0)</f>
        <v>0</v>
      </c>
      <c r="O91" s="811">
        <f>IF(O71="○",ROUNDDOWN(O88*O78/O77,0),0)</f>
        <v>0</v>
      </c>
      <c r="P91" s="811">
        <f>IF(P71="○",ROUNDDOWN(P88*P78/P77,0),0)</f>
        <v>0</v>
      </c>
      <c r="Q91" s="812"/>
      <c r="T91" s="682">
        <v>4</v>
      </c>
      <c r="U91" s="918">
        <f>月途中入退所情報!N34</f>
        <v>0</v>
      </c>
      <c r="V91" s="918">
        <f>月途中入退所情報!R34</f>
        <v>0</v>
      </c>
      <c r="W91" s="918">
        <f>月途中入退所情報!Q34</f>
        <v>0</v>
      </c>
      <c r="X91" s="945">
        <f>月途中入退所情報!S34</f>
        <v>0</v>
      </c>
      <c r="Y91" s="918">
        <f>月途中入退所情報!T34</f>
        <v>0</v>
      </c>
      <c r="Z91" s="840">
        <f t="shared" si="183"/>
        <v>0</v>
      </c>
      <c r="AA91" s="1021" cm="1">
        <f t="array" ref="AA91">IFERROR(IF(OR($U91=2,$U91=3),
INDEX(単価表!$AY$72:$CC$79,MATCH($V91&amp;$W91,INDEX(単価表!$AY$64:$AY$71&amp;単価表!$AZ$64:$AZ$71,),),MATCH(内訳計算!AA$6,単価表!$AY$63:$CC$63,0)),
INDEX(単価表!$AY$72:$CC$79,MATCH($V91&amp;$W91,INDEX(単価表!$AY$64:$AY$71&amp;単価表!$AZ$64:$AZ$71,),),MATCH(内訳計算!AA$6,単価表!$AY$63:$CC$63,0))),0)</f>
        <v>0</v>
      </c>
      <c r="AB91" s="1022" t="e">
        <f t="shared" si="184"/>
        <v>#VALUE!</v>
      </c>
      <c r="AC91" s="1022" cm="1">
        <f t="array" ref="AC91">IFERROR(ROUNDUP(IF(OR($U91=2,$U91=3),
INDEX(単価表!$AY$72:$CC$79,MATCH($V91&amp;$W91,INDEX(単価表!$AY$64:$AY$71&amp;単価表!$AZ$64:$AZ$71,),),MATCH(内訳計算!AC$6,単価表!$AY$63:$CC$63,0)),
INDEX(単価表!$AY$72:$CC$79,MATCH($V91&amp;$W91,INDEX(単価表!$AY$64:$AY$71&amp;単価表!$AZ$64:$AZ$71,),),MATCH(内訳計算!AC$6,単価表!$AY$63:$CC$63,0)))*$Y91/25,0),0)</f>
        <v>0</v>
      </c>
      <c r="AD91" s="1023" cm="1">
        <f t="array" ref="AD91">IFERROR(ROUNDUP(IF(OR($U91=2,$U91=3),
INDEX(単価表!$AY$72:$CC$79,MATCH($V91&amp;$W91,INDEX(単価表!$AY$64:$AY$71&amp;単価表!$AZ$64:$AZ$71,),),MATCH(内訳計算!AD$6,単価表!$AY$63:$CC$63,0)),
INDEX(単価表!$AY$72:$CC$79,MATCH($V91&amp;$W91,INDEX(単価表!$AY$64:$AY$71&amp;単価表!$AZ$64:$AZ$71,),),MATCH(内訳計算!AD$6,単価表!$AY$63:$CC$63,0)))*$Y91/25,0),0)</f>
        <v>0</v>
      </c>
      <c r="AE91" s="1021" cm="1">
        <f t="array" ref="AE91">IFERROR(IF(OR($U91=2,$U91=3),
INDEX(単価表!$AY$72:$CC$79,MATCH($V91&amp;$W91,INDEX(単価表!$AY$64:$AY$71&amp;単価表!$AZ$64:$AZ$71,),),MATCH(内訳計算!AE$6,単価表!$AY$63:$CC$63,0)),
INDEX(単価表!$AY$72:$CC$79,MATCH($V91&amp;$W91,INDEX(単価表!$AY$64:$AY$71&amp;単価表!$AZ$64:$AZ$71,),),MATCH(内訳計算!AE$6,単価表!$AY$63:$CC$63,0))),0)</f>
        <v>0</v>
      </c>
      <c r="AF91" s="1022" cm="1">
        <f t="array" ref="AF91">IFERROR(ROUNDUP(IF(OR($U91=2,$U91=3),
INDEX(単価表!$AY$72:$CC$79,MATCH($V91&amp;$W91,INDEX(単価表!$AY$64:$AY$71&amp;単価表!$AZ$64:$AZ$71,),),MATCH(内訳計算!AF$6,単価表!$AY$63:$CC$63,0)),
INDEX(単価表!$AY$72:$CC$79,MATCH($V91&amp;$W91,INDEX(単価表!$AY$64:$AY$71&amp;単価表!$AZ$64:$AZ$71,),),MATCH(内訳計算!AF$6,単価表!$AY$63:$CC$63,0)))*$Y91/25,0),0)</f>
        <v>0</v>
      </c>
      <c r="AG91" s="1023" cm="1">
        <f t="array" ref="AG91">IFERROR(ROUNDUP(IF(OR($U91=2,$U91=3),
INDEX(単価表!$AY$72:$CC$79,MATCH($V91&amp;$W91,INDEX(単価表!$AY$64:$AY$71&amp;単価表!$AZ$64:$AZ$71,),),MATCH(内訳計算!AG$6,単価表!$AY$63:$CC$63,0)),
INDEX(単価表!$AY$72:$CC$79,MATCH($V91&amp;$W91,INDEX(単価表!$AY$64:$AY$71&amp;単価表!$AZ$64:$AZ$71,),),MATCH(内訳計算!AG$6,単価表!$AY$63:$CC$63,0)))*$Y91/25,0),0)</f>
        <v>0</v>
      </c>
      <c r="AH91" s="1021" cm="1">
        <f t="array" ref="AH91">IFERROR(IF(HLOOKUP($U91,加算と減算!$E$4:$P$10,2,FALSE)="○",IF(OR($U91=2,$U91=3),
INDEX(単価表!$AY$72:$CC$79,MATCH($V91&amp;$W91,INDEX(単価表!$AY$64:$AY$71&amp;単価表!$AZ$64:$AZ$71,),),MATCH(内訳計算!AH$6,単価表!$AY$63:$CC$63,0)),
INDEX(単価表!$AY$72:$CC$79,MATCH($V91&amp;$W91,INDEX(単価表!$AY$64:$AY$71&amp;単価表!$AZ$64:$AZ$71,),),MATCH(内訳計算!AH$6,単価表!$AY$63:$CC$63,0))),0),0)</f>
        <v>0</v>
      </c>
      <c r="AI91" s="1024" cm="1">
        <f t="array" ref="AI91">IFERROR(ROUNDUP(IF(HLOOKUP($U91,加算と減算!$E$4:$P$10,2,FALSE)="○",IF(OR($U91=2,$U91=3),
INDEX(単価表!$AY$72:$CC$79,MATCH($V91&amp;$W91,INDEX(単価表!$AY$64:$AY$71&amp;単価表!$AZ$64:$AZ$71,),),MATCH(内訳計算!AI$6,単価表!$AY$63:$CC$63,0)),
INDEX(単価表!$AY$72:$CC$79,MATCH($V91&amp;$W91,INDEX(単価表!$AY$64:$AY$71&amp;単価表!$AZ$64:$AZ$71,),),MATCH(内訳計算!AI$6,単価表!$AY$63:$CC$63,0))),0)*$Y91/25,0),0)</f>
        <v>0</v>
      </c>
      <c r="AJ91" s="1022" cm="1">
        <f t="array" ref="AJ91">IFERROR(ROUNDUP(IF(HLOOKUP($U91,加算と減算!$E$4:$P$10,2,FALSE)="○",IF(OR($U91=2,$U91=3),
INDEX(単価表!$AY$72:$CC$79,MATCH($V91&amp;$W91,INDEX(単価表!$AY$64:$AY$71&amp;単価表!$AZ$64:$AZ$71,),),MATCH(内訳計算!AJ$6,単価表!$AY$63:$CC$63,0)),
INDEX(単価表!$AY$72:$CC$79,MATCH($V91&amp;$W91,INDEX(単価表!$AY$64:$AY$71&amp;単価表!$AZ$64:$AZ$71,),),MATCH(内訳計算!AJ$6,単価表!$AY$63:$CC$63,0))),0)*$Y91/25,0),0)</f>
        <v>0</v>
      </c>
      <c r="AK91" s="1023" cm="1">
        <f t="array" ref="AK91">IFERROR(ROUNDUP(IF(HLOOKUP($U91,加算と減算!$E$4:$P$10,2,FALSE)="○",IF(OR($U91=2,$U91=3),
INDEX(単価表!$AY$72:$CC$79,MATCH($V91&amp;$W91,INDEX(単価表!$AY$64:$AY$71&amp;単価表!$AZ$64:$AZ$71,),),MATCH(内訳計算!AK$6,単価表!$AY$63:$CC$63,0)),
INDEX(単価表!$AY$72:$CC$79,MATCH($V91&amp;$W91,INDEX(単価表!$AY$64:$AY$71&amp;単価表!$AZ$64:$AZ$71,),),MATCH(内訳計算!AK$6,単価表!$AY$63:$CC$63,0))),0)*$Y91/25,0),0)</f>
        <v>0</v>
      </c>
      <c r="AL91" s="1021" cm="1">
        <f t="array" ref="AL91">IFERROR(IF(HLOOKUP($U91,加算と減算!$E$4:$P$10,4,FALSE)="○",IF(OR($U91=2,$U91=3),
INDEX(単価表!$AY$72:$CC$79,MATCH($V91&amp;$W91,INDEX(単価表!$AY$64:$AY$71&amp;単価表!$AZ$64:$AZ$71,),),MATCH(内訳計算!AL$6,単価表!$AY$63:$CC$63,0)),
INDEX(単価表!$AY$72:$CC$79,MATCH($V91&amp;$W91,INDEX(単価表!$AY$64:$AY$71&amp;単価表!$AZ$64:$AZ$71,),),MATCH(内訳計算!AL$6,単価表!$AY$63:$CC$63,0))),0),0)</f>
        <v>0</v>
      </c>
      <c r="AM91" s="1022" cm="1">
        <f t="array" ref="AM91">IFERROR(ROUNDUP(IF(HLOOKUP($U91,加算と減算!$E$4:$P$10,4,FALSE)="○",IF(OR($U91=2,$U91=3),
INDEX(単価表!$AY$72:$CC$79,MATCH($V91&amp;$W91,INDEX(単価表!$AY$64:$AY$71&amp;単価表!$AZ$64:$AZ$71,),),MATCH(内訳計算!AM$6,単価表!$AY$63:$CC$63,0)),
INDEX(単価表!$AY$72:$CC$79,MATCH($V91&amp;$W91,INDEX(単価表!$AY$64:$AY$71&amp;単価表!$AZ$64:$AZ$71,),),MATCH(内訳計算!AM$6,単価表!$AY$63:$CC$63,0))),0)*$Y91/25,0),0)</f>
        <v>0</v>
      </c>
      <c r="AN91" s="1022" cm="1">
        <f t="array" ref="AN91">IFERROR(ROUNDUP(IF(HLOOKUP($U91,加算と減算!$E$4:$P$10,4,FALSE)="○",IF(OR($U91=2,$U91=3),
INDEX(単価表!$AY$72:$CC$79,MATCH($V91&amp;$W91,INDEX(単価表!$AY$64:$AY$71&amp;単価表!$AZ$64:$AZ$71,),),MATCH(内訳計算!AN$6,単価表!$AY$63:$CC$63,0)),
INDEX(単価表!$AY$72:$CC$79,MATCH($V91&amp;$W91,INDEX(単価表!$AY$64:$AY$71&amp;単価表!$AZ$64:$AZ$71,),),MATCH(内訳計算!AN$6,単価表!$AY$63:$CC$63,0))),0)*$Y91/25,0),0)</f>
        <v>0</v>
      </c>
      <c r="AO91" s="1022" cm="1">
        <f t="array" ref="AO91">IFERROR(ROUNDUP(IF(HLOOKUP($U91,加算と減算!$E$4:$P$10,4,FALSE)="○",IF(OR($U91=2,$U91=3),
INDEX(単価表!$AY$72:$CC$79,MATCH($V91&amp;$W91,INDEX(単価表!$AY$64:$AY$71&amp;単価表!$AZ$64:$AZ$71,),),MATCH(内訳計算!AO$6,単価表!$AY$63:$CC$63,0)),
INDEX(単価表!$AY$72:$CC$79,MATCH($V91&amp;$W91,INDEX(単価表!$AY$64:$AY$71&amp;単価表!$AZ$64:$AZ$71,),),MATCH(内訳計算!AO$6,単価表!$AY$63:$CC$63,0))),0)*$Y91/25,0),0)</f>
        <v>0</v>
      </c>
      <c r="AP91" s="1022" cm="1">
        <f t="array" ref="AP91">IFERROR(ROUNDUP(IF(HLOOKUP($U91,加算と減算!$E$4:$P$10,4,FALSE)="○",IF(OR($U91=2,$U91=3),
INDEX(単価表!$AY$72:$CC$79,MATCH($V91&amp;$W91,INDEX(単価表!$AY$64:$AY$71&amp;単価表!$AZ$64:$AZ$71,),),MATCH(内訳計算!AP$6,単価表!$AY$63:$CC$63,0)),
INDEX(単価表!$AY$72:$CC$79,MATCH($V91&amp;$W91,INDEX(単価表!$AY$64:$AY$71&amp;単価表!$AZ$64:$AZ$71,),),MATCH(内訳計算!AP$6,単価表!$AY$63:$CC$63,0))),0)*$Y91/25,0),0)</f>
        <v>0</v>
      </c>
      <c r="AQ91" s="1023" cm="1">
        <f t="array" ref="AQ91">IFERROR(ROUNDUP(IF(HLOOKUP($U91,加算と減算!$E$4:$P$10,4,FALSE)="○",IF(OR($U91=2,$U91=3),
INDEX(単価表!$AY$72:$CC$79,MATCH($V91&amp;$W91,INDEX(単価表!$AY$64:$AY$71&amp;単価表!$AZ$64:$AZ$71,),),MATCH(内訳計算!AQ$6,単価表!$AY$63:$CC$63,0)),
INDEX(単価表!$AY$72:$CC$79,MATCH($V91&amp;$W91,INDEX(単価表!$AY$64:$AY$71&amp;単価表!$AZ$64:$AZ$71,),),MATCH(内訳計算!AQ$6,単価表!$AY$63:$CC$63,0))),0)*$Y91/25,0),0)</f>
        <v>0</v>
      </c>
      <c r="AR91" s="1021" cm="1">
        <f t="array" ref="AR91">IFERROR(IF(HLOOKUP($U91,加算と減算!$E$4:$P$10,5,FALSE)="○",IF(OR($U91=2,$U91=3),
INDEX(単価表!$AY$72:$CC$79,MATCH($V91&amp;$W91,INDEX(単価表!$AY$64:$AY$71&amp;単価表!$AZ$64:$AZ$71,),),MATCH(内訳計算!AR$6,単価表!$AY$63:$CC$63,0)),
INDEX(単価表!$AY$72:$CC$79,MATCH($V91&amp;$W91,INDEX(単価表!$AY$64:$AY$71&amp;単価表!$AZ$64:$AZ$71,),),MATCH(内訳計算!AR$6,単価表!$AY$63:$CC$63,0))),0),0)</f>
        <v>0</v>
      </c>
      <c r="AS91" s="1023" cm="1">
        <f t="array" ref="AS91">IFERROR(ROUNDUP(IF(HLOOKUP($U91,加算と減算!$E$4:$P$10,5,FALSE)="○",IF(OR($U91=2,$U91=3),
INDEX(単価表!$AY$72:$CC$79,MATCH($V91&amp;$W91,INDEX(単価表!$AY$64:$AY$71&amp;単価表!$AZ$64:$AZ$71,),),MATCH(内訳計算!AS$6,単価表!$AY$63:$CC$63,0)),
INDEX(単価表!$AY$72:$CC$79,MATCH($V91&amp;$W91,INDEX(単価表!$AY$64:$AY$71&amp;単価表!$AZ$64:$AZ$71,),),MATCH(内訳計算!AS$6,単価表!$AY$63:$CC$63,0))),0)*$Y91/25,0),0)</f>
        <v>0</v>
      </c>
      <c r="AT91" s="1021" cm="1">
        <f t="array" ref="AT91">IFERROR(IF(HLOOKUP($U91,加算と減算!$E$4:$P$10,6,FALSE)="○",IF(OR($U91=2,$U91=3),
INDEX(単価表!$AY$72:$CC$79,MATCH($V91&amp;$W91,INDEX(単価表!$AY$64:$AY$71&amp;単価表!$AZ$64:$AZ$71,),),MATCH(内訳計算!AT$6,単価表!$AY$63:$CC$63,0)),
INDEX(単価表!$AY$72:$CC$79,MATCH($V91&amp;$W91,INDEX(単価表!$AY$64:$AY$71&amp;単価表!$AZ$64:$AZ$71,),),MATCH(内訳計算!AT$6,単価表!$AY$63:$CC$63,0))),0),0)</f>
        <v>0</v>
      </c>
      <c r="AU91" s="1023" cm="1">
        <f t="array" ref="AU91">IFERROR(ROUNDUP(IF(HLOOKUP($U91,加算と減算!$E$4:$P$10,6,FALSE)="○",IF(OR($U91=2,$U91=3),
INDEX(単価表!$AY$72:$CC$79,MATCH($V91&amp;$W91,INDEX(単価表!$AY$64:$AY$71&amp;単価表!$AZ$64:$AZ$71,),),MATCH(内訳計算!AU$6,単価表!$AY$63:$CC$63,0)),
INDEX(単価表!$AY$72:$CC$79,MATCH($V91&amp;$W91,INDEX(単価表!$AY$64:$AY$71&amp;単価表!$AZ$64:$AZ$71,),),MATCH(内訳計算!AU$6,単価表!$AY$63:$CC$63,0))),0)*$Y91/25,0),0)</f>
        <v>0</v>
      </c>
      <c r="AV91" s="1021" cm="1">
        <f t="array" ref="AV91">IFERROR(IF(HLOOKUP($U91,加算と減算!$E$4:$P$10,7,FALSE)="○",IF(OR($U91=2,$U91=3),
INDEX(単価表!$AY$72:$CC$79,MATCH($V91&amp;$W91,INDEX(単価表!$AY$64:$AY$71&amp;単価表!$AZ$64:$AZ$71,),),MATCH(内訳計算!AV$6,単価表!$AY$63:$CC$63,0)),
INDEX(単価表!$AY$72:$CC$79,MATCH($V91&amp;$W91,INDEX(単価表!$AY$64:$AY$71&amp;単価表!$AZ$64:$AZ$71,),),MATCH(内訳計算!AV$6,単価表!$AY$63:$CC$63,0))),0),0)</f>
        <v>0</v>
      </c>
      <c r="AW91" s="1022" cm="1">
        <f t="array" ref="AW91">IFERROR(ROUNDUP(IF(HLOOKUP($U91,加算と減算!$E$4:$P$10,7,FALSE)="○",IF(OR($U91=2,$U91=3),
INDEX(単価表!$AY$72:$CC$79,MATCH($V91&amp;$W91,INDEX(単価表!$AY$64:$AY$71&amp;単価表!$AZ$64:$AZ$71,),),MATCH(内訳計算!AW$6,単価表!$AY$63:$CC$63,0)),
INDEX(単価表!$AY$72:$CC$79,MATCH($V91&amp;$W91,INDEX(単価表!$AY$64:$AY$71&amp;単価表!$AZ$64:$AZ$71,),),MATCH(内訳計算!AW$6,単価表!$AY$63:$CC$63,0))),0)*$Y91/25,0),0)</f>
        <v>0</v>
      </c>
      <c r="AX91" s="1022" cm="1">
        <f t="array" ref="AX91">IFERROR(ROUNDUP(IF(HLOOKUP($U91,加算と減算!$E$4:$P$10,7,FALSE)="○",IF(OR($U91=2,$U91=3),
INDEX(単価表!$AY$72:$CC$79,MATCH($V91&amp;$W91,INDEX(単価表!$AY$64:$AY$71&amp;単価表!$AZ$64:$AZ$71,),),MATCH(内訳計算!AX$6,単価表!$AY$63:$CC$63,0)),
INDEX(単価表!$AY$72:$CC$79,MATCH($V91&amp;$W91,INDEX(単価表!$AY$64:$AY$71&amp;単価表!$AZ$64:$AZ$71,),),MATCH(内訳計算!AX$6,単価表!$AY$63:$CC$63,0))),0)*$Y91/25,0),0)</f>
        <v>0</v>
      </c>
      <c r="AY91" s="1023" cm="1">
        <f t="array" ref="AY91">IFERROR(ROUNDUP(IF(HLOOKUP($U91,加算と減算!$E$4:$P$10,7,FALSE)="○",IF(OR($U91=2,$U91=3),
INDEX(単価表!$AY$72:$CC$79,MATCH($V91&amp;$W91,INDEX(単価表!$AY$64:$AY$71&amp;単価表!$AZ$64:$AZ$71,),),MATCH(内訳計算!AY$6,単価表!$AY$63:$CC$63,0)),
INDEX(単価表!$AY$72:$CC$79,MATCH($V91&amp;$W91,INDEX(単価表!$AY$64:$AY$71&amp;単価表!$AZ$64:$AZ$71,),),MATCH(内訳計算!AY$6,単価表!$AY$63:$CC$63,0))),0)*$Y91/25,0),0)</f>
        <v>0</v>
      </c>
      <c r="AZ91" s="1021" cm="1">
        <f t="array" ref="AZ91">IFERROR(IF(X91="○",INDEX(単価表!$AY$72:$CC$79,MATCH($V91&amp;$W91,INDEX(単価表!$AY$64:$AY$71&amp;単価表!$AZ$64:$AZ$71,),),MATCH(内訳計算!AZ$6,単価表!$AY$63:$CC$63,0)),0),0)</f>
        <v>0</v>
      </c>
      <c r="BA91" s="1023" cm="1">
        <f t="array" ref="BA91">IFERROR(ROUNDUP(INDEX(単価表!$AY$72:$CC$79,MATCH($V91&amp;$W91,INDEX(単価表!$AY$64:$AY$71&amp;単価表!$AZ$64:$AZ$71,),),MATCH(内訳計算!BA$6,単価表!$AY$63:$CC$63,0))*$Y91/25,0),0)</f>
        <v>0</v>
      </c>
      <c r="BB91" s="1021" cm="1">
        <f t="array" ref="BB91">IFERROR(INDEX(単価表!$AY$72:$CC$79,MATCH($V91&amp;$W91,INDEX(単価表!$AY$64:$AY$71&amp;単価表!$AZ$64:$AZ$71,),),MATCH(内訳計算!BB$6,単価表!$AY$63:$CC$63,0)),0)</f>
        <v>0</v>
      </c>
      <c r="BC91" s="1023" cm="1">
        <f t="array" ref="BC91">IFERROR(ROUNDUP(INDEX(単価表!$AY$72:$CC$79,MATCH($V91&amp;$W91,INDEX(単価表!$AY$64:$AY$71&amp;単価表!$AZ$64:$AZ$71,),),MATCH(内訳計算!BC$6,単価表!$AY$63:$CC$63,0))*$Y91/25,0),0)</f>
        <v>0</v>
      </c>
      <c r="BD91" s="985">
        <f>IFERROR(IF(HLOOKUP($U91,加算と減算!$E$31:$P$32,2,FALSE)="○",IF(OR($U91=2,$U91=3),-(単価表!$AZ$23+単価表!$BA$23*基本情報!$G$7),-(単価表!$AZ$23+単価表!$BA$23*基本情報!$G$7)),0),0)</f>
        <v>0</v>
      </c>
      <c r="BE91" s="1007" t="e">
        <f t="shared" si="171"/>
        <v>#VALUE!</v>
      </c>
      <c r="BF91" s="1007" t="e">
        <f t="shared" si="172"/>
        <v>#VALUE!</v>
      </c>
      <c r="BG91" s="1030" t="e">
        <f t="shared" si="173"/>
        <v>#N/A</v>
      </c>
      <c r="BH91" s="1031">
        <f>IFERROR(IF(基本情報!$E$12&lt;&gt;"",-ROUNDDOWN((AA91+AE91+AH91+AL91)*基本情報!$H$13/100,-1),0),0)</f>
        <v>0</v>
      </c>
      <c r="BI91" s="1007" t="e">
        <f t="shared" si="174"/>
        <v>#VALUE!</v>
      </c>
      <c r="BJ91" s="1007" t="e">
        <f t="shared" si="175"/>
        <v>#VALUE!</v>
      </c>
      <c r="BK91" s="1008" t="e">
        <f t="shared" si="176"/>
        <v>#N/A</v>
      </c>
      <c r="BL91" s="1031">
        <f t="shared" si="185"/>
        <v>0</v>
      </c>
      <c r="BM91" s="1010" t="e">
        <f t="shared" si="177"/>
        <v>#VALUE!</v>
      </c>
      <c r="BN91" s="1010" t="e">
        <f t="shared" si="178"/>
        <v>#VALUE!</v>
      </c>
      <c r="BO91" s="1011" t="e">
        <f t="shared" si="179"/>
        <v>#N/A</v>
      </c>
      <c r="BP91" s="1009">
        <f>IFERROR(-ROUNDUP(SUM(AA91,AE91,AH91,AL91,AR91,AT91,AV91,BD91,BH91,BL91)*基本情報!$H$15/100,-1),0)</f>
        <v>0</v>
      </c>
      <c r="BQ91" s="1010" t="e">
        <f t="shared" si="180"/>
        <v>#VALUE!</v>
      </c>
      <c r="BR91" s="1010" t="e">
        <f t="shared" si="181"/>
        <v>#VALUE!</v>
      </c>
      <c r="BS91" s="1011" t="e">
        <f t="shared" si="182"/>
        <v>#N/A</v>
      </c>
      <c r="BU91" s="1043" t="e">
        <f t="shared" si="186"/>
        <v>#VALUE!</v>
      </c>
      <c r="BV91" s="1044" t="e">
        <f t="shared" si="187"/>
        <v>#VALUE!</v>
      </c>
      <c r="BW91" s="1044" t="e">
        <f t="shared" si="188"/>
        <v>#N/A</v>
      </c>
      <c r="BX91" s="1051">
        <f t="shared" si="189"/>
        <v>0</v>
      </c>
      <c r="BY91" s="1045">
        <f t="shared" si="190"/>
        <v>0</v>
      </c>
    </row>
    <row r="92" spans="1:114" ht="19.5" customHeight="1" thickBot="1">
      <c r="A92" s="1640"/>
      <c r="B92" s="1576" t="s">
        <v>592</v>
      </c>
      <c r="C92" s="1577"/>
      <c r="D92" s="1577"/>
      <c r="E92" s="811">
        <f>IF(E71="○",ROUNDDOWN(E88*E79/E77,0),0)</f>
        <v>0</v>
      </c>
      <c r="F92" s="811">
        <f t="shared" ref="F92:M92" si="192">IF(F71="○",ROUNDDOWN(F88*F79/F77,0),0)</f>
        <v>0</v>
      </c>
      <c r="G92" s="811">
        <f t="shared" si="192"/>
        <v>0</v>
      </c>
      <c r="H92" s="811">
        <f t="shared" si="192"/>
        <v>0</v>
      </c>
      <c r="I92" s="811">
        <f t="shared" si="192"/>
        <v>0</v>
      </c>
      <c r="J92" s="811">
        <f t="shared" si="192"/>
        <v>0</v>
      </c>
      <c r="K92" s="811">
        <f t="shared" si="192"/>
        <v>0</v>
      </c>
      <c r="L92" s="811">
        <f t="shared" si="192"/>
        <v>0</v>
      </c>
      <c r="M92" s="811">
        <f t="shared" si="192"/>
        <v>0</v>
      </c>
      <c r="N92" s="811">
        <f>IF(N71="○",ROUNDDOWN(N88*N79/N77,0),0)</f>
        <v>0</v>
      </c>
      <c r="O92" s="811">
        <f t="shared" ref="O92" si="193">IF(O71="○",ROUNDDOWN(O88*O79/O77,0),0)</f>
        <v>0</v>
      </c>
      <c r="P92" s="811">
        <f>IF(P71="○",ROUNDDOWN(P88*P79/P77,0),0)</f>
        <v>0</v>
      </c>
      <c r="Q92" s="812"/>
      <c r="T92" s="682">
        <v>5</v>
      </c>
      <c r="U92" s="918">
        <f>月途中入退所情報!N35</f>
        <v>0</v>
      </c>
      <c r="V92" s="918">
        <f>月途中入退所情報!R35</f>
        <v>0</v>
      </c>
      <c r="W92" s="918">
        <f>月途中入退所情報!Q35</f>
        <v>0</v>
      </c>
      <c r="X92" s="945">
        <f>月途中入退所情報!S35</f>
        <v>0</v>
      </c>
      <c r="Y92" s="918">
        <f>月途中入退所情報!T35</f>
        <v>0</v>
      </c>
      <c r="Z92" s="840">
        <f t="shared" si="183"/>
        <v>0</v>
      </c>
      <c r="AA92" s="1021" cm="1">
        <f t="array" ref="AA92">IFERROR(IF(OR($U92=2,$U92=3),
INDEX(単価表!$AY$72:$CC$79,MATCH($V92&amp;$W92,INDEX(単価表!$AY$64:$AY$71&amp;単価表!$AZ$64:$AZ$71,),),MATCH(内訳計算!AA$6,単価表!$AY$63:$CC$63,0)),
INDEX(単価表!$AY$72:$CC$79,MATCH($V92&amp;$W92,INDEX(単価表!$AY$64:$AY$71&amp;単価表!$AZ$64:$AZ$71,),),MATCH(内訳計算!AA$6,単価表!$AY$63:$CC$63,0))),0)</f>
        <v>0</v>
      </c>
      <c r="AB92" s="1022" t="e">
        <f t="shared" si="184"/>
        <v>#VALUE!</v>
      </c>
      <c r="AC92" s="1022" cm="1">
        <f t="array" ref="AC92">IFERROR(ROUNDUP(IF(OR($U92=2,$U92=3),
INDEX(単価表!$AY$72:$CC$79,MATCH($V92&amp;$W92,INDEX(単価表!$AY$64:$AY$71&amp;単価表!$AZ$64:$AZ$71,),),MATCH(内訳計算!AC$6,単価表!$AY$63:$CC$63,0)),
INDEX(単価表!$AY$72:$CC$79,MATCH($V92&amp;$W92,INDEX(単価表!$AY$64:$AY$71&amp;単価表!$AZ$64:$AZ$71,),),MATCH(内訳計算!AC$6,単価表!$AY$63:$CC$63,0)))*$Y92/25,0),0)</f>
        <v>0</v>
      </c>
      <c r="AD92" s="1023" cm="1">
        <f t="array" ref="AD92">IFERROR(ROUNDUP(IF(OR($U92=2,$U92=3),
INDEX(単価表!$AY$72:$CC$79,MATCH($V92&amp;$W92,INDEX(単価表!$AY$64:$AY$71&amp;単価表!$AZ$64:$AZ$71,),),MATCH(内訳計算!AD$6,単価表!$AY$63:$CC$63,0)),
INDEX(単価表!$AY$72:$CC$79,MATCH($V92&amp;$W92,INDEX(単価表!$AY$64:$AY$71&amp;単価表!$AZ$64:$AZ$71,),),MATCH(内訳計算!AD$6,単価表!$AY$63:$CC$63,0)))*$Y92/25,0),0)</f>
        <v>0</v>
      </c>
      <c r="AE92" s="1021" cm="1">
        <f t="array" ref="AE92">IFERROR(IF(OR($U92=2,$U92=3),
INDEX(単価表!$AY$72:$CC$79,MATCH($V92&amp;$W92,INDEX(単価表!$AY$64:$AY$71&amp;単価表!$AZ$64:$AZ$71,),),MATCH(内訳計算!AE$6,単価表!$AY$63:$CC$63,0)),
INDEX(単価表!$AY$72:$CC$79,MATCH($V92&amp;$W92,INDEX(単価表!$AY$64:$AY$71&amp;単価表!$AZ$64:$AZ$71,),),MATCH(内訳計算!AE$6,単価表!$AY$63:$CC$63,0))),0)</f>
        <v>0</v>
      </c>
      <c r="AF92" s="1022" cm="1">
        <f t="array" ref="AF92">IFERROR(ROUNDUP(IF(OR($U92=2,$U92=3),
INDEX(単価表!$AY$72:$CC$79,MATCH($V92&amp;$W92,INDEX(単価表!$AY$64:$AY$71&amp;単価表!$AZ$64:$AZ$71,),),MATCH(内訳計算!AF$6,単価表!$AY$63:$CC$63,0)),
INDEX(単価表!$AY$72:$CC$79,MATCH($V92&amp;$W92,INDEX(単価表!$AY$64:$AY$71&amp;単価表!$AZ$64:$AZ$71,),),MATCH(内訳計算!AF$6,単価表!$AY$63:$CC$63,0)))*$Y92/25,0),0)</f>
        <v>0</v>
      </c>
      <c r="AG92" s="1023" cm="1">
        <f t="array" ref="AG92">IFERROR(ROUNDUP(IF(OR($U92=2,$U92=3),
INDEX(単価表!$AY$72:$CC$79,MATCH($V92&amp;$W92,INDEX(単価表!$AY$64:$AY$71&amp;単価表!$AZ$64:$AZ$71,),),MATCH(内訳計算!AG$6,単価表!$AY$63:$CC$63,0)),
INDEX(単価表!$AY$72:$CC$79,MATCH($V92&amp;$W92,INDEX(単価表!$AY$64:$AY$71&amp;単価表!$AZ$64:$AZ$71,),),MATCH(内訳計算!AG$6,単価表!$AY$63:$CC$63,0)))*$Y92/25,0),0)</f>
        <v>0</v>
      </c>
      <c r="AH92" s="1021" cm="1">
        <f t="array" ref="AH92">IFERROR(IF(HLOOKUP($U92,加算と減算!$E$4:$P$10,2,FALSE)="○",IF(OR($U92=2,$U92=3),
INDEX(単価表!$AY$72:$CC$79,MATCH($V92&amp;$W92,INDEX(単価表!$AY$64:$AY$71&amp;単価表!$AZ$64:$AZ$71,),),MATCH(内訳計算!AH$6,単価表!$AY$63:$CC$63,0)),
INDEX(単価表!$AY$72:$CC$79,MATCH($V92&amp;$W92,INDEX(単価表!$AY$64:$AY$71&amp;単価表!$AZ$64:$AZ$71,),),MATCH(内訳計算!AH$6,単価表!$AY$63:$CC$63,0))),0),0)</f>
        <v>0</v>
      </c>
      <c r="AI92" s="1024" cm="1">
        <f t="array" ref="AI92">IFERROR(ROUNDUP(IF(HLOOKUP($U92,加算と減算!$E$4:$P$10,2,FALSE)="○",IF(OR($U92=2,$U92=3),
INDEX(単価表!$AY$72:$CC$79,MATCH($V92&amp;$W92,INDEX(単価表!$AY$64:$AY$71&amp;単価表!$AZ$64:$AZ$71,),),MATCH(内訳計算!AI$6,単価表!$AY$63:$CC$63,0)),
INDEX(単価表!$AY$72:$CC$79,MATCH($V92&amp;$W92,INDEX(単価表!$AY$64:$AY$71&amp;単価表!$AZ$64:$AZ$71,),),MATCH(内訳計算!AI$6,単価表!$AY$63:$CC$63,0))),0)*$Y92/25,0),0)</f>
        <v>0</v>
      </c>
      <c r="AJ92" s="1022" cm="1">
        <f t="array" ref="AJ92">IFERROR(ROUNDUP(IF(HLOOKUP($U92,加算と減算!$E$4:$P$10,2,FALSE)="○",IF(OR($U92=2,$U92=3),
INDEX(単価表!$AY$72:$CC$79,MATCH($V92&amp;$W92,INDEX(単価表!$AY$64:$AY$71&amp;単価表!$AZ$64:$AZ$71,),),MATCH(内訳計算!AJ$6,単価表!$AY$63:$CC$63,0)),
INDEX(単価表!$AY$72:$CC$79,MATCH($V92&amp;$W92,INDEX(単価表!$AY$64:$AY$71&amp;単価表!$AZ$64:$AZ$71,),),MATCH(内訳計算!AJ$6,単価表!$AY$63:$CC$63,0))),0)*$Y92/25,0),0)</f>
        <v>0</v>
      </c>
      <c r="AK92" s="1023" cm="1">
        <f t="array" ref="AK92">IFERROR(ROUNDUP(IF(HLOOKUP($U92,加算と減算!$E$4:$P$10,2,FALSE)="○",IF(OR($U92=2,$U92=3),
INDEX(単価表!$AY$72:$CC$79,MATCH($V92&amp;$W92,INDEX(単価表!$AY$64:$AY$71&amp;単価表!$AZ$64:$AZ$71,),),MATCH(内訳計算!AK$6,単価表!$AY$63:$CC$63,0)),
INDEX(単価表!$AY$72:$CC$79,MATCH($V92&amp;$W92,INDEX(単価表!$AY$64:$AY$71&amp;単価表!$AZ$64:$AZ$71,),),MATCH(内訳計算!AK$6,単価表!$AY$63:$CC$63,0))),0)*$Y92/25,0),0)</f>
        <v>0</v>
      </c>
      <c r="AL92" s="1021" cm="1">
        <f t="array" ref="AL92">IFERROR(IF(HLOOKUP($U92,加算と減算!$E$4:$P$10,4,FALSE)="○",IF(OR($U92=2,$U92=3),
INDEX(単価表!$AY$72:$CC$79,MATCH($V92&amp;$W92,INDEX(単価表!$AY$64:$AY$71&amp;単価表!$AZ$64:$AZ$71,),),MATCH(内訳計算!AL$6,単価表!$AY$63:$CC$63,0)),
INDEX(単価表!$AY$72:$CC$79,MATCH($V92&amp;$W92,INDEX(単価表!$AY$64:$AY$71&amp;単価表!$AZ$64:$AZ$71,),),MATCH(内訳計算!AL$6,単価表!$AY$63:$CC$63,0))),0),0)</f>
        <v>0</v>
      </c>
      <c r="AM92" s="1022" cm="1">
        <f t="array" ref="AM92">IFERROR(ROUNDUP(IF(HLOOKUP($U92,加算と減算!$E$4:$P$10,4,FALSE)="○",IF(OR($U92=2,$U92=3),
INDEX(単価表!$AY$72:$CC$79,MATCH($V92&amp;$W92,INDEX(単価表!$AY$64:$AY$71&amp;単価表!$AZ$64:$AZ$71,),),MATCH(内訳計算!AM$6,単価表!$AY$63:$CC$63,0)),
INDEX(単価表!$AY$72:$CC$79,MATCH($V92&amp;$W92,INDEX(単価表!$AY$64:$AY$71&amp;単価表!$AZ$64:$AZ$71,),),MATCH(内訳計算!AM$6,単価表!$AY$63:$CC$63,0))),0)*$Y92/25,0),0)</f>
        <v>0</v>
      </c>
      <c r="AN92" s="1022" cm="1">
        <f t="array" ref="AN92">IFERROR(ROUNDUP(IF(HLOOKUP($U92,加算と減算!$E$4:$P$10,4,FALSE)="○",IF(OR($U92=2,$U92=3),
INDEX(単価表!$AY$72:$CC$79,MATCH($V92&amp;$W92,INDEX(単価表!$AY$64:$AY$71&amp;単価表!$AZ$64:$AZ$71,),),MATCH(内訳計算!AN$6,単価表!$AY$63:$CC$63,0)),
INDEX(単価表!$AY$72:$CC$79,MATCH($V92&amp;$W92,INDEX(単価表!$AY$64:$AY$71&amp;単価表!$AZ$64:$AZ$71,),),MATCH(内訳計算!AN$6,単価表!$AY$63:$CC$63,0))),0)*$Y92/25,0),0)</f>
        <v>0</v>
      </c>
      <c r="AO92" s="1022" cm="1">
        <f t="array" ref="AO92">IFERROR(ROUNDUP(IF(HLOOKUP($U92,加算と減算!$E$4:$P$10,4,FALSE)="○",IF(OR($U92=2,$U92=3),
INDEX(単価表!$AY$72:$CC$79,MATCH($V92&amp;$W92,INDEX(単価表!$AY$64:$AY$71&amp;単価表!$AZ$64:$AZ$71,),),MATCH(内訳計算!AO$6,単価表!$AY$63:$CC$63,0)),
INDEX(単価表!$AY$72:$CC$79,MATCH($V92&amp;$W92,INDEX(単価表!$AY$64:$AY$71&amp;単価表!$AZ$64:$AZ$71,),),MATCH(内訳計算!AO$6,単価表!$AY$63:$CC$63,0))),0)*$Y92/25,0),0)</f>
        <v>0</v>
      </c>
      <c r="AP92" s="1022" cm="1">
        <f t="array" ref="AP92">IFERROR(ROUNDUP(IF(HLOOKUP($U92,加算と減算!$E$4:$P$10,4,FALSE)="○",IF(OR($U92=2,$U92=3),
INDEX(単価表!$AY$72:$CC$79,MATCH($V92&amp;$W92,INDEX(単価表!$AY$64:$AY$71&amp;単価表!$AZ$64:$AZ$71,),),MATCH(内訳計算!AP$6,単価表!$AY$63:$CC$63,0)),
INDEX(単価表!$AY$72:$CC$79,MATCH($V92&amp;$W92,INDEX(単価表!$AY$64:$AY$71&amp;単価表!$AZ$64:$AZ$71,),),MATCH(内訳計算!AP$6,単価表!$AY$63:$CC$63,0))),0)*$Y92/25,0),0)</f>
        <v>0</v>
      </c>
      <c r="AQ92" s="1023" cm="1">
        <f t="array" ref="AQ92">IFERROR(ROUNDUP(IF(HLOOKUP($U92,加算と減算!$E$4:$P$10,4,FALSE)="○",IF(OR($U92=2,$U92=3),
INDEX(単価表!$AY$72:$CC$79,MATCH($V92&amp;$W92,INDEX(単価表!$AY$64:$AY$71&amp;単価表!$AZ$64:$AZ$71,),),MATCH(内訳計算!AQ$6,単価表!$AY$63:$CC$63,0)),
INDEX(単価表!$AY$72:$CC$79,MATCH($V92&amp;$W92,INDEX(単価表!$AY$64:$AY$71&amp;単価表!$AZ$64:$AZ$71,),),MATCH(内訳計算!AQ$6,単価表!$AY$63:$CC$63,0))),0)*$Y92/25,0),0)</f>
        <v>0</v>
      </c>
      <c r="AR92" s="1021" cm="1">
        <f t="array" ref="AR92">IFERROR(IF(HLOOKUP($U92,加算と減算!$E$4:$P$10,5,FALSE)="○",IF(OR($U92=2,$U92=3),
INDEX(単価表!$AY$72:$CC$79,MATCH($V92&amp;$W92,INDEX(単価表!$AY$64:$AY$71&amp;単価表!$AZ$64:$AZ$71,),),MATCH(内訳計算!AR$6,単価表!$AY$63:$CC$63,0)),
INDEX(単価表!$AY$72:$CC$79,MATCH($V92&amp;$W92,INDEX(単価表!$AY$64:$AY$71&amp;単価表!$AZ$64:$AZ$71,),),MATCH(内訳計算!AR$6,単価表!$AY$63:$CC$63,0))),0),0)</f>
        <v>0</v>
      </c>
      <c r="AS92" s="1023" cm="1">
        <f t="array" ref="AS92">IFERROR(ROUNDUP(IF(HLOOKUP($U92,加算と減算!$E$4:$P$10,5,FALSE)="○",IF(OR($U92=2,$U92=3),
INDEX(単価表!$AY$72:$CC$79,MATCH($V92&amp;$W92,INDEX(単価表!$AY$64:$AY$71&amp;単価表!$AZ$64:$AZ$71,),),MATCH(内訳計算!AS$6,単価表!$AY$63:$CC$63,0)),
INDEX(単価表!$AY$72:$CC$79,MATCH($V92&amp;$W92,INDEX(単価表!$AY$64:$AY$71&amp;単価表!$AZ$64:$AZ$71,),),MATCH(内訳計算!AS$6,単価表!$AY$63:$CC$63,0))),0)*$Y92/25,0),0)</f>
        <v>0</v>
      </c>
      <c r="AT92" s="1021" cm="1">
        <f t="array" ref="AT92">IFERROR(IF(HLOOKUP($U92,加算と減算!$E$4:$P$10,6,FALSE)="○",IF(OR($U92=2,$U92=3),
INDEX(単価表!$AY$72:$CC$79,MATCH($V92&amp;$W92,INDEX(単価表!$AY$64:$AY$71&amp;単価表!$AZ$64:$AZ$71,),),MATCH(内訳計算!AT$6,単価表!$AY$63:$CC$63,0)),
INDEX(単価表!$AY$72:$CC$79,MATCH($V92&amp;$W92,INDEX(単価表!$AY$64:$AY$71&amp;単価表!$AZ$64:$AZ$71,),),MATCH(内訳計算!AT$6,単価表!$AY$63:$CC$63,0))),0),0)</f>
        <v>0</v>
      </c>
      <c r="AU92" s="1023" cm="1">
        <f t="array" ref="AU92">IFERROR(ROUNDUP(IF(HLOOKUP($U92,加算と減算!$E$4:$P$10,6,FALSE)="○",IF(OR($U92=2,$U92=3),
INDEX(単価表!$AY$72:$CC$79,MATCH($V92&amp;$W92,INDEX(単価表!$AY$64:$AY$71&amp;単価表!$AZ$64:$AZ$71,),),MATCH(内訳計算!AU$6,単価表!$AY$63:$CC$63,0)),
INDEX(単価表!$AY$72:$CC$79,MATCH($V92&amp;$W92,INDEX(単価表!$AY$64:$AY$71&amp;単価表!$AZ$64:$AZ$71,),),MATCH(内訳計算!AU$6,単価表!$AY$63:$CC$63,0))),0)*$Y92/25,0),0)</f>
        <v>0</v>
      </c>
      <c r="AV92" s="1021" cm="1">
        <f t="array" ref="AV92">IFERROR(IF(HLOOKUP($U92,加算と減算!$E$4:$P$10,7,FALSE)="○",IF(OR($U92=2,$U92=3),
INDEX(単価表!$AY$72:$CC$79,MATCH($V92&amp;$W92,INDEX(単価表!$AY$64:$AY$71&amp;単価表!$AZ$64:$AZ$71,),),MATCH(内訳計算!AV$6,単価表!$AY$63:$CC$63,0)),
INDEX(単価表!$AY$72:$CC$79,MATCH($V92&amp;$W92,INDEX(単価表!$AY$64:$AY$71&amp;単価表!$AZ$64:$AZ$71,),),MATCH(内訳計算!AV$6,単価表!$AY$63:$CC$63,0))),0),0)</f>
        <v>0</v>
      </c>
      <c r="AW92" s="1022" cm="1">
        <f t="array" ref="AW92">IFERROR(ROUNDUP(IF(HLOOKUP($U92,加算と減算!$E$4:$P$10,7,FALSE)="○",IF(OR($U92=2,$U92=3),
INDEX(単価表!$AY$72:$CC$79,MATCH($V92&amp;$W92,INDEX(単価表!$AY$64:$AY$71&amp;単価表!$AZ$64:$AZ$71,),),MATCH(内訳計算!AW$6,単価表!$AY$63:$CC$63,0)),
INDEX(単価表!$AY$72:$CC$79,MATCH($V92&amp;$W92,INDEX(単価表!$AY$64:$AY$71&amp;単価表!$AZ$64:$AZ$71,),),MATCH(内訳計算!AW$6,単価表!$AY$63:$CC$63,0))),0)*$Y92/25,0),0)</f>
        <v>0</v>
      </c>
      <c r="AX92" s="1022" cm="1">
        <f t="array" ref="AX92">IFERROR(ROUNDUP(IF(HLOOKUP($U92,加算と減算!$E$4:$P$10,7,FALSE)="○",IF(OR($U92=2,$U92=3),
INDEX(単価表!$AY$72:$CC$79,MATCH($V92&amp;$W92,INDEX(単価表!$AY$64:$AY$71&amp;単価表!$AZ$64:$AZ$71,),),MATCH(内訳計算!AX$6,単価表!$AY$63:$CC$63,0)),
INDEX(単価表!$AY$72:$CC$79,MATCH($V92&amp;$W92,INDEX(単価表!$AY$64:$AY$71&amp;単価表!$AZ$64:$AZ$71,),),MATCH(内訳計算!AX$6,単価表!$AY$63:$CC$63,0))),0)*$Y92/25,0),0)</f>
        <v>0</v>
      </c>
      <c r="AY92" s="1023" cm="1">
        <f t="array" ref="AY92">IFERROR(ROUNDUP(IF(HLOOKUP($U92,加算と減算!$E$4:$P$10,7,FALSE)="○",IF(OR($U92=2,$U92=3),
INDEX(単価表!$AY$72:$CC$79,MATCH($V92&amp;$W92,INDEX(単価表!$AY$64:$AY$71&amp;単価表!$AZ$64:$AZ$71,),),MATCH(内訳計算!AY$6,単価表!$AY$63:$CC$63,0)),
INDEX(単価表!$AY$72:$CC$79,MATCH($V92&amp;$W92,INDEX(単価表!$AY$64:$AY$71&amp;単価表!$AZ$64:$AZ$71,),),MATCH(内訳計算!AY$6,単価表!$AY$63:$CC$63,0))),0)*$Y92/25,0),0)</f>
        <v>0</v>
      </c>
      <c r="AZ92" s="1021" cm="1">
        <f t="array" ref="AZ92">IFERROR(IF(X92="○",INDEX(単価表!$AY$72:$CC$79,MATCH($V92&amp;$W92,INDEX(単価表!$AY$64:$AY$71&amp;単価表!$AZ$64:$AZ$71,),),MATCH(内訳計算!AZ$6,単価表!$AY$63:$CC$63,0)),0),0)</f>
        <v>0</v>
      </c>
      <c r="BA92" s="1023" cm="1">
        <f t="array" ref="BA92">IFERROR(ROUNDUP(INDEX(単価表!$AY$72:$CC$79,MATCH($V92&amp;$W92,INDEX(単価表!$AY$64:$AY$71&amp;単価表!$AZ$64:$AZ$71,),),MATCH(内訳計算!BA$6,単価表!$AY$63:$CC$63,0))*$Y92/25,0),0)</f>
        <v>0</v>
      </c>
      <c r="BB92" s="1021" cm="1">
        <f t="array" ref="BB92">IFERROR(INDEX(単価表!$AY$72:$CC$79,MATCH($V92&amp;$W92,INDEX(単価表!$AY$64:$AY$71&amp;単価表!$AZ$64:$AZ$71,),),MATCH(内訳計算!BB$6,単価表!$AY$63:$CC$63,0)),0)</f>
        <v>0</v>
      </c>
      <c r="BC92" s="1023" cm="1">
        <f t="array" ref="BC92">IFERROR(ROUNDUP(INDEX(単価表!$AY$72:$CC$79,MATCH($V92&amp;$W92,INDEX(単価表!$AY$64:$AY$71&amp;単価表!$AZ$64:$AZ$71,),),MATCH(内訳計算!BC$6,単価表!$AY$63:$CC$63,0))*$Y92/25,0),0)</f>
        <v>0</v>
      </c>
      <c r="BD92" s="985">
        <f>IFERROR(IF(HLOOKUP($U92,加算と減算!$E$31:$P$32,2,FALSE)="○",IF(OR($U92=2,$U92=3),-(単価表!$AZ$23+単価表!$BA$23*基本情報!$G$7),-(単価表!$AZ$23+単価表!$BA$23*基本情報!$G$7)),0),0)</f>
        <v>0</v>
      </c>
      <c r="BE92" s="1007" t="e">
        <f t="shared" si="171"/>
        <v>#VALUE!</v>
      </c>
      <c r="BF92" s="1007" t="e">
        <f t="shared" si="172"/>
        <v>#VALUE!</v>
      </c>
      <c r="BG92" s="1030" t="e">
        <f t="shared" si="173"/>
        <v>#N/A</v>
      </c>
      <c r="BH92" s="1031">
        <f>IFERROR(IF(基本情報!$E$12&lt;&gt;"",-ROUNDDOWN((AA92+AE92+AH92+AL92)*基本情報!$H$13/100,-1),0),0)</f>
        <v>0</v>
      </c>
      <c r="BI92" s="1007" t="e">
        <f t="shared" si="174"/>
        <v>#VALUE!</v>
      </c>
      <c r="BJ92" s="1007" t="e">
        <f t="shared" si="175"/>
        <v>#VALUE!</v>
      </c>
      <c r="BK92" s="1008" t="e">
        <f t="shared" si="176"/>
        <v>#N/A</v>
      </c>
      <c r="BL92" s="1031">
        <f t="shared" si="185"/>
        <v>0</v>
      </c>
      <c r="BM92" s="1007" t="e">
        <f t="shared" si="177"/>
        <v>#VALUE!</v>
      </c>
      <c r="BN92" s="1007" t="e">
        <f t="shared" si="178"/>
        <v>#VALUE!</v>
      </c>
      <c r="BO92" s="1008" t="e">
        <f t="shared" si="179"/>
        <v>#N/A</v>
      </c>
      <c r="BP92" s="1006">
        <f>IFERROR(-ROUNDUP(SUM(AA92,AE92,AH92,AL92,AR92,AT92,AV92,BD92,BH92,BL92)*基本情報!$H$15/100,-1),0)</f>
        <v>0</v>
      </c>
      <c r="BQ92" s="1007" t="e">
        <f t="shared" si="180"/>
        <v>#VALUE!</v>
      </c>
      <c r="BR92" s="1007" t="e">
        <f t="shared" si="181"/>
        <v>#VALUE!</v>
      </c>
      <c r="BS92" s="1008" t="e">
        <f t="shared" si="182"/>
        <v>#N/A</v>
      </c>
      <c r="BU92" s="1043" t="e">
        <f t="shared" si="186"/>
        <v>#VALUE!</v>
      </c>
      <c r="BV92" s="1044" t="e">
        <f t="shared" si="187"/>
        <v>#VALUE!</v>
      </c>
      <c r="BW92" s="1044" t="e">
        <f t="shared" si="188"/>
        <v>#N/A</v>
      </c>
      <c r="BX92" s="1051">
        <f t="shared" si="189"/>
        <v>0</v>
      </c>
      <c r="BY92" s="1045">
        <f t="shared" si="190"/>
        <v>0</v>
      </c>
    </row>
    <row r="93" spans="1:114" ht="19.5" customHeight="1" thickBot="1">
      <c r="A93" s="1640"/>
      <c r="B93" s="1578" t="s">
        <v>593</v>
      </c>
      <c r="C93" s="1579"/>
      <c r="D93" s="1579"/>
      <c r="E93" s="813" t="e">
        <f>E88-E91-E92</f>
        <v>#DIV/0!</v>
      </c>
      <c r="F93" s="813" t="e">
        <f t="shared" ref="F93:M93" si="194">F88-F91-F92</f>
        <v>#DIV/0!</v>
      </c>
      <c r="G93" s="813" t="e">
        <f t="shared" si="194"/>
        <v>#DIV/0!</v>
      </c>
      <c r="H93" s="813" t="e">
        <f t="shared" si="194"/>
        <v>#DIV/0!</v>
      </c>
      <c r="I93" s="813" t="e">
        <f t="shared" si="194"/>
        <v>#DIV/0!</v>
      </c>
      <c r="J93" s="813" t="e">
        <f t="shared" si="194"/>
        <v>#DIV/0!</v>
      </c>
      <c r="K93" s="813" t="e">
        <f t="shared" si="194"/>
        <v>#DIV/0!</v>
      </c>
      <c r="L93" s="813" t="e">
        <f t="shared" si="194"/>
        <v>#DIV/0!</v>
      </c>
      <c r="M93" s="813" t="e">
        <f t="shared" si="194"/>
        <v>#DIV/0!</v>
      </c>
      <c r="N93" s="813" t="e">
        <f>N88-N91-N92</f>
        <v>#DIV/0!</v>
      </c>
      <c r="O93" s="813" t="e">
        <f t="shared" ref="O93" si="195">O88-O91-O92</f>
        <v>#DIV/0!</v>
      </c>
      <c r="P93" s="813" t="e">
        <f>P88-P91-P92</f>
        <v>#DIV/0!</v>
      </c>
      <c r="Q93" s="814"/>
      <c r="T93" s="682">
        <v>6</v>
      </c>
      <c r="U93" s="918">
        <f>月途中入退所情報!N36</f>
        <v>0</v>
      </c>
      <c r="V93" s="918">
        <f>月途中入退所情報!R36</f>
        <v>0</v>
      </c>
      <c r="W93" s="918">
        <f>月途中入退所情報!Q36</f>
        <v>0</v>
      </c>
      <c r="X93" s="945">
        <f>月途中入退所情報!S36</f>
        <v>0</v>
      </c>
      <c r="Y93" s="918">
        <f>月途中入退所情報!T36</f>
        <v>0</v>
      </c>
      <c r="Z93" s="993">
        <f t="shared" si="183"/>
        <v>0</v>
      </c>
      <c r="AA93" s="1021" cm="1">
        <f t="array" ref="AA93">IFERROR(IF(OR($U93=2,$U93=3),
INDEX(単価表!$AY$72:$CC$79,MATCH($V93&amp;$W93,INDEX(単価表!$AY$64:$AY$71&amp;単価表!$AZ$64:$AZ$71,),),MATCH(内訳計算!AA$6,単価表!$AY$63:$CC$63,0)),
INDEX(単価表!$AY$72:$CC$79,MATCH($V93&amp;$W93,INDEX(単価表!$AY$64:$AY$71&amp;単価表!$AZ$64:$AZ$71,),),MATCH(内訳計算!AA$6,単価表!$AY$63:$CC$63,0))),0)</f>
        <v>0</v>
      </c>
      <c r="AB93" s="1022" t="e">
        <f t="shared" si="184"/>
        <v>#VALUE!</v>
      </c>
      <c r="AC93" s="1022" cm="1">
        <f t="array" ref="AC93">IFERROR(ROUNDUP(IF(OR($U93=2,$U93=3),
INDEX(単価表!$AY$72:$CC$79,MATCH($V93&amp;$W93,INDEX(単価表!$AY$64:$AY$71&amp;単価表!$AZ$64:$AZ$71,),),MATCH(内訳計算!AC$6,単価表!$AY$63:$CC$63,0)),
INDEX(単価表!$AY$72:$CC$79,MATCH($V93&amp;$W93,INDEX(単価表!$AY$64:$AY$71&amp;単価表!$AZ$64:$AZ$71,),),MATCH(内訳計算!AC$6,単価表!$AY$63:$CC$63,0)))*$Y93/25,0),0)</f>
        <v>0</v>
      </c>
      <c r="AD93" s="1023" cm="1">
        <f t="array" ref="AD93">IFERROR(ROUNDUP(IF(OR($U93=2,$U93=3),
INDEX(単価表!$AY$72:$CC$79,MATCH($V93&amp;$W93,INDEX(単価表!$AY$64:$AY$71&amp;単価表!$AZ$64:$AZ$71,),),MATCH(内訳計算!AD$6,単価表!$AY$63:$CC$63,0)),
INDEX(単価表!$AY$72:$CC$79,MATCH($V93&amp;$W93,INDEX(単価表!$AY$64:$AY$71&amp;単価表!$AZ$64:$AZ$71,),),MATCH(内訳計算!AD$6,単価表!$AY$63:$CC$63,0)))*$Y93/25,0),0)</f>
        <v>0</v>
      </c>
      <c r="AE93" s="1021" cm="1">
        <f t="array" ref="AE93">IFERROR(IF(OR($U93=2,$U93=3),
INDEX(単価表!$AY$72:$CC$79,MATCH($V93&amp;$W93,INDEX(単価表!$AY$64:$AY$71&amp;単価表!$AZ$64:$AZ$71,),),MATCH(内訳計算!AE$6,単価表!$AY$63:$CC$63,0)),
INDEX(単価表!$AY$72:$CC$79,MATCH($V93&amp;$W93,INDEX(単価表!$AY$64:$AY$71&amp;単価表!$AZ$64:$AZ$71,),),MATCH(内訳計算!AE$6,単価表!$AY$63:$CC$63,0))),0)</f>
        <v>0</v>
      </c>
      <c r="AF93" s="1022" cm="1">
        <f t="array" ref="AF93">IFERROR(ROUNDUP(IF(OR($U93=2,$U93=3),
INDEX(単価表!$AY$72:$CC$79,MATCH($V93&amp;$W93,INDEX(単価表!$AY$64:$AY$71&amp;単価表!$AZ$64:$AZ$71,),),MATCH(内訳計算!AF$6,単価表!$AY$63:$CC$63,0)),
INDEX(単価表!$AY$72:$CC$79,MATCH($V93&amp;$W93,INDEX(単価表!$AY$64:$AY$71&amp;単価表!$AZ$64:$AZ$71,),),MATCH(内訳計算!AF$6,単価表!$AY$63:$CC$63,0)))*$Y93/25,0),0)</f>
        <v>0</v>
      </c>
      <c r="AG93" s="1023" cm="1">
        <f t="array" ref="AG93">IFERROR(ROUNDUP(IF(OR($U93=2,$U93=3),
INDEX(単価表!$AY$72:$CC$79,MATCH($V93&amp;$W93,INDEX(単価表!$AY$64:$AY$71&amp;単価表!$AZ$64:$AZ$71,),),MATCH(内訳計算!AG$6,単価表!$AY$63:$CC$63,0)),
INDEX(単価表!$AY$72:$CC$79,MATCH($V93&amp;$W93,INDEX(単価表!$AY$64:$AY$71&amp;単価表!$AZ$64:$AZ$71,),),MATCH(内訳計算!AG$6,単価表!$AY$63:$CC$63,0)))*$Y93/25,0),0)</f>
        <v>0</v>
      </c>
      <c r="AH93" s="1021" cm="1">
        <f t="array" ref="AH93">IFERROR(IF(HLOOKUP($U93,加算と減算!$E$4:$P$10,2,FALSE)="○",IF(OR($U93=2,$U93=3),
INDEX(単価表!$AY$72:$CC$79,MATCH($V93&amp;$W93,INDEX(単価表!$AY$64:$AY$71&amp;単価表!$AZ$64:$AZ$71,),),MATCH(内訳計算!AH$6,単価表!$AY$63:$CC$63,0)),
INDEX(単価表!$AY$72:$CC$79,MATCH($V93&amp;$W93,INDEX(単価表!$AY$64:$AY$71&amp;単価表!$AZ$64:$AZ$71,),),MATCH(内訳計算!AH$6,単価表!$AY$63:$CC$63,0))),0),0)</f>
        <v>0</v>
      </c>
      <c r="AI93" s="1024" cm="1">
        <f t="array" ref="AI93">IFERROR(ROUNDUP(IF(HLOOKUP($U93,加算と減算!$E$4:$P$10,2,FALSE)="○",IF(OR($U93=2,$U93=3),
INDEX(単価表!$AY$72:$CC$79,MATCH($V93&amp;$W93,INDEX(単価表!$AY$64:$AY$71&amp;単価表!$AZ$64:$AZ$71,),),MATCH(内訳計算!AI$6,単価表!$AY$63:$CC$63,0)),
INDEX(単価表!$AY$72:$CC$79,MATCH($V93&amp;$W93,INDEX(単価表!$AY$64:$AY$71&amp;単価表!$AZ$64:$AZ$71,),),MATCH(内訳計算!AI$6,単価表!$AY$63:$CC$63,0))),0)*$Y93/25,0),0)</f>
        <v>0</v>
      </c>
      <c r="AJ93" s="1022" cm="1">
        <f t="array" ref="AJ93">IFERROR(ROUNDUP(IF(HLOOKUP($U93,加算と減算!$E$4:$P$10,2,FALSE)="○",IF(OR($U93=2,$U93=3),
INDEX(単価表!$AY$72:$CC$79,MATCH($V93&amp;$W93,INDEX(単価表!$AY$64:$AY$71&amp;単価表!$AZ$64:$AZ$71,),),MATCH(内訳計算!AJ$6,単価表!$AY$63:$CC$63,0)),
INDEX(単価表!$AY$72:$CC$79,MATCH($V93&amp;$W93,INDEX(単価表!$AY$64:$AY$71&amp;単価表!$AZ$64:$AZ$71,),),MATCH(内訳計算!AJ$6,単価表!$AY$63:$CC$63,0))),0)*$Y93/25,0),0)</f>
        <v>0</v>
      </c>
      <c r="AK93" s="1023" cm="1">
        <f t="array" ref="AK93">IFERROR(ROUNDUP(IF(HLOOKUP($U93,加算と減算!$E$4:$P$10,2,FALSE)="○",IF(OR($U93=2,$U93=3),
INDEX(単価表!$AY$72:$CC$79,MATCH($V93&amp;$W93,INDEX(単価表!$AY$64:$AY$71&amp;単価表!$AZ$64:$AZ$71,),),MATCH(内訳計算!AK$6,単価表!$AY$63:$CC$63,0)),
INDEX(単価表!$AY$72:$CC$79,MATCH($V93&amp;$W93,INDEX(単価表!$AY$64:$AY$71&amp;単価表!$AZ$64:$AZ$71,),),MATCH(内訳計算!AK$6,単価表!$AY$63:$CC$63,0))),0)*$Y93/25,0),0)</f>
        <v>0</v>
      </c>
      <c r="AL93" s="1021" cm="1">
        <f t="array" ref="AL93">IFERROR(IF(HLOOKUP($U93,加算と減算!$E$4:$P$10,4,FALSE)="○",IF(OR($U93=2,$U93=3),
INDEX(単価表!$AY$72:$CC$79,MATCH($V93&amp;$W93,INDEX(単価表!$AY$64:$AY$71&amp;単価表!$AZ$64:$AZ$71,),),MATCH(内訳計算!AL$6,単価表!$AY$63:$CC$63,0)),
INDEX(単価表!$AY$72:$CC$79,MATCH($V93&amp;$W93,INDEX(単価表!$AY$64:$AY$71&amp;単価表!$AZ$64:$AZ$71,),),MATCH(内訳計算!AL$6,単価表!$AY$63:$CC$63,0))),0),0)</f>
        <v>0</v>
      </c>
      <c r="AM93" s="1022" cm="1">
        <f t="array" ref="AM93">IFERROR(ROUNDUP(IF(HLOOKUP($U93,加算と減算!$E$4:$P$10,4,FALSE)="○",IF(OR($U93=2,$U93=3),
INDEX(単価表!$AY$72:$CC$79,MATCH($V93&amp;$W93,INDEX(単価表!$AY$64:$AY$71&amp;単価表!$AZ$64:$AZ$71,),),MATCH(内訳計算!AM$6,単価表!$AY$63:$CC$63,0)),
INDEX(単価表!$AY$72:$CC$79,MATCH($V93&amp;$W93,INDEX(単価表!$AY$64:$AY$71&amp;単価表!$AZ$64:$AZ$71,),),MATCH(内訳計算!AM$6,単価表!$AY$63:$CC$63,0))),0)*$Y93/25,0),0)</f>
        <v>0</v>
      </c>
      <c r="AN93" s="1022" cm="1">
        <f t="array" ref="AN93">IFERROR(ROUNDUP(IF(HLOOKUP($U93,加算と減算!$E$4:$P$10,4,FALSE)="○",IF(OR($U93=2,$U93=3),
INDEX(単価表!$AY$72:$CC$79,MATCH($V93&amp;$W93,INDEX(単価表!$AY$64:$AY$71&amp;単価表!$AZ$64:$AZ$71,),),MATCH(内訳計算!AN$6,単価表!$AY$63:$CC$63,0)),
INDEX(単価表!$AY$72:$CC$79,MATCH($V93&amp;$W93,INDEX(単価表!$AY$64:$AY$71&amp;単価表!$AZ$64:$AZ$71,),),MATCH(内訳計算!AN$6,単価表!$AY$63:$CC$63,0))),0)*$Y93/25,0),0)</f>
        <v>0</v>
      </c>
      <c r="AO93" s="1022" cm="1">
        <f t="array" ref="AO93">IFERROR(ROUNDUP(IF(HLOOKUP($U93,加算と減算!$E$4:$P$10,4,FALSE)="○",IF(OR($U93=2,$U93=3),
INDEX(単価表!$AY$72:$CC$79,MATCH($V93&amp;$W93,INDEX(単価表!$AY$64:$AY$71&amp;単価表!$AZ$64:$AZ$71,),),MATCH(内訳計算!AO$6,単価表!$AY$63:$CC$63,0)),
INDEX(単価表!$AY$72:$CC$79,MATCH($V93&amp;$W93,INDEX(単価表!$AY$64:$AY$71&amp;単価表!$AZ$64:$AZ$71,),),MATCH(内訳計算!AO$6,単価表!$AY$63:$CC$63,0))),0)*$Y93/25,0),0)</f>
        <v>0</v>
      </c>
      <c r="AP93" s="1022" cm="1">
        <f t="array" ref="AP93">IFERROR(ROUNDUP(IF(HLOOKUP($U93,加算と減算!$E$4:$P$10,4,FALSE)="○",IF(OR($U93=2,$U93=3),
INDEX(単価表!$AY$72:$CC$79,MATCH($V93&amp;$W93,INDEX(単価表!$AY$64:$AY$71&amp;単価表!$AZ$64:$AZ$71,),),MATCH(内訳計算!AP$6,単価表!$AY$63:$CC$63,0)),
INDEX(単価表!$AY$72:$CC$79,MATCH($V93&amp;$W93,INDEX(単価表!$AY$64:$AY$71&amp;単価表!$AZ$64:$AZ$71,),),MATCH(内訳計算!AP$6,単価表!$AY$63:$CC$63,0))),0)*$Y93/25,0),0)</f>
        <v>0</v>
      </c>
      <c r="AQ93" s="1023" cm="1">
        <f t="array" ref="AQ93">IFERROR(ROUNDUP(IF(HLOOKUP($U93,加算と減算!$E$4:$P$10,4,FALSE)="○",IF(OR($U93=2,$U93=3),
INDEX(単価表!$AY$72:$CC$79,MATCH($V93&amp;$W93,INDEX(単価表!$AY$64:$AY$71&amp;単価表!$AZ$64:$AZ$71,),),MATCH(内訳計算!AQ$6,単価表!$AY$63:$CC$63,0)),
INDEX(単価表!$AY$72:$CC$79,MATCH($V93&amp;$W93,INDEX(単価表!$AY$64:$AY$71&amp;単価表!$AZ$64:$AZ$71,),),MATCH(内訳計算!AQ$6,単価表!$AY$63:$CC$63,0))),0)*$Y93/25,0),0)</f>
        <v>0</v>
      </c>
      <c r="AR93" s="1021" cm="1">
        <f t="array" ref="AR93">IFERROR(IF(HLOOKUP($U93,加算と減算!$E$4:$P$10,5,FALSE)="○",IF(OR($U93=2,$U93=3),
INDEX(単価表!$AY$72:$CC$79,MATCH($V93&amp;$W93,INDEX(単価表!$AY$64:$AY$71&amp;単価表!$AZ$64:$AZ$71,),),MATCH(内訳計算!AR$6,単価表!$AY$63:$CC$63,0)),
INDEX(単価表!$AY$72:$CC$79,MATCH($V93&amp;$W93,INDEX(単価表!$AY$64:$AY$71&amp;単価表!$AZ$64:$AZ$71,),),MATCH(内訳計算!AR$6,単価表!$AY$63:$CC$63,0))),0),0)</f>
        <v>0</v>
      </c>
      <c r="AS93" s="1023" cm="1">
        <f t="array" ref="AS93">IFERROR(ROUNDUP(IF(HLOOKUP($U93,加算と減算!$E$4:$P$10,5,FALSE)="○",IF(OR($U93=2,$U93=3),
INDEX(単価表!$AY$72:$CC$79,MATCH($V93&amp;$W93,INDEX(単価表!$AY$64:$AY$71&amp;単価表!$AZ$64:$AZ$71,),),MATCH(内訳計算!AS$6,単価表!$AY$63:$CC$63,0)),
INDEX(単価表!$AY$72:$CC$79,MATCH($V93&amp;$W93,INDEX(単価表!$AY$64:$AY$71&amp;単価表!$AZ$64:$AZ$71,),),MATCH(内訳計算!AS$6,単価表!$AY$63:$CC$63,0))),0)*$Y93/25,0),0)</f>
        <v>0</v>
      </c>
      <c r="AT93" s="1021" cm="1">
        <f t="array" ref="AT93">IFERROR(IF(HLOOKUP($U93,加算と減算!$E$4:$P$10,6,FALSE)="○",IF(OR($U93=2,$U93=3),
INDEX(単価表!$AY$72:$CC$79,MATCH($V93&amp;$W93,INDEX(単価表!$AY$64:$AY$71&amp;単価表!$AZ$64:$AZ$71,),),MATCH(内訳計算!AT$6,単価表!$AY$63:$CC$63,0)),
INDEX(単価表!$AY$72:$CC$79,MATCH($V93&amp;$W93,INDEX(単価表!$AY$64:$AY$71&amp;単価表!$AZ$64:$AZ$71,),),MATCH(内訳計算!AT$6,単価表!$AY$63:$CC$63,0))),0),0)</f>
        <v>0</v>
      </c>
      <c r="AU93" s="1023" cm="1">
        <f t="array" ref="AU93">IFERROR(ROUNDUP(IF(HLOOKUP($U93,加算と減算!$E$4:$P$10,6,FALSE)="○",IF(OR($U93=2,$U93=3),
INDEX(単価表!$AY$72:$CC$79,MATCH($V93&amp;$W93,INDEX(単価表!$AY$64:$AY$71&amp;単価表!$AZ$64:$AZ$71,),),MATCH(内訳計算!AU$6,単価表!$AY$63:$CC$63,0)),
INDEX(単価表!$AY$72:$CC$79,MATCH($V93&amp;$W93,INDEX(単価表!$AY$64:$AY$71&amp;単価表!$AZ$64:$AZ$71,),),MATCH(内訳計算!AU$6,単価表!$AY$63:$CC$63,0))),0)*$Y93/25,0),0)</f>
        <v>0</v>
      </c>
      <c r="AV93" s="1021" cm="1">
        <f t="array" ref="AV93">IFERROR(IF(HLOOKUP($U93,加算と減算!$E$4:$P$10,7,FALSE)="○",IF(OR($U93=2,$U93=3),
INDEX(単価表!$AY$72:$CC$79,MATCH($V93&amp;$W93,INDEX(単価表!$AY$64:$AY$71&amp;単価表!$AZ$64:$AZ$71,),),MATCH(内訳計算!AV$6,単価表!$AY$63:$CC$63,0)),
INDEX(単価表!$AY$72:$CC$79,MATCH($V93&amp;$W93,INDEX(単価表!$AY$64:$AY$71&amp;単価表!$AZ$64:$AZ$71,),),MATCH(内訳計算!AV$6,単価表!$AY$63:$CC$63,0))),0),0)</f>
        <v>0</v>
      </c>
      <c r="AW93" s="1022" cm="1">
        <f t="array" ref="AW93">IFERROR(ROUNDUP(IF(HLOOKUP($U93,加算と減算!$E$4:$P$10,7,FALSE)="○",IF(OR($U93=2,$U93=3),
INDEX(単価表!$AY$72:$CC$79,MATCH($V93&amp;$W93,INDEX(単価表!$AY$64:$AY$71&amp;単価表!$AZ$64:$AZ$71,),),MATCH(内訳計算!AW$6,単価表!$AY$63:$CC$63,0)),
INDEX(単価表!$AY$72:$CC$79,MATCH($V93&amp;$W93,INDEX(単価表!$AY$64:$AY$71&amp;単価表!$AZ$64:$AZ$71,),),MATCH(内訳計算!AW$6,単価表!$AY$63:$CC$63,0))),0)*$Y93/25,0),0)</f>
        <v>0</v>
      </c>
      <c r="AX93" s="1022" cm="1">
        <f t="array" ref="AX93">IFERROR(ROUNDUP(IF(HLOOKUP($U93,加算と減算!$E$4:$P$10,7,FALSE)="○",IF(OR($U93=2,$U93=3),
INDEX(単価表!$AY$72:$CC$79,MATCH($V93&amp;$W93,INDEX(単価表!$AY$64:$AY$71&amp;単価表!$AZ$64:$AZ$71,),),MATCH(内訳計算!AX$6,単価表!$AY$63:$CC$63,0)),
INDEX(単価表!$AY$72:$CC$79,MATCH($V93&amp;$W93,INDEX(単価表!$AY$64:$AY$71&amp;単価表!$AZ$64:$AZ$71,),),MATCH(内訳計算!AX$6,単価表!$AY$63:$CC$63,0))),0)*$Y93/25,0),0)</f>
        <v>0</v>
      </c>
      <c r="AY93" s="1023" cm="1">
        <f t="array" ref="AY93">IFERROR(ROUNDUP(IF(HLOOKUP($U93,加算と減算!$E$4:$P$10,7,FALSE)="○",IF(OR($U93=2,$U93=3),
INDEX(単価表!$AY$72:$CC$79,MATCH($V93&amp;$W93,INDEX(単価表!$AY$64:$AY$71&amp;単価表!$AZ$64:$AZ$71,),),MATCH(内訳計算!AY$6,単価表!$AY$63:$CC$63,0)),
INDEX(単価表!$AY$72:$CC$79,MATCH($V93&amp;$W93,INDEX(単価表!$AY$64:$AY$71&amp;単価表!$AZ$64:$AZ$71,),),MATCH(内訳計算!AY$6,単価表!$AY$63:$CC$63,0))),0)*$Y93/25,0),0)</f>
        <v>0</v>
      </c>
      <c r="AZ93" s="1021" cm="1">
        <f t="array" ref="AZ93">IFERROR(IF(X93="○",INDEX(単価表!$AY$72:$CC$79,MATCH($V93&amp;$W93,INDEX(単価表!$AY$64:$AY$71&amp;単価表!$AZ$64:$AZ$71,),),MATCH(内訳計算!AZ$6,単価表!$AY$63:$CC$63,0)),0),0)</f>
        <v>0</v>
      </c>
      <c r="BA93" s="1023" cm="1">
        <f t="array" ref="BA93">IFERROR(ROUNDUP(INDEX(単価表!$AY$72:$CC$79,MATCH($V93&amp;$W93,INDEX(単価表!$AY$64:$AY$71&amp;単価表!$AZ$64:$AZ$71,),),MATCH(内訳計算!BA$6,単価表!$AY$63:$CC$63,0))*$Y93/25,0),0)</f>
        <v>0</v>
      </c>
      <c r="BB93" s="1021" cm="1">
        <f t="array" ref="BB93">IFERROR(INDEX(単価表!$AY$72:$CC$79,MATCH($V93&amp;$W93,INDEX(単価表!$AY$64:$AY$71&amp;単価表!$AZ$64:$AZ$71,),),MATCH(内訳計算!BB$6,単価表!$AY$63:$CC$63,0)),0)</f>
        <v>0</v>
      </c>
      <c r="BC93" s="1023" cm="1">
        <f t="array" ref="BC93">IFERROR(ROUNDUP(INDEX(単価表!$AY$72:$CC$79,MATCH($V93&amp;$W93,INDEX(単価表!$AY$64:$AY$71&amp;単価表!$AZ$64:$AZ$71,),),MATCH(内訳計算!BC$6,単価表!$AY$63:$CC$63,0))*$Y93/25,0),0)</f>
        <v>0</v>
      </c>
      <c r="BD93" s="985">
        <f>IFERROR(IF(HLOOKUP($U93,加算と減算!$E$31:$P$32,2,FALSE)="○",IF(OR($U93=2,$U93=3),-(単価表!$AZ$23+単価表!$BA$23*基本情報!$G$7),-(単価表!$AZ$23+単価表!$BA$23*基本情報!$G$7)),0),0)</f>
        <v>0</v>
      </c>
      <c r="BE93" s="1007" t="e">
        <f t="shared" si="171"/>
        <v>#VALUE!</v>
      </c>
      <c r="BF93" s="1007" t="e">
        <f t="shared" si="172"/>
        <v>#VALUE!</v>
      </c>
      <c r="BG93" s="1030" t="e">
        <f t="shared" si="173"/>
        <v>#N/A</v>
      </c>
      <c r="BH93" s="1031">
        <f>IFERROR(IF(基本情報!$E$12&lt;&gt;"",-ROUNDDOWN((AA93+AE93+AH93+AL93)*基本情報!$H$13/100,-1),0),0)</f>
        <v>0</v>
      </c>
      <c r="BI93" s="1007" t="e">
        <f t="shared" si="174"/>
        <v>#VALUE!</v>
      </c>
      <c r="BJ93" s="1007" t="e">
        <f t="shared" si="175"/>
        <v>#VALUE!</v>
      </c>
      <c r="BK93" s="1008" t="e">
        <f t="shared" si="176"/>
        <v>#N/A</v>
      </c>
      <c r="BL93" s="1031">
        <f t="shared" si="185"/>
        <v>0</v>
      </c>
      <c r="BM93" s="1007" t="e">
        <f t="shared" si="177"/>
        <v>#VALUE!</v>
      </c>
      <c r="BN93" s="1007" t="e">
        <f t="shared" si="178"/>
        <v>#VALUE!</v>
      </c>
      <c r="BO93" s="1008" t="e">
        <f t="shared" si="179"/>
        <v>#N/A</v>
      </c>
      <c r="BP93" s="1006">
        <f>IFERROR(-ROUNDUP(SUM(AA93,AE93,AH93,AL93,AR93,AT93,AV93,BD93,BH93,BL93)*基本情報!$H$15/100,-1),0)</f>
        <v>0</v>
      </c>
      <c r="BQ93" s="1007" t="e">
        <f t="shared" si="180"/>
        <v>#VALUE!</v>
      </c>
      <c r="BR93" s="1007" t="e">
        <f t="shared" si="181"/>
        <v>#VALUE!</v>
      </c>
      <c r="BS93" s="1008" t="e">
        <f t="shared" si="182"/>
        <v>#N/A</v>
      </c>
      <c r="BU93" s="1043" t="e">
        <f t="shared" si="186"/>
        <v>#VALUE!</v>
      </c>
      <c r="BV93" s="1044" t="e">
        <f t="shared" si="187"/>
        <v>#VALUE!</v>
      </c>
      <c r="BW93" s="1044" t="e">
        <f t="shared" si="188"/>
        <v>#N/A</v>
      </c>
      <c r="BX93" s="1051">
        <f t="shared" si="189"/>
        <v>0</v>
      </c>
      <c r="BY93" s="1045">
        <f t="shared" si="190"/>
        <v>0</v>
      </c>
    </row>
    <row r="94" spans="1:114" ht="18.75" customHeight="1">
      <c r="A94" s="1640"/>
      <c r="B94" s="815"/>
      <c r="C94" s="815"/>
      <c r="D94" s="815"/>
      <c r="E94" s="809"/>
      <c r="F94" s="809"/>
      <c r="G94" s="809"/>
      <c r="H94" s="809"/>
      <c r="I94" s="809"/>
      <c r="J94" s="809"/>
      <c r="K94" s="809"/>
      <c r="L94" s="809"/>
      <c r="M94" s="809"/>
      <c r="N94" s="809"/>
      <c r="O94" s="809"/>
      <c r="P94" s="809"/>
      <c r="Q94" s="814"/>
      <c r="T94" s="682">
        <v>7</v>
      </c>
      <c r="U94" s="918">
        <f>月途中入退所情報!N37</f>
        <v>0</v>
      </c>
      <c r="V94" s="918">
        <f>月途中入退所情報!R37</f>
        <v>0</v>
      </c>
      <c r="W94" s="918">
        <f>月途中入退所情報!Q37</f>
        <v>0</v>
      </c>
      <c r="X94" s="945">
        <f>月途中入退所情報!S37</f>
        <v>0</v>
      </c>
      <c r="Y94" s="918">
        <f>月途中入退所情報!T37</f>
        <v>0</v>
      </c>
      <c r="Z94" s="840">
        <f t="shared" si="183"/>
        <v>0</v>
      </c>
      <c r="AA94" s="1021" cm="1">
        <f t="array" ref="AA94">IFERROR(IF(OR($U94=2,$U94=3),
INDEX(単価表!$AY$72:$CC$79,MATCH($V94&amp;$W94,INDEX(単価表!$AY$64:$AY$71&amp;単価表!$AZ$64:$AZ$71,),),MATCH(内訳計算!AA$6,単価表!$AY$63:$CC$63,0)),
INDEX(単価表!$AY$72:$CC$79,MATCH($V94&amp;$W94,INDEX(単価表!$AY$64:$AY$71&amp;単価表!$AZ$64:$AZ$71,),),MATCH(内訳計算!AA$6,単価表!$AY$63:$CC$63,0))),0)</f>
        <v>0</v>
      </c>
      <c r="AB94" s="1022" t="e">
        <f t="shared" si="184"/>
        <v>#VALUE!</v>
      </c>
      <c r="AC94" s="1022" cm="1">
        <f t="array" ref="AC94">IFERROR(ROUNDUP(IF(OR($U94=2,$U94=3),
INDEX(単価表!$AY$72:$CC$79,MATCH($V94&amp;$W94,INDEX(単価表!$AY$64:$AY$71&amp;単価表!$AZ$64:$AZ$71,),),MATCH(内訳計算!AC$6,単価表!$AY$63:$CC$63,0)),
INDEX(単価表!$AY$72:$CC$79,MATCH($V94&amp;$W94,INDEX(単価表!$AY$64:$AY$71&amp;単価表!$AZ$64:$AZ$71,),),MATCH(内訳計算!AC$6,単価表!$AY$63:$CC$63,0)))*$Y94/25,0),0)</f>
        <v>0</v>
      </c>
      <c r="AD94" s="1023" cm="1">
        <f t="array" ref="AD94">IFERROR(ROUNDUP(IF(OR($U94=2,$U94=3),
INDEX(単価表!$AY$72:$CC$79,MATCH($V94&amp;$W94,INDEX(単価表!$AY$64:$AY$71&amp;単価表!$AZ$64:$AZ$71,),),MATCH(内訳計算!AD$6,単価表!$AY$63:$CC$63,0)),
INDEX(単価表!$AY$72:$CC$79,MATCH($V94&amp;$W94,INDEX(単価表!$AY$64:$AY$71&amp;単価表!$AZ$64:$AZ$71,),),MATCH(内訳計算!AD$6,単価表!$AY$63:$CC$63,0)))*$Y94/25,0),0)</f>
        <v>0</v>
      </c>
      <c r="AE94" s="1021" cm="1">
        <f t="array" ref="AE94">IFERROR(IF(OR($U94=2,$U94=3),
INDEX(単価表!$AY$72:$CC$79,MATCH($V94&amp;$W94,INDEX(単価表!$AY$64:$AY$71&amp;単価表!$AZ$64:$AZ$71,),),MATCH(内訳計算!AE$6,単価表!$AY$63:$CC$63,0)),
INDEX(単価表!$AY$72:$CC$79,MATCH($V94&amp;$W94,INDEX(単価表!$AY$64:$AY$71&amp;単価表!$AZ$64:$AZ$71,),),MATCH(内訳計算!AE$6,単価表!$AY$63:$CC$63,0))),0)</f>
        <v>0</v>
      </c>
      <c r="AF94" s="1022" cm="1">
        <f t="array" ref="AF94">IFERROR(ROUNDUP(IF(OR($U94=2,$U94=3),
INDEX(単価表!$AY$72:$CC$79,MATCH($V94&amp;$W94,INDEX(単価表!$AY$64:$AY$71&amp;単価表!$AZ$64:$AZ$71,),),MATCH(内訳計算!AF$6,単価表!$AY$63:$CC$63,0)),
INDEX(単価表!$AY$72:$CC$79,MATCH($V94&amp;$W94,INDEX(単価表!$AY$64:$AY$71&amp;単価表!$AZ$64:$AZ$71,),),MATCH(内訳計算!AF$6,単価表!$AY$63:$CC$63,0)))*$Y94/25,0),0)</f>
        <v>0</v>
      </c>
      <c r="AG94" s="1023" cm="1">
        <f t="array" ref="AG94">IFERROR(ROUNDUP(IF(OR($U94=2,$U94=3),
INDEX(単価表!$AY$72:$CC$79,MATCH($V94&amp;$W94,INDEX(単価表!$AY$64:$AY$71&amp;単価表!$AZ$64:$AZ$71,),),MATCH(内訳計算!AG$6,単価表!$AY$63:$CC$63,0)),
INDEX(単価表!$AY$72:$CC$79,MATCH($V94&amp;$W94,INDEX(単価表!$AY$64:$AY$71&amp;単価表!$AZ$64:$AZ$71,),),MATCH(内訳計算!AG$6,単価表!$AY$63:$CC$63,0)))*$Y94/25,0),0)</f>
        <v>0</v>
      </c>
      <c r="AH94" s="1021" cm="1">
        <f t="array" ref="AH94">IFERROR(IF(HLOOKUP($U94,加算と減算!$E$4:$P$10,2,FALSE)="○",IF(OR($U94=2,$U94=3),
INDEX(単価表!$AY$72:$CC$79,MATCH($V94&amp;$W94,INDEX(単価表!$AY$64:$AY$71&amp;単価表!$AZ$64:$AZ$71,),),MATCH(内訳計算!AH$6,単価表!$AY$63:$CC$63,0)),
INDEX(単価表!$AY$72:$CC$79,MATCH($V94&amp;$W94,INDEX(単価表!$AY$64:$AY$71&amp;単価表!$AZ$64:$AZ$71,),),MATCH(内訳計算!AH$6,単価表!$AY$63:$CC$63,0))),0),0)</f>
        <v>0</v>
      </c>
      <c r="AI94" s="1024" cm="1">
        <f t="array" ref="AI94">IFERROR(ROUNDUP(IF(HLOOKUP($U94,加算と減算!$E$4:$P$10,2,FALSE)="○",IF(OR($U94=2,$U94=3),
INDEX(単価表!$AY$72:$CC$79,MATCH($V94&amp;$W94,INDEX(単価表!$AY$64:$AY$71&amp;単価表!$AZ$64:$AZ$71,),),MATCH(内訳計算!AI$6,単価表!$AY$63:$CC$63,0)),
INDEX(単価表!$AY$72:$CC$79,MATCH($V94&amp;$W94,INDEX(単価表!$AY$64:$AY$71&amp;単価表!$AZ$64:$AZ$71,),),MATCH(内訳計算!AI$6,単価表!$AY$63:$CC$63,0))),0)*$Y94/25,0),0)</f>
        <v>0</v>
      </c>
      <c r="AJ94" s="1022" cm="1">
        <f t="array" ref="AJ94">IFERROR(ROUNDUP(IF(HLOOKUP($U94,加算と減算!$E$4:$P$10,2,FALSE)="○",IF(OR($U94=2,$U94=3),
INDEX(単価表!$AY$72:$CC$79,MATCH($V94&amp;$W94,INDEX(単価表!$AY$64:$AY$71&amp;単価表!$AZ$64:$AZ$71,),),MATCH(内訳計算!AJ$6,単価表!$AY$63:$CC$63,0)),
INDEX(単価表!$AY$72:$CC$79,MATCH($V94&amp;$W94,INDEX(単価表!$AY$64:$AY$71&amp;単価表!$AZ$64:$AZ$71,),),MATCH(内訳計算!AJ$6,単価表!$AY$63:$CC$63,0))),0)*$Y94/25,0),0)</f>
        <v>0</v>
      </c>
      <c r="AK94" s="1023" cm="1">
        <f t="array" ref="AK94">IFERROR(ROUNDUP(IF(HLOOKUP($U94,加算と減算!$E$4:$P$10,2,FALSE)="○",IF(OR($U94=2,$U94=3),
INDEX(単価表!$AY$72:$CC$79,MATCH($V94&amp;$W94,INDEX(単価表!$AY$64:$AY$71&amp;単価表!$AZ$64:$AZ$71,),),MATCH(内訳計算!AK$6,単価表!$AY$63:$CC$63,0)),
INDEX(単価表!$AY$72:$CC$79,MATCH($V94&amp;$W94,INDEX(単価表!$AY$64:$AY$71&amp;単価表!$AZ$64:$AZ$71,),),MATCH(内訳計算!AK$6,単価表!$AY$63:$CC$63,0))),0)*$Y94/25,0),0)</f>
        <v>0</v>
      </c>
      <c r="AL94" s="1021" cm="1">
        <f t="array" ref="AL94">IFERROR(IF(HLOOKUP($U94,加算と減算!$E$4:$P$10,4,FALSE)="○",IF(OR($U94=2,$U94=3),
INDEX(単価表!$AY$72:$CC$79,MATCH($V94&amp;$W94,INDEX(単価表!$AY$64:$AY$71&amp;単価表!$AZ$64:$AZ$71,),),MATCH(内訳計算!AL$6,単価表!$AY$63:$CC$63,0)),
INDEX(単価表!$AY$72:$CC$79,MATCH($V94&amp;$W94,INDEX(単価表!$AY$64:$AY$71&amp;単価表!$AZ$64:$AZ$71,),),MATCH(内訳計算!AL$6,単価表!$AY$63:$CC$63,0))),0),0)</f>
        <v>0</v>
      </c>
      <c r="AM94" s="1022" cm="1">
        <f t="array" ref="AM94">IFERROR(ROUNDUP(IF(HLOOKUP($U94,加算と減算!$E$4:$P$10,4,FALSE)="○",IF(OR($U94=2,$U94=3),
INDEX(単価表!$AY$72:$CC$79,MATCH($V94&amp;$W94,INDEX(単価表!$AY$64:$AY$71&amp;単価表!$AZ$64:$AZ$71,),),MATCH(内訳計算!AM$6,単価表!$AY$63:$CC$63,0)),
INDEX(単価表!$AY$72:$CC$79,MATCH($V94&amp;$W94,INDEX(単価表!$AY$64:$AY$71&amp;単価表!$AZ$64:$AZ$71,),),MATCH(内訳計算!AM$6,単価表!$AY$63:$CC$63,0))),0)*$Y94/25,0),0)</f>
        <v>0</v>
      </c>
      <c r="AN94" s="1022" cm="1">
        <f t="array" ref="AN94">IFERROR(ROUNDUP(IF(HLOOKUP($U94,加算と減算!$E$4:$P$10,4,FALSE)="○",IF(OR($U94=2,$U94=3),
INDEX(単価表!$AY$72:$CC$79,MATCH($V94&amp;$W94,INDEX(単価表!$AY$64:$AY$71&amp;単価表!$AZ$64:$AZ$71,),),MATCH(内訳計算!AN$6,単価表!$AY$63:$CC$63,0)),
INDEX(単価表!$AY$72:$CC$79,MATCH($V94&amp;$W94,INDEX(単価表!$AY$64:$AY$71&amp;単価表!$AZ$64:$AZ$71,),),MATCH(内訳計算!AN$6,単価表!$AY$63:$CC$63,0))),0)*$Y94/25,0),0)</f>
        <v>0</v>
      </c>
      <c r="AO94" s="1022" cm="1">
        <f t="array" ref="AO94">IFERROR(ROUNDUP(IF(HLOOKUP($U94,加算と減算!$E$4:$P$10,4,FALSE)="○",IF(OR($U94=2,$U94=3),
INDEX(単価表!$AY$72:$CC$79,MATCH($V94&amp;$W94,INDEX(単価表!$AY$64:$AY$71&amp;単価表!$AZ$64:$AZ$71,),),MATCH(内訳計算!AO$6,単価表!$AY$63:$CC$63,0)),
INDEX(単価表!$AY$72:$CC$79,MATCH($V94&amp;$W94,INDEX(単価表!$AY$64:$AY$71&amp;単価表!$AZ$64:$AZ$71,),),MATCH(内訳計算!AO$6,単価表!$AY$63:$CC$63,0))),0)*$Y94/25,0),0)</f>
        <v>0</v>
      </c>
      <c r="AP94" s="1022" cm="1">
        <f t="array" ref="AP94">IFERROR(ROUNDUP(IF(HLOOKUP($U94,加算と減算!$E$4:$P$10,4,FALSE)="○",IF(OR($U94=2,$U94=3),
INDEX(単価表!$AY$72:$CC$79,MATCH($V94&amp;$W94,INDEX(単価表!$AY$64:$AY$71&amp;単価表!$AZ$64:$AZ$71,),),MATCH(内訳計算!AP$6,単価表!$AY$63:$CC$63,0)),
INDEX(単価表!$AY$72:$CC$79,MATCH($V94&amp;$W94,INDEX(単価表!$AY$64:$AY$71&amp;単価表!$AZ$64:$AZ$71,),),MATCH(内訳計算!AP$6,単価表!$AY$63:$CC$63,0))),0)*$Y94/25,0),0)</f>
        <v>0</v>
      </c>
      <c r="AQ94" s="1023" cm="1">
        <f t="array" ref="AQ94">IFERROR(ROUNDUP(IF(HLOOKUP($U94,加算と減算!$E$4:$P$10,4,FALSE)="○",IF(OR($U94=2,$U94=3),
INDEX(単価表!$AY$72:$CC$79,MATCH($V94&amp;$W94,INDEX(単価表!$AY$64:$AY$71&amp;単価表!$AZ$64:$AZ$71,),),MATCH(内訳計算!AQ$6,単価表!$AY$63:$CC$63,0)),
INDEX(単価表!$AY$72:$CC$79,MATCH($V94&amp;$W94,INDEX(単価表!$AY$64:$AY$71&amp;単価表!$AZ$64:$AZ$71,),),MATCH(内訳計算!AQ$6,単価表!$AY$63:$CC$63,0))),0)*$Y94/25,0),0)</f>
        <v>0</v>
      </c>
      <c r="AR94" s="1021" cm="1">
        <f t="array" ref="AR94">IFERROR(IF(HLOOKUP($U94,加算と減算!$E$4:$P$10,5,FALSE)="○",IF(OR($U94=2,$U94=3),
INDEX(単価表!$AY$72:$CC$79,MATCH($V94&amp;$W94,INDEX(単価表!$AY$64:$AY$71&amp;単価表!$AZ$64:$AZ$71,),),MATCH(内訳計算!AR$6,単価表!$AY$63:$CC$63,0)),
INDEX(単価表!$AY$72:$CC$79,MATCH($V94&amp;$W94,INDEX(単価表!$AY$64:$AY$71&amp;単価表!$AZ$64:$AZ$71,),),MATCH(内訳計算!AR$6,単価表!$AY$63:$CC$63,0))),0),0)</f>
        <v>0</v>
      </c>
      <c r="AS94" s="1023" cm="1">
        <f t="array" ref="AS94">IFERROR(ROUNDUP(IF(HLOOKUP($U94,加算と減算!$E$4:$P$10,5,FALSE)="○",IF(OR($U94=2,$U94=3),
INDEX(単価表!$AY$72:$CC$79,MATCH($V94&amp;$W94,INDEX(単価表!$AY$64:$AY$71&amp;単価表!$AZ$64:$AZ$71,),),MATCH(内訳計算!AS$6,単価表!$AY$63:$CC$63,0)),
INDEX(単価表!$AY$72:$CC$79,MATCH($V94&amp;$W94,INDEX(単価表!$AY$64:$AY$71&amp;単価表!$AZ$64:$AZ$71,),),MATCH(内訳計算!AS$6,単価表!$AY$63:$CC$63,0))),0)*$Y94/25,0),0)</f>
        <v>0</v>
      </c>
      <c r="AT94" s="1021" cm="1">
        <f t="array" ref="AT94">IFERROR(IF(HLOOKUP($U94,加算と減算!$E$4:$P$10,6,FALSE)="○",IF(OR($U94=2,$U94=3),
INDEX(単価表!$AY$72:$CC$79,MATCH($V94&amp;$W94,INDEX(単価表!$AY$64:$AY$71&amp;単価表!$AZ$64:$AZ$71,),),MATCH(内訳計算!AT$6,単価表!$AY$63:$CC$63,0)),
INDEX(単価表!$AY$72:$CC$79,MATCH($V94&amp;$W94,INDEX(単価表!$AY$64:$AY$71&amp;単価表!$AZ$64:$AZ$71,),),MATCH(内訳計算!AT$6,単価表!$AY$63:$CC$63,0))),0),0)</f>
        <v>0</v>
      </c>
      <c r="AU94" s="1023" cm="1">
        <f t="array" ref="AU94">IFERROR(ROUNDUP(IF(HLOOKUP($U94,加算と減算!$E$4:$P$10,6,FALSE)="○",IF(OR($U94=2,$U94=3),
INDEX(単価表!$AY$72:$CC$79,MATCH($V94&amp;$W94,INDEX(単価表!$AY$64:$AY$71&amp;単価表!$AZ$64:$AZ$71,),),MATCH(内訳計算!AU$6,単価表!$AY$63:$CC$63,0)),
INDEX(単価表!$AY$72:$CC$79,MATCH($V94&amp;$W94,INDEX(単価表!$AY$64:$AY$71&amp;単価表!$AZ$64:$AZ$71,),),MATCH(内訳計算!AU$6,単価表!$AY$63:$CC$63,0))),0)*$Y94/25,0),0)</f>
        <v>0</v>
      </c>
      <c r="AV94" s="1021" cm="1">
        <f t="array" ref="AV94">IFERROR(IF(HLOOKUP($U94,加算と減算!$E$4:$P$10,7,FALSE)="○",IF(OR($U94=2,$U94=3),
INDEX(単価表!$AY$72:$CC$79,MATCH($V94&amp;$W94,INDEX(単価表!$AY$64:$AY$71&amp;単価表!$AZ$64:$AZ$71,),),MATCH(内訳計算!AV$6,単価表!$AY$63:$CC$63,0)),
INDEX(単価表!$AY$72:$CC$79,MATCH($V94&amp;$W94,INDEX(単価表!$AY$64:$AY$71&amp;単価表!$AZ$64:$AZ$71,),),MATCH(内訳計算!AV$6,単価表!$AY$63:$CC$63,0))),0),0)</f>
        <v>0</v>
      </c>
      <c r="AW94" s="1022" cm="1">
        <f t="array" ref="AW94">IFERROR(ROUNDUP(IF(HLOOKUP($U94,加算と減算!$E$4:$P$10,7,FALSE)="○",IF(OR($U94=2,$U94=3),
INDEX(単価表!$AY$72:$CC$79,MATCH($V94&amp;$W94,INDEX(単価表!$AY$64:$AY$71&amp;単価表!$AZ$64:$AZ$71,),),MATCH(内訳計算!AW$6,単価表!$AY$63:$CC$63,0)),
INDEX(単価表!$AY$72:$CC$79,MATCH($V94&amp;$W94,INDEX(単価表!$AY$64:$AY$71&amp;単価表!$AZ$64:$AZ$71,),),MATCH(内訳計算!AW$6,単価表!$AY$63:$CC$63,0))),0)*$Y94/25,0),0)</f>
        <v>0</v>
      </c>
      <c r="AX94" s="1022" cm="1">
        <f t="array" ref="AX94">IFERROR(ROUNDUP(IF(HLOOKUP($U94,加算と減算!$E$4:$P$10,7,FALSE)="○",IF(OR($U94=2,$U94=3),
INDEX(単価表!$AY$72:$CC$79,MATCH($V94&amp;$W94,INDEX(単価表!$AY$64:$AY$71&amp;単価表!$AZ$64:$AZ$71,),),MATCH(内訳計算!AX$6,単価表!$AY$63:$CC$63,0)),
INDEX(単価表!$AY$72:$CC$79,MATCH($V94&amp;$W94,INDEX(単価表!$AY$64:$AY$71&amp;単価表!$AZ$64:$AZ$71,),),MATCH(内訳計算!AX$6,単価表!$AY$63:$CC$63,0))),0)*$Y94/25,0),0)</f>
        <v>0</v>
      </c>
      <c r="AY94" s="1023" cm="1">
        <f t="array" ref="AY94">IFERROR(ROUNDUP(IF(HLOOKUP($U94,加算と減算!$E$4:$P$10,7,FALSE)="○",IF(OR($U94=2,$U94=3),
INDEX(単価表!$AY$72:$CC$79,MATCH($V94&amp;$W94,INDEX(単価表!$AY$64:$AY$71&amp;単価表!$AZ$64:$AZ$71,),),MATCH(内訳計算!AY$6,単価表!$AY$63:$CC$63,0)),
INDEX(単価表!$AY$72:$CC$79,MATCH($V94&amp;$W94,INDEX(単価表!$AY$64:$AY$71&amp;単価表!$AZ$64:$AZ$71,),),MATCH(内訳計算!AY$6,単価表!$AY$63:$CC$63,0))),0)*$Y94/25,0),0)</f>
        <v>0</v>
      </c>
      <c r="AZ94" s="1021" cm="1">
        <f t="array" ref="AZ94">IFERROR(IF(X94="○",INDEX(単価表!$AY$72:$CC$79,MATCH($V94&amp;$W94,INDEX(単価表!$AY$64:$AY$71&amp;単価表!$AZ$64:$AZ$71,),),MATCH(内訳計算!AZ$6,単価表!$AY$63:$CC$63,0)),0),0)</f>
        <v>0</v>
      </c>
      <c r="BA94" s="1023" cm="1">
        <f t="array" ref="BA94">IFERROR(ROUNDUP(INDEX(単価表!$AY$72:$CC$79,MATCH($V94&amp;$W94,INDEX(単価表!$AY$64:$AY$71&amp;単価表!$AZ$64:$AZ$71,),),MATCH(内訳計算!BA$6,単価表!$AY$63:$CC$63,0))*$Y94/25,0),0)</f>
        <v>0</v>
      </c>
      <c r="BB94" s="1021" cm="1">
        <f t="array" ref="BB94">IFERROR(INDEX(単価表!$AY$72:$CC$79,MATCH($V94&amp;$W94,INDEX(単価表!$AY$64:$AY$71&amp;単価表!$AZ$64:$AZ$71,),),MATCH(内訳計算!BB$6,単価表!$AY$63:$CC$63,0)),0)</f>
        <v>0</v>
      </c>
      <c r="BC94" s="1023" cm="1">
        <f t="array" ref="BC94">IFERROR(ROUNDUP(INDEX(単価表!$AY$72:$CC$79,MATCH($V94&amp;$W94,INDEX(単価表!$AY$64:$AY$71&amp;単価表!$AZ$64:$AZ$71,),),MATCH(内訳計算!BC$6,単価表!$AY$63:$CC$63,0))*$Y94/25,0),0)</f>
        <v>0</v>
      </c>
      <c r="BD94" s="985">
        <f>IFERROR(IF(HLOOKUP($U94,加算と減算!$E$31:$P$32,2,FALSE)="○",IF(OR($U94=2,$U94=3),-(単価表!$AZ$23+単価表!$BA$23*基本情報!$G$7),-(単価表!$AZ$23+単価表!$BA$23*基本情報!$G$7)),0),0)</f>
        <v>0</v>
      </c>
      <c r="BE94" s="1007" t="e">
        <f t="shared" si="171"/>
        <v>#VALUE!</v>
      </c>
      <c r="BF94" s="1007" t="e">
        <f t="shared" si="172"/>
        <v>#VALUE!</v>
      </c>
      <c r="BG94" s="1030" t="e">
        <f t="shared" si="173"/>
        <v>#N/A</v>
      </c>
      <c r="BH94" s="1031">
        <f>IFERROR(IF(基本情報!$E$12&lt;&gt;"",-ROUNDDOWN((AA94+AE94+AH94+AL94)*基本情報!$H$13/100,-1),0),0)</f>
        <v>0</v>
      </c>
      <c r="BI94" s="1007" t="e">
        <f t="shared" si="174"/>
        <v>#VALUE!</v>
      </c>
      <c r="BJ94" s="1007" t="e">
        <f t="shared" si="175"/>
        <v>#VALUE!</v>
      </c>
      <c r="BK94" s="1008" t="e">
        <f t="shared" si="176"/>
        <v>#N/A</v>
      </c>
      <c r="BL94" s="1031">
        <f t="shared" si="185"/>
        <v>0</v>
      </c>
      <c r="BM94" s="1007" t="e">
        <f t="shared" si="177"/>
        <v>#VALUE!</v>
      </c>
      <c r="BN94" s="1007" t="e">
        <f t="shared" si="178"/>
        <v>#VALUE!</v>
      </c>
      <c r="BO94" s="1008" t="e">
        <f t="shared" si="179"/>
        <v>#N/A</v>
      </c>
      <c r="BP94" s="1006">
        <f>IFERROR(-ROUNDUP(SUM(AA94,AE94,AH94,AL94,AR94,AT94,AV94,BD94,BH94,BL94)*基本情報!$H$15/100,-1),0)</f>
        <v>0</v>
      </c>
      <c r="BQ94" s="1007" t="e">
        <f t="shared" si="180"/>
        <v>#VALUE!</v>
      </c>
      <c r="BR94" s="1007" t="e">
        <f t="shared" si="181"/>
        <v>#VALUE!</v>
      </c>
      <c r="BS94" s="1008" t="e">
        <f t="shared" si="182"/>
        <v>#N/A</v>
      </c>
      <c r="BU94" s="1043" t="e">
        <f t="shared" si="186"/>
        <v>#VALUE!</v>
      </c>
      <c r="BV94" s="1044" t="e">
        <f t="shared" si="187"/>
        <v>#VALUE!</v>
      </c>
      <c r="BW94" s="1044" t="e">
        <f t="shared" si="188"/>
        <v>#N/A</v>
      </c>
      <c r="BX94" s="1051">
        <f t="shared" si="189"/>
        <v>0</v>
      </c>
      <c r="BY94" s="1045">
        <f t="shared" si="190"/>
        <v>0</v>
      </c>
    </row>
    <row r="95" spans="1:114" ht="18.75" customHeight="1">
      <c r="A95" s="1640"/>
      <c r="B95" s="1580" t="s">
        <v>594</v>
      </c>
      <c r="C95" s="1580"/>
      <c r="D95" s="1580"/>
      <c r="E95" s="1580"/>
      <c r="F95" s="809"/>
      <c r="G95" s="809"/>
      <c r="H95" s="809"/>
      <c r="I95" s="809"/>
      <c r="J95" s="809"/>
      <c r="K95" s="809"/>
      <c r="L95" s="809"/>
      <c r="M95" s="809"/>
      <c r="N95" s="809"/>
      <c r="O95" s="809"/>
      <c r="P95" s="809"/>
      <c r="Q95" s="814"/>
      <c r="T95" s="682">
        <v>8</v>
      </c>
      <c r="U95" s="918">
        <f>月途中入退所情報!N38</f>
        <v>0</v>
      </c>
      <c r="V95" s="918">
        <f>月途中入退所情報!R38</f>
        <v>0</v>
      </c>
      <c r="W95" s="918">
        <f>月途中入退所情報!Q38</f>
        <v>0</v>
      </c>
      <c r="X95" s="945">
        <f>月途中入退所情報!S38</f>
        <v>0</v>
      </c>
      <c r="Y95" s="918">
        <f>月途中入退所情報!T38</f>
        <v>0</v>
      </c>
      <c r="Z95" s="840">
        <f t="shared" si="183"/>
        <v>0</v>
      </c>
      <c r="AA95" s="1021" cm="1">
        <f t="array" ref="AA95">IFERROR(IF(OR($U95=2,$U95=3),
INDEX(単価表!$AY$72:$CC$79,MATCH($V95&amp;$W95,INDEX(単価表!$AY$64:$AY$71&amp;単価表!$AZ$64:$AZ$71,),),MATCH(内訳計算!AA$6,単価表!$AY$63:$CC$63,0)),
INDEX(単価表!$AY$72:$CC$79,MATCH($V95&amp;$W95,INDEX(単価表!$AY$64:$AY$71&amp;単価表!$AZ$64:$AZ$71,),),MATCH(内訳計算!AA$6,単価表!$AY$63:$CC$63,0))),0)</f>
        <v>0</v>
      </c>
      <c r="AB95" s="1022" t="e">
        <f t="shared" si="184"/>
        <v>#VALUE!</v>
      </c>
      <c r="AC95" s="1022" cm="1">
        <f t="array" ref="AC95">IFERROR(ROUNDUP(IF(OR($U95=2,$U95=3),
INDEX(単価表!$AY$72:$CC$79,MATCH($V95&amp;$W95,INDEX(単価表!$AY$64:$AY$71&amp;単価表!$AZ$64:$AZ$71,),),MATCH(内訳計算!AC$6,単価表!$AY$63:$CC$63,0)),
INDEX(単価表!$AY$72:$CC$79,MATCH($V95&amp;$W95,INDEX(単価表!$AY$64:$AY$71&amp;単価表!$AZ$64:$AZ$71,),),MATCH(内訳計算!AC$6,単価表!$AY$63:$CC$63,0)))*$Y95/25,0),0)</f>
        <v>0</v>
      </c>
      <c r="AD95" s="1023" cm="1">
        <f t="array" ref="AD95">IFERROR(ROUNDUP(IF(OR($U95=2,$U95=3),
INDEX(単価表!$AY$72:$CC$79,MATCH($V95&amp;$W95,INDEX(単価表!$AY$64:$AY$71&amp;単価表!$AZ$64:$AZ$71,),),MATCH(内訳計算!AD$6,単価表!$AY$63:$CC$63,0)),
INDEX(単価表!$AY$72:$CC$79,MATCH($V95&amp;$W95,INDEX(単価表!$AY$64:$AY$71&amp;単価表!$AZ$64:$AZ$71,),),MATCH(内訳計算!AD$6,単価表!$AY$63:$CC$63,0)))*$Y95/25,0),0)</f>
        <v>0</v>
      </c>
      <c r="AE95" s="1021" cm="1">
        <f t="array" ref="AE95">IFERROR(IF(OR($U95=2,$U95=3),
INDEX(単価表!$AY$72:$CC$79,MATCH($V95&amp;$W95,INDEX(単価表!$AY$64:$AY$71&amp;単価表!$AZ$64:$AZ$71,),),MATCH(内訳計算!AE$6,単価表!$AY$63:$CC$63,0)),
INDEX(単価表!$AY$72:$CC$79,MATCH($V95&amp;$W95,INDEX(単価表!$AY$64:$AY$71&amp;単価表!$AZ$64:$AZ$71,),),MATCH(内訳計算!AE$6,単価表!$AY$63:$CC$63,0))),0)</f>
        <v>0</v>
      </c>
      <c r="AF95" s="1022" cm="1">
        <f t="array" ref="AF95">IFERROR(ROUNDUP(IF(OR($U95=2,$U95=3),
INDEX(単価表!$AY$72:$CC$79,MATCH($V95&amp;$W95,INDEX(単価表!$AY$64:$AY$71&amp;単価表!$AZ$64:$AZ$71,),),MATCH(内訳計算!AF$6,単価表!$AY$63:$CC$63,0)),
INDEX(単価表!$AY$72:$CC$79,MATCH($V95&amp;$W95,INDEX(単価表!$AY$64:$AY$71&amp;単価表!$AZ$64:$AZ$71,),),MATCH(内訳計算!AF$6,単価表!$AY$63:$CC$63,0)))*$Y95/25,0),0)</f>
        <v>0</v>
      </c>
      <c r="AG95" s="1023" cm="1">
        <f t="array" ref="AG95">IFERROR(ROUNDUP(IF(OR($U95=2,$U95=3),
INDEX(単価表!$AY$72:$CC$79,MATCH($V95&amp;$W95,INDEX(単価表!$AY$64:$AY$71&amp;単価表!$AZ$64:$AZ$71,),),MATCH(内訳計算!AG$6,単価表!$AY$63:$CC$63,0)),
INDEX(単価表!$AY$72:$CC$79,MATCH($V95&amp;$W95,INDEX(単価表!$AY$64:$AY$71&amp;単価表!$AZ$64:$AZ$71,),),MATCH(内訳計算!AG$6,単価表!$AY$63:$CC$63,0)))*$Y95/25,0),0)</f>
        <v>0</v>
      </c>
      <c r="AH95" s="1021" cm="1">
        <f t="array" ref="AH95">IFERROR(IF(HLOOKUP($U95,加算と減算!$E$4:$P$10,2,FALSE)="○",IF(OR($U95=2,$U95=3),
INDEX(単価表!$AY$72:$CC$79,MATCH($V95&amp;$W95,INDEX(単価表!$AY$64:$AY$71&amp;単価表!$AZ$64:$AZ$71,),),MATCH(内訳計算!AH$6,単価表!$AY$63:$CC$63,0)),
INDEX(単価表!$AY$72:$CC$79,MATCH($V95&amp;$W95,INDEX(単価表!$AY$64:$AY$71&amp;単価表!$AZ$64:$AZ$71,),),MATCH(内訳計算!AH$6,単価表!$AY$63:$CC$63,0))),0),0)</f>
        <v>0</v>
      </c>
      <c r="AI95" s="1024" cm="1">
        <f t="array" ref="AI95">IFERROR(ROUNDUP(IF(HLOOKUP($U95,加算と減算!$E$4:$P$10,2,FALSE)="○",IF(OR($U95=2,$U95=3),
INDEX(単価表!$AY$72:$CC$79,MATCH($V95&amp;$W95,INDEX(単価表!$AY$64:$AY$71&amp;単価表!$AZ$64:$AZ$71,),),MATCH(内訳計算!AI$6,単価表!$AY$63:$CC$63,0)),
INDEX(単価表!$AY$72:$CC$79,MATCH($V95&amp;$W95,INDEX(単価表!$AY$64:$AY$71&amp;単価表!$AZ$64:$AZ$71,),),MATCH(内訳計算!AI$6,単価表!$AY$63:$CC$63,0))),0)*$Y95/25,0),0)</f>
        <v>0</v>
      </c>
      <c r="AJ95" s="1022" cm="1">
        <f t="array" ref="AJ95">IFERROR(ROUNDUP(IF(HLOOKUP($U95,加算と減算!$E$4:$P$10,2,FALSE)="○",IF(OR($U95=2,$U95=3),
INDEX(単価表!$AY$72:$CC$79,MATCH($V95&amp;$W95,INDEX(単価表!$AY$64:$AY$71&amp;単価表!$AZ$64:$AZ$71,),),MATCH(内訳計算!AJ$6,単価表!$AY$63:$CC$63,0)),
INDEX(単価表!$AY$72:$CC$79,MATCH($V95&amp;$W95,INDEX(単価表!$AY$64:$AY$71&amp;単価表!$AZ$64:$AZ$71,),),MATCH(内訳計算!AJ$6,単価表!$AY$63:$CC$63,0))),0)*$Y95/25,0),0)</f>
        <v>0</v>
      </c>
      <c r="AK95" s="1023" cm="1">
        <f t="array" ref="AK95">IFERROR(ROUNDUP(IF(HLOOKUP($U95,加算と減算!$E$4:$P$10,2,FALSE)="○",IF(OR($U95=2,$U95=3),
INDEX(単価表!$AY$72:$CC$79,MATCH($V95&amp;$W95,INDEX(単価表!$AY$64:$AY$71&amp;単価表!$AZ$64:$AZ$71,),),MATCH(内訳計算!AK$6,単価表!$AY$63:$CC$63,0)),
INDEX(単価表!$AY$72:$CC$79,MATCH($V95&amp;$W95,INDEX(単価表!$AY$64:$AY$71&amp;単価表!$AZ$64:$AZ$71,),),MATCH(内訳計算!AK$6,単価表!$AY$63:$CC$63,0))),0)*$Y95/25,0),0)</f>
        <v>0</v>
      </c>
      <c r="AL95" s="1021" cm="1">
        <f t="array" ref="AL95">IFERROR(IF(HLOOKUP($U95,加算と減算!$E$4:$P$10,4,FALSE)="○",IF(OR($U95=2,$U95=3),
INDEX(単価表!$AY$72:$CC$79,MATCH($V95&amp;$W95,INDEX(単価表!$AY$64:$AY$71&amp;単価表!$AZ$64:$AZ$71,),),MATCH(内訳計算!AL$6,単価表!$AY$63:$CC$63,0)),
INDEX(単価表!$AY$72:$CC$79,MATCH($V95&amp;$W95,INDEX(単価表!$AY$64:$AY$71&amp;単価表!$AZ$64:$AZ$71,),),MATCH(内訳計算!AL$6,単価表!$AY$63:$CC$63,0))),0),0)</f>
        <v>0</v>
      </c>
      <c r="AM95" s="1022" cm="1">
        <f t="array" ref="AM95">IFERROR(ROUNDUP(IF(HLOOKUP($U95,加算と減算!$E$4:$P$10,4,FALSE)="○",IF(OR($U95=2,$U95=3),
INDEX(単価表!$AY$72:$CC$79,MATCH($V95&amp;$W95,INDEX(単価表!$AY$64:$AY$71&amp;単価表!$AZ$64:$AZ$71,),),MATCH(内訳計算!AM$6,単価表!$AY$63:$CC$63,0)),
INDEX(単価表!$AY$72:$CC$79,MATCH($V95&amp;$W95,INDEX(単価表!$AY$64:$AY$71&amp;単価表!$AZ$64:$AZ$71,),),MATCH(内訳計算!AM$6,単価表!$AY$63:$CC$63,0))),0)*$Y95/25,0),0)</f>
        <v>0</v>
      </c>
      <c r="AN95" s="1022" cm="1">
        <f t="array" ref="AN95">IFERROR(ROUNDUP(IF(HLOOKUP($U95,加算と減算!$E$4:$P$10,4,FALSE)="○",IF(OR($U95=2,$U95=3),
INDEX(単価表!$AY$72:$CC$79,MATCH($V95&amp;$W95,INDEX(単価表!$AY$64:$AY$71&amp;単価表!$AZ$64:$AZ$71,),),MATCH(内訳計算!AN$6,単価表!$AY$63:$CC$63,0)),
INDEX(単価表!$AY$72:$CC$79,MATCH($V95&amp;$W95,INDEX(単価表!$AY$64:$AY$71&amp;単価表!$AZ$64:$AZ$71,),),MATCH(内訳計算!AN$6,単価表!$AY$63:$CC$63,0))),0)*$Y95/25,0),0)</f>
        <v>0</v>
      </c>
      <c r="AO95" s="1022" cm="1">
        <f t="array" ref="AO95">IFERROR(ROUNDUP(IF(HLOOKUP($U95,加算と減算!$E$4:$P$10,4,FALSE)="○",IF(OR($U95=2,$U95=3),
INDEX(単価表!$AY$72:$CC$79,MATCH($V95&amp;$W95,INDEX(単価表!$AY$64:$AY$71&amp;単価表!$AZ$64:$AZ$71,),),MATCH(内訳計算!AO$6,単価表!$AY$63:$CC$63,0)),
INDEX(単価表!$AY$72:$CC$79,MATCH($V95&amp;$W95,INDEX(単価表!$AY$64:$AY$71&amp;単価表!$AZ$64:$AZ$71,),),MATCH(内訳計算!AO$6,単価表!$AY$63:$CC$63,0))),0)*$Y95/25,0),0)</f>
        <v>0</v>
      </c>
      <c r="AP95" s="1022" cm="1">
        <f t="array" ref="AP95">IFERROR(ROUNDUP(IF(HLOOKUP($U95,加算と減算!$E$4:$P$10,4,FALSE)="○",IF(OR($U95=2,$U95=3),
INDEX(単価表!$AY$72:$CC$79,MATCH($V95&amp;$W95,INDEX(単価表!$AY$64:$AY$71&amp;単価表!$AZ$64:$AZ$71,),),MATCH(内訳計算!AP$6,単価表!$AY$63:$CC$63,0)),
INDEX(単価表!$AY$72:$CC$79,MATCH($V95&amp;$W95,INDEX(単価表!$AY$64:$AY$71&amp;単価表!$AZ$64:$AZ$71,),),MATCH(内訳計算!AP$6,単価表!$AY$63:$CC$63,0))),0)*$Y95/25,0),0)</f>
        <v>0</v>
      </c>
      <c r="AQ95" s="1023" cm="1">
        <f t="array" ref="AQ95">IFERROR(ROUNDUP(IF(HLOOKUP($U95,加算と減算!$E$4:$P$10,4,FALSE)="○",IF(OR($U95=2,$U95=3),
INDEX(単価表!$AY$72:$CC$79,MATCH($V95&amp;$W95,INDEX(単価表!$AY$64:$AY$71&amp;単価表!$AZ$64:$AZ$71,),),MATCH(内訳計算!AQ$6,単価表!$AY$63:$CC$63,0)),
INDEX(単価表!$AY$72:$CC$79,MATCH($V95&amp;$W95,INDEX(単価表!$AY$64:$AY$71&amp;単価表!$AZ$64:$AZ$71,),),MATCH(内訳計算!AQ$6,単価表!$AY$63:$CC$63,0))),0)*$Y95/25,0),0)</f>
        <v>0</v>
      </c>
      <c r="AR95" s="1021" cm="1">
        <f t="array" ref="AR95">IFERROR(IF(HLOOKUP($U95,加算と減算!$E$4:$P$10,5,FALSE)="○",IF(OR($U95=2,$U95=3),
INDEX(単価表!$AY$72:$CC$79,MATCH($V95&amp;$W95,INDEX(単価表!$AY$64:$AY$71&amp;単価表!$AZ$64:$AZ$71,),),MATCH(内訳計算!AR$6,単価表!$AY$63:$CC$63,0)),
INDEX(単価表!$AY$72:$CC$79,MATCH($V95&amp;$W95,INDEX(単価表!$AY$64:$AY$71&amp;単価表!$AZ$64:$AZ$71,),),MATCH(内訳計算!AR$6,単価表!$AY$63:$CC$63,0))),0),0)</f>
        <v>0</v>
      </c>
      <c r="AS95" s="1023" cm="1">
        <f t="array" ref="AS95">IFERROR(ROUNDUP(IF(HLOOKUP($U95,加算と減算!$E$4:$P$10,5,FALSE)="○",IF(OR($U95=2,$U95=3),
INDEX(単価表!$AY$72:$CC$79,MATCH($V95&amp;$W95,INDEX(単価表!$AY$64:$AY$71&amp;単価表!$AZ$64:$AZ$71,),),MATCH(内訳計算!AS$6,単価表!$AY$63:$CC$63,0)),
INDEX(単価表!$AY$72:$CC$79,MATCH($V95&amp;$W95,INDEX(単価表!$AY$64:$AY$71&amp;単価表!$AZ$64:$AZ$71,),),MATCH(内訳計算!AS$6,単価表!$AY$63:$CC$63,0))),0)*$Y95/25,0),0)</f>
        <v>0</v>
      </c>
      <c r="AT95" s="1021" cm="1">
        <f t="array" ref="AT95">IFERROR(IF(HLOOKUP($U95,加算と減算!$E$4:$P$10,6,FALSE)="○",IF(OR($U95=2,$U95=3),
INDEX(単価表!$AY$72:$CC$79,MATCH($V95&amp;$W95,INDEX(単価表!$AY$64:$AY$71&amp;単価表!$AZ$64:$AZ$71,),),MATCH(内訳計算!AT$6,単価表!$AY$63:$CC$63,0)),
INDEX(単価表!$AY$72:$CC$79,MATCH($V95&amp;$W95,INDEX(単価表!$AY$64:$AY$71&amp;単価表!$AZ$64:$AZ$71,),),MATCH(内訳計算!AT$6,単価表!$AY$63:$CC$63,0))),0),0)</f>
        <v>0</v>
      </c>
      <c r="AU95" s="1023" cm="1">
        <f t="array" ref="AU95">IFERROR(ROUNDUP(IF(HLOOKUP($U95,加算と減算!$E$4:$P$10,6,FALSE)="○",IF(OR($U95=2,$U95=3),
INDEX(単価表!$AY$72:$CC$79,MATCH($V95&amp;$W95,INDEX(単価表!$AY$64:$AY$71&amp;単価表!$AZ$64:$AZ$71,),),MATCH(内訳計算!AU$6,単価表!$AY$63:$CC$63,0)),
INDEX(単価表!$AY$72:$CC$79,MATCH($V95&amp;$W95,INDEX(単価表!$AY$64:$AY$71&amp;単価表!$AZ$64:$AZ$71,),),MATCH(内訳計算!AU$6,単価表!$AY$63:$CC$63,0))),0)*$Y95/25,0),0)</f>
        <v>0</v>
      </c>
      <c r="AV95" s="1021" cm="1">
        <f t="array" ref="AV95">IFERROR(IF(HLOOKUP($U95,加算と減算!$E$4:$P$10,7,FALSE)="○",IF(OR($U95=2,$U95=3),
INDEX(単価表!$AY$72:$CC$79,MATCH($V95&amp;$W95,INDEX(単価表!$AY$64:$AY$71&amp;単価表!$AZ$64:$AZ$71,),),MATCH(内訳計算!AV$6,単価表!$AY$63:$CC$63,0)),
INDEX(単価表!$AY$72:$CC$79,MATCH($V95&amp;$W95,INDEX(単価表!$AY$64:$AY$71&amp;単価表!$AZ$64:$AZ$71,),),MATCH(内訳計算!AV$6,単価表!$AY$63:$CC$63,0))),0),0)</f>
        <v>0</v>
      </c>
      <c r="AW95" s="1022" cm="1">
        <f t="array" ref="AW95">IFERROR(ROUNDUP(IF(HLOOKUP($U95,加算と減算!$E$4:$P$10,7,FALSE)="○",IF(OR($U95=2,$U95=3),
INDEX(単価表!$AY$72:$CC$79,MATCH($V95&amp;$W95,INDEX(単価表!$AY$64:$AY$71&amp;単価表!$AZ$64:$AZ$71,),),MATCH(内訳計算!AW$6,単価表!$AY$63:$CC$63,0)),
INDEX(単価表!$AY$72:$CC$79,MATCH($V95&amp;$W95,INDEX(単価表!$AY$64:$AY$71&amp;単価表!$AZ$64:$AZ$71,),),MATCH(内訳計算!AW$6,単価表!$AY$63:$CC$63,0))),0)*$Y95/25,0),0)</f>
        <v>0</v>
      </c>
      <c r="AX95" s="1022" cm="1">
        <f t="array" ref="AX95">IFERROR(ROUNDUP(IF(HLOOKUP($U95,加算と減算!$E$4:$P$10,7,FALSE)="○",IF(OR($U95=2,$U95=3),
INDEX(単価表!$AY$72:$CC$79,MATCH($V95&amp;$W95,INDEX(単価表!$AY$64:$AY$71&amp;単価表!$AZ$64:$AZ$71,),),MATCH(内訳計算!AX$6,単価表!$AY$63:$CC$63,0)),
INDEX(単価表!$AY$72:$CC$79,MATCH($V95&amp;$W95,INDEX(単価表!$AY$64:$AY$71&amp;単価表!$AZ$64:$AZ$71,),),MATCH(内訳計算!AX$6,単価表!$AY$63:$CC$63,0))),0)*$Y95/25,0),0)</f>
        <v>0</v>
      </c>
      <c r="AY95" s="1023" cm="1">
        <f t="array" ref="AY95">IFERROR(ROUNDUP(IF(HLOOKUP($U95,加算と減算!$E$4:$P$10,7,FALSE)="○",IF(OR($U95=2,$U95=3),
INDEX(単価表!$AY$72:$CC$79,MATCH($V95&amp;$W95,INDEX(単価表!$AY$64:$AY$71&amp;単価表!$AZ$64:$AZ$71,),),MATCH(内訳計算!AY$6,単価表!$AY$63:$CC$63,0)),
INDEX(単価表!$AY$72:$CC$79,MATCH($V95&amp;$W95,INDEX(単価表!$AY$64:$AY$71&amp;単価表!$AZ$64:$AZ$71,),),MATCH(内訳計算!AY$6,単価表!$AY$63:$CC$63,0))),0)*$Y95/25,0),0)</f>
        <v>0</v>
      </c>
      <c r="AZ95" s="1021" cm="1">
        <f t="array" ref="AZ95">IFERROR(IF(X95="○",INDEX(単価表!$AY$72:$CC$79,MATCH($V95&amp;$W95,INDEX(単価表!$AY$64:$AY$71&amp;単価表!$AZ$64:$AZ$71,),),MATCH(内訳計算!AZ$6,単価表!$AY$63:$CC$63,0)),0),0)</f>
        <v>0</v>
      </c>
      <c r="BA95" s="1023" cm="1">
        <f t="array" ref="BA95">IFERROR(ROUNDUP(INDEX(単価表!$AY$72:$CC$79,MATCH($V95&amp;$W95,INDEX(単価表!$AY$64:$AY$71&amp;単価表!$AZ$64:$AZ$71,),),MATCH(内訳計算!BA$6,単価表!$AY$63:$CC$63,0))*$Y95/25,0),0)</f>
        <v>0</v>
      </c>
      <c r="BB95" s="1021" cm="1">
        <f t="array" ref="BB95">IFERROR(INDEX(単価表!$AY$72:$CC$79,MATCH($V95&amp;$W95,INDEX(単価表!$AY$64:$AY$71&amp;単価表!$AZ$64:$AZ$71,),),MATCH(内訳計算!BB$6,単価表!$AY$63:$CC$63,0)),0)</f>
        <v>0</v>
      </c>
      <c r="BC95" s="1023" cm="1">
        <f t="array" ref="BC95">IFERROR(ROUNDUP(INDEX(単価表!$AY$72:$CC$79,MATCH($V95&amp;$W95,INDEX(単価表!$AY$64:$AY$71&amp;単価表!$AZ$64:$AZ$71,),),MATCH(内訳計算!BC$6,単価表!$AY$63:$CC$63,0))*$Y95/25,0),0)</f>
        <v>0</v>
      </c>
      <c r="BD95" s="985">
        <f>IFERROR(IF(HLOOKUP($U95,加算と減算!$E$31:$P$32,2,FALSE)="○",IF(OR($U95=2,$U95=3),-(単価表!$AZ$23+単価表!$BA$23*基本情報!$G$7),-(単価表!$AZ$23+単価表!$BA$23*基本情報!$G$7)),0),0)</f>
        <v>0</v>
      </c>
      <c r="BE95" s="1007" t="e">
        <f t="shared" si="171"/>
        <v>#VALUE!</v>
      </c>
      <c r="BF95" s="1007" t="e">
        <f t="shared" si="172"/>
        <v>#VALUE!</v>
      </c>
      <c r="BG95" s="1030" t="e">
        <f t="shared" si="173"/>
        <v>#N/A</v>
      </c>
      <c r="BH95" s="1031">
        <f>IFERROR(IF(基本情報!$E$12&lt;&gt;"",-ROUNDDOWN((AA95+AE95+AH95+AL95)*基本情報!$H$13/100,-1),0),0)</f>
        <v>0</v>
      </c>
      <c r="BI95" s="1007" t="e">
        <f t="shared" si="174"/>
        <v>#VALUE!</v>
      </c>
      <c r="BJ95" s="1007" t="e">
        <f t="shared" si="175"/>
        <v>#VALUE!</v>
      </c>
      <c r="BK95" s="1008" t="e">
        <f t="shared" si="176"/>
        <v>#N/A</v>
      </c>
      <c r="BL95" s="1031">
        <f t="shared" si="185"/>
        <v>0</v>
      </c>
      <c r="BM95" s="1007" t="e">
        <f t="shared" si="177"/>
        <v>#VALUE!</v>
      </c>
      <c r="BN95" s="1007" t="e">
        <f t="shared" si="178"/>
        <v>#VALUE!</v>
      </c>
      <c r="BO95" s="1008" t="e">
        <f t="shared" si="179"/>
        <v>#N/A</v>
      </c>
      <c r="BP95" s="1006">
        <f>IFERROR(-ROUNDUP(SUM(AA95,AE95,AH95,AL95,AR95,AT95,AV95,BD95,BH95,BL95)*基本情報!$H$15/100,-1),0)</f>
        <v>0</v>
      </c>
      <c r="BQ95" s="1007" t="e">
        <f t="shared" si="180"/>
        <v>#VALUE!</v>
      </c>
      <c r="BR95" s="1007" t="e">
        <f t="shared" si="181"/>
        <v>#VALUE!</v>
      </c>
      <c r="BS95" s="1008" t="e">
        <f t="shared" si="182"/>
        <v>#N/A</v>
      </c>
      <c r="BU95" s="1043" t="e">
        <f t="shared" si="186"/>
        <v>#VALUE!</v>
      </c>
      <c r="BV95" s="1044" t="e">
        <f t="shared" si="187"/>
        <v>#VALUE!</v>
      </c>
      <c r="BW95" s="1044" t="e">
        <f t="shared" si="188"/>
        <v>#N/A</v>
      </c>
      <c r="BX95" s="1051">
        <f t="shared" si="189"/>
        <v>0</v>
      </c>
      <c r="BY95" s="1045">
        <f t="shared" si="190"/>
        <v>0</v>
      </c>
    </row>
    <row r="96" spans="1:114" ht="18.75" customHeight="1">
      <c r="A96" s="1640"/>
      <c r="B96" s="1581" t="s">
        <v>595</v>
      </c>
      <c r="C96" s="1581"/>
      <c r="D96" s="1581"/>
      <c r="E96" s="798" t="s">
        <v>24</v>
      </c>
      <c r="F96" s="798" t="s">
        <v>25</v>
      </c>
      <c r="G96" s="798" t="s">
        <v>26</v>
      </c>
      <c r="H96" s="798" t="s">
        <v>27</v>
      </c>
      <c r="I96" s="798" t="s">
        <v>28</v>
      </c>
      <c r="J96" s="798" t="s">
        <v>29</v>
      </c>
      <c r="K96" s="798" t="s">
        <v>30</v>
      </c>
      <c r="L96" s="798" t="s">
        <v>31</v>
      </c>
      <c r="M96" s="798" t="s">
        <v>32</v>
      </c>
      <c r="N96" s="798" t="s">
        <v>33</v>
      </c>
      <c r="O96" s="798" t="s">
        <v>34</v>
      </c>
      <c r="P96" s="825" t="s">
        <v>35</v>
      </c>
      <c r="Q96" s="828" t="s">
        <v>36</v>
      </c>
      <c r="T96" s="682">
        <v>9</v>
      </c>
      <c r="U96" s="918">
        <f>月途中入退所情報!N39</f>
        <v>0</v>
      </c>
      <c r="V96" s="918">
        <f>月途中入退所情報!R39</f>
        <v>0</v>
      </c>
      <c r="W96" s="918">
        <f>月途中入退所情報!Q39</f>
        <v>0</v>
      </c>
      <c r="X96" s="945">
        <f>月途中入退所情報!S39</f>
        <v>0</v>
      </c>
      <c r="Y96" s="918">
        <f>月途中入退所情報!T39</f>
        <v>0</v>
      </c>
      <c r="Z96" s="840">
        <f t="shared" si="183"/>
        <v>0</v>
      </c>
      <c r="AA96" s="1021" cm="1">
        <f t="array" ref="AA96">IFERROR(IF(OR($U96=2,$U96=3),
INDEX(単価表!$AY$72:$CC$79,MATCH($V96&amp;$W96,INDEX(単価表!$AY$64:$AY$71&amp;単価表!$AZ$64:$AZ$71,),),MATCH(内訳計算!AA$6,単価表!$AY$63:$CC$63,0)),
INDEX(単価表!$AY$72:$CC$79,MATCH($V96&amp;$W96,INDEX(単価表!$AY$64:$AY$71&amp;単価表!$AZ$64:$AZ$71,),),MATCH(内訳計算!AA$6,単価表!$AY$63:$CC$63,0))),0)</f>
        <v>0</v>
      </c>
      <c r="AB96" s="1022" t="e">
        <f t="shared" si="184"/>
        <v>#VALUE!</v>
      </c>
      <c r="AC96" s="1022" cm="1">
        <f t="array" ref="AC96">IFERROR(ROUNDUP(IF(OR($U96=2,$U96=3),
INDEX(単価表!$AY$72:$CC$79,MATCH($V96&amp;$W96,INDEX(単価表!$AY$64:$AY$71&amp;単価表!$AZ$64:$AZ$71,),),MATCH(内訳計算!AC$6,単価表!$AY$63:$CC$63,0)),
INDEX(単価表!$AY$72:$CC$79,MATCH($V96&amp;$W96,INDEX(単価表!$AY$64:$AY$71&amp;単価表!$AZ$64:$AZ$71,),),MATCH(内訳計算!AC$6,単価表!$AY$63:$CC$63,0)))*$Y96/25,0),0)</f>
        <v>0</v>
      </c>
      <c r="AD96" s="1023" cm="1">
        <f t="array" ref="AD96">IFERROR(ROUNDUP(IF(OR($U96=2,$U96=3),
INDEX(単価表!$AY$72:$CC$79,MATCH($V96&amp;$W96,INDEX(単価表!$AY$64:$AY$71&amp;単価表!$AZ$64:$AZ$71,),),MATCH(内訳計算!AD$6,単価表!$AY$63:$CC$63,0)),
INDEX(単価表!$AY$72:$CC$79,MATCH($V96&amp;$W96,INDEX(単価表!$AY$64:$AY$71&amp;単価表!$AZ$64:$AZ$71,),),MATCH(内訳計算!AD$6,単価表!$AY$63:$CC$63,0)))*$Y96/25,0),0)</f>
        <v>0</v>
      </c>
      <c r="AE96" s="1021" cm="1">
        <f t="array" ref="AE96">IFERROR(IF(OR($U96=2,$U96=3),
INDEX(単価表!$AY$72:$CC$79,MATCH($V96&amp;$W96,INDEX(単価表!$AY$64:$AY$71&amp;単価表!$AZ$64:$AZ$71,),),MATCH(内訳計算!AE$6,単価表!$AY$63:$CC$63,0)),
INDEX(単価表!$AY$72:$CC$79,MATCH($V96&amp;$W96,INDEX(単価表!$AY$64:$AY$71&amp;単価表!$AZ$64:$AZ$71,),),MATCH(内訳計算!AE$6,単価表!$AY$63:$CC$63,0))),0)</f>
        <v>0</v>
      </c>
      <c r="AF96" s="1022" cm="1">
        <f t="array" ref="AF96">IFERROR(ROUNDUP(IF(OR($U96=2,$U96=3),
INDEX(単価表!$AY$72:$CC$79,MATCH($V96&amp;$W96,INDEX(単価表!$AY$64:$AY$71&amp;単価表!$AZ$64:$AZ$71,),),MATCH(内訳計算!AF$6,単価表!$AY$63:$CC$63,0)),
INDEX(単価表!$AY$72:$CC$79,MATCH($V96&amp;$W96,INDEX(単価表!$AY$64:$AY$71&amp;単価表!$AZ$64:$AZ$71,),),MATCH(内訳計算!AF$6,単価表!$AY$63:$CC$63,0)))*$Y96/25,0),0)</f>
        <v>0</v>
      </c>
      <c r="AG96" s="1023" cm="1">
        <f t="array" ref="AG96">IFERROR(ROUNDUP(IF(OR($U96=2,$U96=3),
INDEX(単価表!$AY$72:$CC$79,MATCH($V96&amp;$W96,INDEX(単価表!$AY$64:$AY$71&amp;単価表!$AZ$64:$AZ$71,),),MATCH(内訳計算!AG$6,単価表!$AY$63:$CC$63,0)),
INDEX(単価表!$AY$72:$CC$79,MATCH($V96&amp;$W96,INDEX(単価表!$AY$64:$AY$71&amp;単価表!$AZ$64:$AZ$71,),),MATCH(内訳計算!AG$6,単価表!$AY$63:$CC$63,0)))*$Y96/25,0),0)</f>
        <v>0</v>
      </c>
      <c r="AH96" s="1021" cm="1">
        <f t="array" ref="AH96">IFERROR(IF(HLOOKUP($U96,加算と減算!$E$4:$P$10,2,FALSE)="○",IF(OR($U96=2,$U96=3),
INDEX(単価表!$AY$72:$CC$79,MATCH($V96&amp;$W96,INDEX(単価表!$AY$64:$AY$71&amp;単価表!$AZ$64:$AZ$71,),),MATCH(内訳計算!AH$6,単価表!$AY$63:$CC$63,0)),
INDEX(単価表!$AY$72:$CC$79,MATCH($V96&amp;$W96,INDEX(単価表!$AY$64:$AY$71&amp;単価表!$AZ$64:$AZ$71,),),MATCH(内訳計算!AH$6,単価表!$AY$63:$CC$63,0))),0),0)</f>
        <v>0</v>
      </c>
      <c r="AI96" s="1024" cm="1">
        <f t="array" ref="AI96">IFERROR(ROUNDUP(IF(HLOOKUP($U96,加算と減算!$E$4:$P$10,2,FALSE)="○",IF(OR($U96=2,$U96=3),
INDEX(単価表!$AY$72:$CC$79,MATCH($V96&amp;$W96,INDEX(単価表!$AY$64:$AY$71&amp;単価表!$AZ$64:$AZ$71,),),MATCH(内訳計算!AI$6,単価表!$AY$63:$CC$63,0)),
INDEX(単価表!$AY$72:$CC$79,MATCH($V96&amp;$W96,INDEX(単価表!$AY$64:$AY$71&amp;単価表!$AZ$64:$AZ$71,),),MATCH(内訳計算!AI$6,単価表!$AY$63:$CC$63,0))),0)*$Y96/25,0),0)</f>
        <v>0</v>
      </c>
      <c r="AJ96" s="1022" cm="1">
        <f t="array" ref="AJ96">IFERROR(ROUNDUP(IF(HLOOKUP($U96,加算と減算!$E$4:$P$10,2,FALSE)="○",IF(OR($U96=2,$U96=3),
INDEX(単価表!$AY$72:$CC$79,MATCH($V96&amp;$W96,INDEX(単価表!$AY$64:$AY$71&amp;単価表!$AZ$64:$AZ$71,),),MATCH(内訳計算!AJ$6,単価表!$AY$63:$CC$63,0)),
INDEX(単価表!$AY$72:$CC$79,MATCH($V96&amp;$W96,INDEX(単価表!$AY$64:$AY$71&amp;単価表!$AZ$64:$AZ$71,),),MATCH(内訳計算!AJ$6,単価表!$AY$63:$CC$63,0))),0)*$Y96/25,0),0)</f>
        <v>0</v>
      </c>
      <c r="AK96" s="1023" cm="1">
        <f t="array" ref="AK96">IFERROR(ROUNDUP(IF(HLOOKUP($U96,加算と減算!$E$4:$P$10,2,FALSE)="○",IF(OR($U96=2,$U96=3),
INDEX(単価表!$AY$72:$CC$79,MATCH($V96&amp;$W96,INDEX(単価表!$AY$64:$AY$71&amp;単価表!$AZ$64:$AZ$71,),),MATCH(内訳計算!AK$6,単価表!$AY$63:$CC$63,0)),
INDEX(単価表!$AY$72:$CC$79,MATCH($V96&amp;$W96,INDEX(単価表!$AY$64:$AY$71&amp;単価表!$AZ$64:$AZ$71,),),MATCH(内訳計算!AK$6,単価表!$AY$63:$CC$63,0))),0)*$Y96/25,0),0)</f>
        <v>0</v>
      </c>
      <c r="AL96" s="1021" cm="1">
        <f t="array" ref="AL96">IFERROR(IF(HLOOKUP($U96,加算と減算!$E$4:$P$10,4,FALSE)="○",IF(OR($U96=2,$U96=3),
INDEX(単価表!$AY$72:$CC$79,MATCH($V96&amp;$W96,INDEX(単価表!$AY$64:$AY$71&amp;単価表!$AZ$64:$AZ$71,),),MATCH(内訳計算!AL$6,単価表!$AY$63:$CC$63,0)),
INDEX(単価表!$AY$72:$CC$79,MATCH($V96&amp;$W96,INDEX(単価表!$AY$64:$AY$71&amp;単価表!$AZ$64:$AZ$71,),),MATCH(内訳計算!AL$6,単価表!$AY$63:$CC$63,0))),0),0)</f>
        <v>0</v>
      </c>
      <c r="AM96" s="1022" cm="1">
        <f t="array" ref="AM96">IFERROR(ROUNDUP(IF(HLOOKUP($U96,加算と減算!$E$4:$P$10,4,FALSE)="○",IF(OR($U96=2,$U96=3),
INDEX(単価表!$AY$72:$CC$79,MATCH($V96&amp;$W96,INDEX(単価表!$AY$64:$AY$71&amp;単価表!$AZ$64:$AZ$71,),),MATCH(内訳計算!AM$6,単価表!$AY$63:$CC$63,0)),
INDEX(単価表!$AY$72:$CC$79,MATCH($V96&amp;$W96,INDEX(単価表!$AY$64:$AY$71&amp;単価表!$AZ$64:$AZ$71,),),MATCH(内訳計算!AM$6,単価表!$AY$63:$CC$63,0))),0)*$Y96/25,0),0)</f>
        <v>0</v>
      </c>
      <c r="AN96" s="1022" cm="1">
        <f t="array" ref="AN96">IFERROR(ROUNDUP(IF(HLOOKUP($U96,加算と減算!$E$4:$P$10,4,FALSE)="○",IF(OR($U96=2,$U96=3),
INDEX(単価表!$AY$72:$CC$79,MATCH($V96&amp;$W96,INDEX(単価表!$AY$64:$AY$71&amp;単価表!$AZ$64:$AZ$71,),),MATCH(内訳計算!AN$6,単価表!$AY$63:$CC$63,0)),
INDEX(単価表!$AY$72:$CC$79,MATCH($V96&amp;$W96,INDEX(単価表!$AY$64:$AY$71&amp;単価表!$AZ$64:$AZ$71,),),MATCH(内訳計算!AN$6,単価表!$AY$63:$CC$63,0))),0)*$Y96/25,0),0)</f>
        <v>0</v>
      </c>
      <c r="AO96" s="1022" cm="1">
        <f t="array" ref="AO96">IFERROR(ROUNDUP(IF(HLOOKUP($U96,加算と減算!$E$4:$P$10,4,FALSE)="○",IF(OR($U96=2,$U96=3),
INDEX(単価表!$AY$72:$CC$79,MATCH($V96&amp;$W96,INDEX(単価表!$AY$64:$AY$71&amp;単価表!$AZ$64:$AZ$71,),),MATCH(内訳計算!AO$6,単価表!$AY$63:$CC$63,0)),
INDEX(単価表!$AY$72:$CC$79,MATCH($V96&amp;$W96,INDEX(単価表!$AY$64:$AY$71&amp;単価表!$AZ$64:$AZ$71,),),MATCH(内訳計算!AO$6,単価表!$AY$63:$CC$63,0))),0)*$Y96/25,0),0)</f>
        <v>0</v>
      </c>
      <c r="AP96" s="1022" cm="1">
        <f t="array" ref="AP96">IFERROR(ROUNDUP(IF(HLOOKUP($U96,加算と減算!$E$4:$P$10,4,FALSE)="○",IF(OR($U96=2,$U96=3),
INDEX(単価表!$AY$72:$CC$79,MATCH($V96&amp;$W96,INDEX(単価表!$AY$64:$AY$71&amp;単価表!$AZ$64:$AZ$71,),),MATCH(内訳計算!AP$6,単価表!$AY$63:$CC$63,0)),
INDEX(単価表!$AY$72:$CC$79,MATCH($V96&amp;$W96,INDEX(単価表!$AY$64:$AY$71&amp;単価表!$AZ$64:$AZ$71,),),MATCH(内訳計算!AP$6,単価表!$AY$63:$CC$63,0))),0)*$Y96/25,0),0)</f>
        <v>0</v>
      </c>
      <c r="AQ96" s="1023" cm="1">
        <f t="array" ref="AQ96">IFERROR(ROUNDUP(IF(HLOOKUP($U96,加算と減算!$E$4:$P$10,4,FALSE)="○",IF(OR($U96=2,$U96=3),
INDEX(単価表!$AY$72:$CC$79,MATCH($V96&amp;$W96,INDEX(単価表!$AY$64:$AY$71&amp;単価表!$AZ$64:$AZ$71,),),MATCH(内訳計算!AQ$6,単価表!$AY$63:$CC$63,0)),
INDEX(単価表!$AY$72:$CC$79,MATCH($V96&amp;$W96,INDEX(単価表!$AY$64:$AY$71&amp;単価表!$AZ$64:$AZ$71,),),MATCH(内訳計算!AQ$6,単価表!$AY$63:$CC$63,0))),0)*$Y96/25,0),0)</f>
        <v>0</v>
      </c>
      <c r="AR96" s="1021" cm="1">
        <f t="array" ref="AR96">IFERROR(IF(HLOOKUP($U96,加算と減算!$E$4:$P$10,5,FALSE)="○",IF(OR($U96=2,$U96=3),
INDEX(単価表!$AY$72:$CC$79,MATCH($V96&amp;$W96,INDEX(単価表!$AY$64:$AY$71&amp;単価表!$AZ$64:$AZ$71,),),MATCH(内訳計算!AR$6,単価表!$AY$63:$CC$63,0)),
INDEX(単価表!$AY$72:$CC$79,MATCH($V96&amp;$W96,INDEX(単価表!$AY$64:$AY$71&amp;単価表!$AZ$64:$AZ$71,),),MATCH(内訳計算!AR$6,単価表!$AY$63:$CC$63,0))),0),0)</f>
        <v>0</v>
      </c>
      <c r="AS96" s="1023" cm="1">
        <f t="array" ref="AS96">IFERROR(ROUNDUP(IF(HLOOKUP($U96,加算と減算!$E$4:$P$10,5,FALSE)="○",IF(OR($U96=2,$U96=3),
INDEX(単価表!$AY$72:$CC$79,MATCH($V96&amp;$W96,INDEX(単価表!$AY$64:$AY$71&amp;単価表!$AZ$64:$AZ$71,),),MATCH(内訳計算!AS$6,単価表!$AY$63:$CC$63,0)),
INDEX(単価表!$AY$72:$CC$79,MATCH($V96&amp;$W96,INDEX(単価表!$AY$64:$AY$71&amp;単価表!$AZ$64:$AZ$71,),),MATCH(内訳計算!AS$6,単価表!$AY$63:$CC$63,0))),0)*$Y96/25,0),0)</f>
        <v>0</v>
      </c>
      <c r="AT96" s="1021" cm="1">
        <f t="array" ref="AT96">IFERROR(IF(HLOOKUP($U96,加算と減算!$E$4:$P$10,6,FALSE)="○",IF(OR($U96=2,$U96=3),
INDEX(単価表!$AY$72:$CC$79,MATCH($V96&amp;$W96,INDEX(単価表!$AY$64:$AY$71&amp;単価表!$AZ$64:$AZ$71,),),MATCH(内訳計算!AT$6,単価表!$AY$63:$CC$63,0)),
INDEX(単価表!$AY$72:$CC$79,MATCH($V96&amp;$W96,INDEX(単価表!$AY$64:$AY$71&amp;単価表!$AZ$64:$AZ$71,),),MATCH(内訳計算!AT$6,単価表!$AY$63:$CC$63,0))),0),0)</f>
        <v>0</v>
      </c>
      <c r="AU96" s="1023" cm="1">
        <f t="array" ref="AU96">IFERROR(ROUNDUP(IF(HLOOKUP($U96,加算と減算!$E$4:$P$10,6,FALSE)="○",IF(OR($U96=2,$U96=3),
INDEX(単価表!$AY$72:$CC$79,MATCH($V96&amp;$W96,INDEX(単価表!$AY$64:$AY$71&amp;単価表!$AZ$64:$AZ$71,),),MATCH(内訳計算!AU$6,単価表!$AY$63:$CC$63,0)),
INDEX(単価表!$AY$72:$CC$79,MATCH($V96&amp;$W96,INDEX(単価表!$AY$64:$AY$71&amp;単価表!$AZ$64:$AZ$71,),),MATCH(内訳計算!AU$6,単価表!$AY$63:$CC$63,0))),0)*$Y96/25,0),0)</f>
        <v>0</v>
      </c>
      <c r="AV96" s="1021" cm="1">
        <f t="array" ref="AV96">IFERROR(IF(HLOOKUP($U96,加算と減算!$E$4:$P$10,7,FALSE)="○",IF(OR($U96=2,$U96=3),
INDEX(単価表!$AY$72:$CC$79,MATCH($V96&amp;$W96,INDEX(単価表!$AY$64:$AY$71&amp;単価表!$AZ$64:$AZ$71,),),MATCH(内訳計算!AV$6,単価表!$AY$63:$CC$63,0)),
INDEX(単価表!$AY$72:$CC$79,MATCH($V96&amp;$W96,INDEX(単価表!$AY$64:$AY$71&amp;単価表!$AZ$64:$AZ$71,),),MATCH(内訳計算!AV$6,単価表!$AY$63:$CC$63,0))),0),0)</f>
        <v>0</v>
      </c>
      <c r="AW96" s="1022" cm="1">
        <f t="array" ref="AW96">IFERROR(ROUNDUP(IF(HLOOKUP($U96,加算と減算!$E$4:$P$10,7,FALSE)="○",IF(OR($U96=2,$U96=3),
INDEX(単価表!$AY$72:$CC$79,MATCH($V96&amp;$W96,INDEX(単価表!$AY$64:$AY$71&amp;単価表!$AZ$64:$AZ$71,),),MATCH(内訳計算!AW$6,単価表!$AY$63:$CC$63,0)),
INDEX(単価表!$AY$72:$CC$79,MATCH($V96&amp;$W96,INDEX(単価表!$AY$64:$AY$71&amp;単価表!$AZ$64:$AZ$71,),),MATCH(内訳計算!AW$6,単価表!$AY$63:$CC$63,0))),0)*$Y96/25,0),0)</f>
        <v>0</v>
      </c>
      <c r="AX96" s="1022" cm="1">
        <f t="array" ref="AX96">IFERROR(ROUNDUP(IF(HLOOKUP($U96,加算と減算!$E$4:$P$10,7,FALSE)="○",IF(OR($U96=2,$U96=3),
INDEX(単価表!$AY$72:$CC$79,MATCH($V96&amp;$W96,INDEX(単価表!$AY$64:$AY$71&amp;単価表!$AZ$64:$AZ$71,),),MATCH(内訳計算!AX$6,単価表!$AY$63:$CC$63,0)),
INDEX(単価表!$AY$72:$CC$79,MATCH($V96&amp;$W96,INDEX(単価表!$AY$64:$AY$71&amp;単価表!$AZ$64:$AZ$71,),),MATCH(内訳計算!AX$6,単価表!$AY$63:$CC$63,0))),0)*$Y96/25,0),0)</f>
        <v>0</v>
      </c>
      <c r="AY96" s="1023" cm="1">
        <f t="array" ref="AY96">IFERROR(ROUNDUP(IF(HLOOKUP($U96,加算と減算!$E$4:$P$10,7,FALSE)="○",IF(OR($U96=2,$U96=3),
INDEX(単価表!$AY$72:$CC$79,MATCH($V96&amp;$W96,INDEX(単価表!$AY$64:$AY$71&amp;単価表!$AZ$64:$AZ$71,),),MATCH(内訳計算!AY$6,単価表!$AY$63:$CC$63,0)),
INDEX(単価表!$AY$72:$CC$79,MATCH($V96&amp;$W96,INDEX(単価表!$AY$64:$AY$71&amp;単価表!$AZ$64:$AZ$71,),),MATCH(内訳計算!AY$6,単価表!$AY$63:$CC$63,0))),0)*$Y96/25,0),0)</f>
        <v>0</v>
      </c>
      <c r="AZ96" s="1021" cm="1">
        <f t="array" ref="AZ96">IFERROR(IF(X96="○",INDEX(単価表!$AY$72:$CC$79,MATCH($V96&amp;$W96,INDEX(単価表!$AY$64:$AY$71&amp;単価表!$AZ$64:$AZ$71,),),MATCH(内訳計算!AZ$6,単価表!$AY$63:$CC$63,0)),0),0)</f>
        <v>0</v>
      </c>
      <c r="BA96" s="1023" cm="1">
        <f t="array" ref="BA96">IFERROR(ROUNDUP(INDEX(単価表!$AY$72:$CC$79,MATCH($V96&amp;$W96,INDEX(単価表!$AY$64:$AY$71&amp;単価表!$AZ$64:$AZ$71,),),MATCH(内訳計算!BA$6,単価表!$AY$63:$CC$63,0))*$Y96/25,0),0)</f>
        <v>0</v>
      </c>
      <c r="BB96" s="1021" cm="1">
        <f t="array" ref="BB96">IFERROR(INDEX(単価表!$AY$72:$CC$79,MATCH($V96&amp;$W96,INDEX(単価表!$AY$64:$AY$71&amp;単価表!$AZ$64:$AZ$71,),),MATCH(内訳計算!BB$6,単価表!$AY$63:$CC$63,0)),0)</f>
        <v>0</v>
      </c>
      <c r="BC96" s="1023" cm="1">
        <f t="array" ref="BC96">IFERROR(ROUNDUP(INDEX(単価表!$AY$72:$CC$79,MATCH($V96&amp;$W96,INDEX(単価表!$AY$64:$AY$71&amp;単価表!$AZ$64:$AZ$71,),),MATCH(内訳計算!BC$6,単価表!$AY$63:$CC$63,0))*$Y96/25,0),0)</f>
        <v>0</v>
      </c>
      <c r="BD96" s="985">
        <f>IFERROR(IF(HLOOKUP($U96,加算と減算!$E$31:$P$32,2,FALSE)="○",IF(OR($U96=2,$U96=3),-(単価表!$AZ$23+単価表!$BA$23*基本情報!$G$7),-(単価表!$AZ$23+単価表!$BA$23*基本情報!$G$7)),0),0)</f>
        <v>0</v>
      </c>
      <c r="BE96" s="1007" t="e">
        <f t="shared" si="171"/>
        <v>#VALUE!</v>
      </c>
      <c r="BF96" s="1007" t="e">
        <f t="shared" si="172"/>
        <v>#VALUE!</v>
      </c>
      <c r="BG96" s="1030" t="e">
        <f t="shared" si="173"/>
        <v>#N/A</v>
      </c>
      <c r="BH96" s="1031">
        <f>IFERROR(IF(基本情報!$E$12&lt;&gt;"",-ROUNDDOWN((AA96+AE96+AH96+AL96)*基本情報!$H$13/100,-1),0),0)</f>
        <v>0</v>
      </c>
      <c r="BI96" s="1007" t="e">
        <f t="shared" si="174"/>
        <v>#VALUE!</v>
      </c>
      <c r="BJ96" s="1007" t="e">
        <f t="shared" si="175"/>
        <v>#VALUE!</v>
      </c>
      <c r="BK96" s="1008" t="e">
        <f t="shared" si="176"/>
        <v>#N/A</v>
      </c>
      <c r="BL96" s="1031">
        <f t="shared" si="185"/>
        <v>0</v>
      </c>
      <c r="BM96" s="1007" t="e">
        <f t="shared" si="177"/>
        <v>#VALUE!</v>
      </c>
      <c r="BN96" s="1007" t="e">
        <f t="shared" si="178"/>
        <v>#VALUE!</v>
      </c>
      <c r="BO96" s="1008" t="e">
        <f t="shared" si="179"/>
        <v>#N/A</v>
      </c>
      <c r="BP96" s="1006">
        <f>IFERROR(-ROUNDUP(SUM(AA96,AE96,AH96,AL96,AR96,AT96,AV96,BD96,BH96,BL96)*基本情報!$H$15/100,-1),0)</f>
        <v>0</v>
      </c>
      <c r="BQ96" s="1007" t="e">
        <f t="shared" si="180"/>
        <v>#VALUE!</v>
      </c>
      <c r="BR96" s="1007" t="e">
        <f t="shared" si="181"/>
        <v>#VALUE!</v>
      </c>
      <c r="BS96" s="1008" t="e">
        <f t="shared" si="182"/>
        <v>#N/A</v>
      </c>
      <c r="BU96" s="1043" t="e">
        <f t="shared" si="186"/>
        <v>#VALUE!</v>
      </c>
      <c r="BV96" s="1044" t="e">
        <f t="shared" si="187"/>
        <v>#VALUE!</v>
      </c>
      <c r="BW96" s="1044" t="e">
        <f t="shared" si="188"/>
        <v>#N/A</v>
      </c>
      <c r="BX96" s="1051">
        <f t="shared" si="189"/>
        <v>0</v>
      </c>
      <c r="BY96" s="1045">
        <f t="shared" si="190"/>
        <v>0</v>
      </c>
    </row>
    <row r="97" spans="1:77" ht="18.75" customHeight="1">
      <c r="A97" s="1640"/>
      <c r="B97" s="1566" t="s">
        <v>676</v>
      </c>
      <c r="C97" s="1567"/>
      <c r="D97" s="1567"/>
      <c r="E97" s="804" t="e">
        <f>E86*E73</f>
        <v>#DIV/0!</v>
      </c>
      <c r="F97" s="804" t="e">
        <f t="shared" ref="F97:O97" si="196">F86*F73</f>
        <v>#DIV/0!</v>
      </c>
      <c r="G97" s="804" t="e">
        <f t="shared" si="196"/>
        <v>#DIV/0!</v>
      </c>
      <c r="H97" s="804" t="e">
        <f t="shared" si="196"/>
        <v>#DIV/0!</v>
      </c>
      <c r="I97" s="804" t="e">
        <f t="shared" si="196"/>
        <v>#DIV/0!</v>
      </c>
      <c r="J97" s="804" t="e">
        <f t="shared" si="196"/>
        <v>#DIV/0!</v>
      </c>
      <c r="K97" s="804" t="e">
        <f t="shared" si="196"/>
        <v>#DIV/0!</v>
      </c>
      <c r="L97" s="804" t="e">
        <f t="shared" si="196"/>
        <v>#DIV/0!</v>
      </c>
      <c r="M97" s="804" t="e">
        <f t="shared" si="196"/>
        <v>#DIV/0!</v>
      </c>
      <c r="N97" s="804" t="e">
        <f t="shared" si="196"/>
        <v>#DIV/0!</v>
      </c>
      <c r="O97" s="804" t="e">
        <f t="shared" si="196"/>
        <v>#DIV/0!</v>
      </c>
      <c r="P97" s="826" t="e">
        <f>P86*P73</f>
        <v>#DIV/0!</v>
      </c>
      <c r="Q97" s="829" t="e">
        <f>SUM(E97:P97)</f>
        <v>#DIV/0!</v>
      </c>
      <c r="R97" s="721"/>
      <c r="T97" s="682">
        <v>10</v>
      </c>
      <c r="U97" s="918">
        <f>月途中入退所情報!N40</f>
        <v>0</v>
      </c>
      <c r="V97" s="918">
        <f>月途中入退所情報!R40</f>
        <v>0</v>
      </c>
      <c r="W97" s="918">
        <f>月途中入退所情報!Q40</f>
        <v>0</v>
      </c>
      <c r="X97" s="945">
        <f>月途中入退所情報!S40</f>
        <v>0</v>
      </c>
      <c r="Y97" s="918">
        <f>月途中入退所情報!T40</f>
        <v>0</v>
      </c>
      <c r="Z97" s="840">
        <f t="shared" si="183"/>
        <v>0</v>
      </c>
      <c r="AA97" s="1021" cm="1">
        <f t="array" ref="AA97">IFERROR(IF(OR($U97=2,$U97=3),
INDEX(単価表!$AY$72:$CC$79,MATCH($V97&amp;$W97,INDEX(単価表!$AY$64:$AY$71&amp;単価表!$AZ$64:$AZ$71,),),MATCH(内訳計算!AA$6,単価表!$AY$63:$CC$63,0)),
INDEX(単価表!$AY$72:$CC$79,MATCH($V97&amp;$W97,INDEX(単価表!$AY$64:$AY$71&amp;単価表!$AZ$64:$AZ$71,),),MATCH(内訳計算!AA$6,単価表!$AY$63:$CC$63,0))),0)</f>
        <v>0</v>
      </c>
      <c r="AB97" s="1022" t="e">
        <f t="shared" si="184"/>
        <v>#VALUE!</v>
      </c>
      <c r="AC97" s="1022" cm="1">
        <f t="array" ref="AC97">IFERROR(ROUNDUP(IF(OR($U97=2,$U97=3),
INDEX(単価表!$AY$72:$CC$79,MATCH($V97&amp;$W97,INDEX(単価表!$AY$64:$AY$71&amp;単価表!$AZ$64:$AZ$71,),),MATCH(内訳計算!AC$6,単価表!$AY$63:$CC$63,0)),
INDEX(単価表!$AY$72:$CC$79,MATCH($V97&amp;$W97,INDEX(単価表!$AY$64:$AY$71&amp;単価表!$AZ$64:$AZ$71,),),MATCH(内訳計算!AC$6,単価表!$AY$63:$CC$63,0)))*$Y97/25,0),0)</f>
        <v>0</v>
      </c>
      <c r="AD97" s="1023" cm="1">
        <f t="array" ref="AD97">IFERROR(ROUNDUP(IF(OR($U97=2,$U97=3),
INDEX(単価表!$AY$72:$CC$79,MATCH($V97&amp;$W97,INDEX(単価表!$AY$64:$AY$71&amp;単価表!$AZ$64:$AZ$71,),),MATCH(内訳計算!AD$6,単価表!$AY$63:$CC$63,0)),
INDEX(単価表!$AY$72:$CC$79,MATCH($V97&amp;$W97,INDEX(単価表!$AY$64:$AY$71&amp;単価表!$AZ$64:$AZ$71,),),MATCH(内訳計算!AD$6,単価表!$AY$63:$CC$63,0)))*$Y97/25,0),0)</f>
        <v>0</v>
      </c>
      <c r="AE97" s="1021" cm="1">
        <f t="array" ref="AE97">IFERROR(IF(OR($U97=2,$U97=3),
INDEX(単価表!$AY$72:$CC$79,MATCH($V97&amp;$W97,INDEX(単価表!$AY$64:$AY$71&amp;単価表!$AZ$64:$AZ$71,),),MATCH(内訳計算!AE$6,単価表!$AY$63:$CC$63,0)),
INDEX(単価表!$AY$72:$CC$79,MATCH($V97&amp;$W97,INDEX(単価表!$AY$64:$AY$71&amp;単価表!$AZ$64:$AZ$71,),),MATCH(内訳計算!AE$6,単価表!$AY$63:$CC$63,0))),0)</f>
        <v>0</v>
      </c>
      <c r="AF97" s="1022" cm="1">
        <f t="array" ref="AF97">IFERROR(ROUNDUP(IF(OR($U97=2,$U97=3),
INDEX(単価表!$AY$72:$CC$79,MATCH($V97&amp;$W97,INDEX(単価表!$AY$64:$AY$71&amp;単価表!$AZ$64:$AZ$71,),),MATCH(内訳計算!AF$6,単価表!$AY$63:$CC$63,0)),
INDEX(単価表!$AY$72:$CC$79,MATCH($V97&amp;$W97,INDEX(単価表!$AY$64:$AY$71&amp;単価表!$AZ$64:$AZ$71,),),MATCH(内訳計算!AF$6,単価表!$AY$63:$CC$63,0)))*$Y97/25,0),0)</f>
        <v>0</v>
      </c>
      <c r="AG97" s="1023" cm="1">
        <f t="array" ref="AG97">IFERROR(ROUNDUP(IF(OR($U97=2,$U97=3),
INDEX(単価表!$AY$72:$CC$79,MATCH($V97&amp;$W97,INDEX(単価表!$AY$64:$AY$71&amp;単価表!$AZ$64:$AZ$71,),),MATCH(内訳計算!AG$6,単価表!$AY$63:$CC$63,0)),
INDEX(単価表!$AY$72:$CC$79,MATCH($V97&amp;$W97,INDEX(単価表!$AY$64:$AY$71&amp;単価表!$AZ$64:$AZ$71,),),MATCH(内訳計算!AG$6,単価表!$AY$63:$CC$63,0)))*$Y97/25,0),0)</f>
        <v>0</v>
      </c>
      <c r="AH97" s="1021" cm="1">
        <f t="array" ref="AH97">IFERROR(IF(HLOOKUP($U97,加算と減算!$E$4:$P$10,2,FALSE)="○",IF(OR($U97=2,$U97=3),
INDEX(単価表!$AY$72:$CC$79,MATCH($V97&amp;$W97,INDEX(単価表!$AY$64:$AY$71&amp;単価表!$AZ$64:$AZ$71,),),MATCH(内訳計算!AH$6,単価表!$AY$63:$CC$63,0)),
INDEX(単価表!$AY$72:$CC$79,MATCH($V97&amp;$W97,INDEX(単価表!$AY$64:$AY$71&amp;単価表!$AZ$64:$AZ$71,),),MATCH(内訳計算!AH$6,単価表!$AY$63:$CC$63,0))),0),0)</f>
        <v>0</v>
      </c>
      <c r="AI97" s="1024" cm="1">
        <f t="array" ref="AI97">IFERROR(ROUNDUP(IF(HLOOKUP($U97,加算と減算!$E$4:$P$10,2,FALSE)="○",IF(OR($U97=2,$U97=3),
INDEX(単価表!$AY$72:$CC$79,MATCH($V97&amp;$W97,INDEX(単価表!$AY$64:$AY$71&amp;単価表!$AZ$64:$AZ$71,),),MATCH(内訳計算!AI$6,単価表!$AY$63:$CC$63,0)),
INDEX(単価表!$AY$72:$CC$79,MATCH($V97&amp;$W97,INDEX(単価表!$AY$64:$AY$71&amp;単価表!$AZ$64:$AZ$71,),),MATCH(内訳計算!AI$6,単価表!$AY$63:$CC$63,0))),0)*$Y97/25,0),0)</f>
        <v>0</v>
      </c>
      <c r="AJ97" s="1022" cm="1">
        <f t="array" ref="AJ97">IFERROR(ROUNDUP(IF(HLOOKUP($U97,加算と減算!$E$4:$P$10,2,FALSE)="○",IF(OR($U97=2,$U97=3),
INDEX(単価表!$AY$72:$CC$79,MATCH($V97&amp;$W97,INDEX(単価表!$AY$64:$AY$71&amp;単価表!$AZ$64:$AZ$71,),),MATCH(内訳計算!AJ$6,単価表!$AY$63:$CC$63,0)),
INDEX(単価表!$AY$72:$CC$79,MATCH($V97&amp;$W97,INDEX(単価表!$AY$64:$AY$71&amp;単価表!$AZ$64:$AZ$71,),),MATCH(内訳計算!AJ$6,単価表!$AY$63:$CC$63,0))),0)*$Y97/25,0),0)</f>
        <v>0</v>
      </c>
      <c r="AK97" s="1023" cm="1">
        <f t="array" ref="AK97">IFERROR(ROUNDUP(IF(HLOOKUP($U97,加算と減算!$E$4:$P$10,2,FALSE)="○",IF(OR($U97=2,$U97=3),
INDEX(単価表!$AY$72:$CC$79,MATCH($V97&amp;$W97,INDEX(単価表!$AY$64:$AY$71&amp;単価表!$AZ$64:$AZ$71,),),MATCH(内訳計算!AK$6,単価表!$AY$63:$CC$63,0)),
INDEX(単価表!$AY$72:$CC$79,MATCH($V97&amp;$W97,INDEX(単価表!$AY$64:$AY$71&amp;単価表!$AZ$64:$AZ$71,),),MATCH(内訳計算!AK$6,単価表!$AY$63:$CC$63,0))),0)*$Y97/25,0),0)</f>
        <v>0</v>
      </c>
      <c r="AL97" s="1021" cm="1">
        <f t="array" ref="AL97">IFERROR(IF(HLOOKUP($U97,加算と減算!$E$4:$P$10,4,FALSE)="○",IF(OR($U97=2,$U97=3),
INDEX(単価表!$AY$72:$CC$79,MATCH($V97&amp;$W97,INDEX(単価表!$AY$64:$AY$71&amp;単価表!$AZ$64:$AZ$71,),),MATCH(内訳計算!AL$6,単価表!$AY$63:$CC$63,0)),
INDEX(単価表!$AY$72:$CC$79,MATCH($V97&amp;$W97,INDEX(単価表!$AY$64:$AY$71&amp;単価表!$AZ$64:$AZ$71,),),MATCH(内訳計算!AL$6,単価表!$AY$63:$CC$63,0))),0),0)</f>
        <v>0</v>
      </c>
      <c r="AM97" s="1022" cm="1">
        <f t="array" ref="AM97">IFERROR(ROUNDUP(IF(HLOOKUP($U97,加算と減算!$E$4:$P$10,4,FALSE)="○",IF(OR($U97=2,$U97=3),
INDEX(単価表!$AY$72:$CC$79,MATCH($V97&amp;$W97,INDEX(単価表!$AY$64:$AY$71&amp;単価表!$AZ$64:$AZ$71,),),MATCH(内訳計算!AM$6,単価表!$AY$63:$CC$63,0)),
INDEX(単価表!$AY$72:$CC$79,MATCH($V97&amp;$W97,INDEX(単価表!$AY$64:$AY$71&amp;単価表!$AZ$64:$AZ$71,),),MATCH(内訳計算!AM$6,単価表!$AY$63:$CC$63,0))),0)*$Y97/25,0),0)</f>
        <v>0</v>
      </c>
      <c r="AN97" s="1022" cm="1">
        <f t="array" ref="AN97">IFERROR(ROUNDUP(IF(HLOOKUP($U97,加算と減算!$E$4:$P$10,4,FALSE)="○",IF(OR($U97=2,$U97=3),
INDEX(単価表!$AY$72:$CC$79,MATCH($V97&amp;$W97,INDEX(単価表!$AY$64:$AY$71&amp;単価表!$AZ$64:$AZ$71,),),MATCH(内訳計算!AN$6,単価表!$AY$63:$CC$63,0)),
INDEX(単価表!$AY$72:$CC$79,MATCH($V97&amp;$W97,INDEX(単価表!$AY$64:$AY$71&amp;単価表!$AZ$64:$AZ$71,),),MATCH(内訳計算!AN$6,単価表!$AY$63:$CC$63,0))),0)*$Y97/25,0),0)</f>
        <v>0</v>
      </c>
      <c r="AO97" s="1022" cm="1">
        <f t="array" ref="AO97">IFERROR(ROUNDUP(IF(HLOOKUP($U97,加算と減算!$E$4:$P$10,4,FALSE)="○",IF(OR($U97=2,$U97=3),
INDEX(単価表!$AY$72:$CC$79,MATCH($V97&amp;$W97,INDEX(単価表!$AY$64:$AY$71&amp;単価表!$AZ$64:$AZ$71,),),MATCH(内訳計算!AO$6,単価表!$AY$63:$CC$63,0)),
INDEX(単価表!$AY$72:$CC$79,MATCH($V97&amp;$W97,INDEX(単価表!$AY$64:$AY$71&amp;単価表!$AZ$64:$AZ$71,),),MATCH(内訳計算!AO$6,単価表!$AY$63:$CC$63,0))),0)*$Y97/25,0),0)</f>
        <v>0</v>
      </c>
      <c r="AP97" s="1022" cm="1">
        <f t="array" ref="AP97">IFERROR(ROUNDUP(IF(HLOOKUP($U97,加算と減算!$E$4:$P$10,4,FALSE)="○",IF(OR($U97=2,$U97=3),
INDEX(単価表!$AY$72:$CC$79,MATCH($V97&amp;$W97,INDEX(単価表!$AY$64:$AY$71&amp;単価表!$AZ$64:$AZ$71,),),MATCH(内訳計算!AP$6,単価表!$AY$63:$CC$63,0)),
INDEX(単価表!$AY$72:$CC$79,MATCH($V97&amp;$W97,INDEX(単価表!$AY$64:$AY$71&amp;単価表!$AZ$64:$AZ$71,),),MATCH(内訳計算!AP$6,単価表!$AY$63:$CC$63,0))),0)*$Y97/25,0),0)</f>
        <v>0</v>
      </c>
      <c r="AQ97" s="1023" cm="1">
        <f t="array" ref="AQ97">IFERROR(ROUNDUP(IF(HLOOKUP($U97,加算と減算!$E$4:$P$10,4,FALSE)="○",IF(OR($U97=2,$U97=3),
INDEX(単価表!$AY$72:$CC$79,MATCH($V97&amp;$W97,INDEX(単価表!$AY$64:$AY$71&amp;単価表!$AZ$64:$AZ$71,),),MATCH(内訳計算!AQ$6,単価表!$AY$63:$CC$63,0)),
INDEX(単価表!$AY$72:$CC$79,MATCH($V97&amp;$W97,INDEX(単価表!$AY$64:$AY$71&amp;単価表!$AZ$64:$AZ$71,),),MATCH(内訳計算!AQ$6,単価表!$AY$63:$CC$63,0))),0)*$Y97/25,0),0)</f>
        <v>0</v>
      </c>
      <c r="AR97" s="1021" cm="1">
        <f t="array" ref="AR97">IFERROR(IF(HLOOKUP($U97,加算と減算!$E$4:$P$10,5,FALSE)="○",IF(OR($U97=2,$U97=3),
INDEX(単価表!$AY$72:$CC$79,MATCH($V97&amp;$W97,INDEX(単価表!$AY$64:$AY$71&amp;単価表!$AZ$64:$AZ$71,),),MATCH(内訳計算!AR$6,単価表!$AY$63:$CC$63,0)),
INDEX(単価表!$AY$72:$CC$79,MATCH($V97&amp;$W97,INDEX(単価表!$AY$64:$AY$71&amp;単価表!$AZ$64:$AZ$71,),),MATCH(内訳計算!AR$6,単価表!$AY$63:$CC$63,0))),0),0)</f>
        <v>0</v>
      </c>
      <c r="AS97" s="1023" cm="1">
        <f t="array" ref="AS97">IFERROR(ROUNDUP(IF(HLOOKUP($U97,加算と減算!$E$4:$P$10,5,FALSE)="○",IF(OR($U97=2,$U97=3),
INDEX(単価表!$AY$72:$CC$79,MATCH($V97&amp;$W97,INDEX(単価表!$AY$64:$AY$71&amp;単価表!$AZ$64:$AZ$71,),),MATCH(内訳計算!AS$6,単価表!$AY$63:$CC$63,0)),
INDEX(単価表!$AY$72:$CC$79,MATCH($V97&amp;$W97,INDEX(単価表!$AY$64:$AY$71&amp;単価表!$AZ$64:$AZ$71,),),MATCH(内訳計算!AS$6,単価表!$AY$63:$CC$63,0))),0)*$Y97/25,0),0)</f>
        <v>0</v>
      </c>
      <c r="AT97" s="1021" cm="1">
        <f t="array" ref="AT97">IFERROR(IF(HLOOKUP($U97,加算と減算!$E$4:$P$10,6,FALSE)="○",IF(OR($U97=2,$U97=3),
INDEX(単価表!$AY$72:$CC$79,MATCH($V97&amp;$W97,INDEX(単価表!$AY$64:$AY$71&amp;単価表!$AZ$64:$AZ$71,),),MATCH(内訳計算!AT$6,単価表!$AY$63:$CC$63,0)),
INDEX(単価表!$AY$72:$CC$79,MATCH($V97&amp;$W97,INDEX(単価表!$AY$64:$AY$71&amp;単価表!$AZ$64:$AZ$71,),),MATCH(内訳計算!AT$6,単価表!$AY$63:$CC$63,0))),0),0)</f>
        <v>0</v>
      </c>
      <c r="AU97" s="1023" cm="1">
        <f t="array" ref="AU97">IFERROR(ROUNDUP(IF(HLOOKUP($U97,加算と減算!$E$4:$P$10,6,FALSE)="○",IF(OR($U97=2,$U97=3),
INDEX(単価表!$AY$72:$CC$79,MATCH($V97&amp;$W97,INDEX(単価表!$AY$64:$AY$71&amp;単価表!$AZ$64:$AZ$71,),),MATCH(内訳計算!AU$6,単価表!$AY$63:$CC$63,0)),
INDEX(単価表!$AY$72:$CC$79,MATCH($V97&amp;$W97,INDEX(単価表!$AY$64:$AY$71&amp;単価表!$AZ$64:$AZ$71,),),MATCH(内訳計算!AU$6,単価表!$AY$63:$CC$63,0))),0)*$Y97/25,0),0)</f>
        <v>0</v>
      </c>
      <c r="AV97" s="1021" cm="1">
        <f t="array" ref="AV97">IFERROR(IF(HLOOKUP($U97,加算と減算!$E$4:$P$10,7,FALSE)="○",IF(OR($U97=2,$U97=3),
INDEX(単価表!$AY$72:$CC$79,MATCH($V97&amp;$W97,INDEX(単価表!$AY$64:$AY$71&amp;単価表!$AZ$64:$AZ$71,),),MATCH(内訳計算!AV$6,単価表!$AY$63:$CC$63,0)),
INDEX(単価表!$AY$72:$CC$79,MATCH($V97&amp;$W97,INDEX(単価表!$AY$64:$AY$71&amp;単価表!$AZ$64:$AZ$71,),),MATCH(内訳計算!AV$6,単価表!$AY$63:$CC$63,0))),0),0)</f>
        <v>0</v>
      </c>
      <c r="AW97" s="1022" cm="1">
        <f t="array" ref="AW97">IFERROR(ROUNDUP(IF(HLOOKUP($U97,加算と減算!$E$4:$P$10,7,FALSE)="○",IF(OR($U97=2,$U97=3),
INDEX(単価表!$AY$72:$CC$79,MATCH($V97&amp;$W97,INDEX(単価表!$AY$64:$AY$71&amp;単価表!$AZ$64:$AZ$71,),),MATCH(内訳計算!AW$6,単価表!$AY$63:$CC$63,0)),
INDEX(単価表!$AY$72:$CC$79,MATCH($V97&amp;$W97,INDEX(単価表!$AY$64:$AY$71&amp;単価表!$AZ$64:$AZ$71,),),MATCH(内訳計算!AW$6,単価表!$AY$63:$CC$63,0))),0)*$Y97/25,0),0)</f>
        <v>0</v>
      </c>
      <c r="AX97" s="1022" cm="1">
        <f t="array" ref="AX97">IFERROR(ROUNDUP(IF(HLOOKUP($U97,加算と減算!$E$4:$P$10,7,FALSE)="○",IF(OR($U97=2,$U97=3),
INDEX(単価表!$AY$72:$CC$79,MATCH($V97&amp;$W97,INDEX(単価表!$AY$64:$AY$71&amp;単価表!$AZ$64:$AZ$71,),),MATCH(内訳計算!AX$6,単価表!$AY$63:$CC$63,0)),
INDEX(単価表!$AY$72:$CC$79,MATCH($V97&amp;$W97,INDEX(単価表!$AY$64:$AY$71&amp;単価表!$AZ$64:$AZ$71,),),MATCH(内訳計算!AX$6,単価表!$AY$63:$CC$63,0))),0)*$Y97/25,0),0)</f>
        <v>0</v>
      </c>
      <c r="AY97" s="1023" cm="1">
        <f t="array" ref="AY97">IFERROR(ROUNDUP(IF(HLOOKUP($U97,加算と減算!$E$4:$P$10,7,FALSE)="○",IF(OR($U97=2,$U97=3),
INDEX(単価表!$AY$72:$CC$79,MATCH($V97&amp;$W97,INDEX(単価表!$AY$64:$AY$71&amp;単価表!$AZ$64:$AZ$71,),),MATCH(内訳計算!AY$6,単価表!$AY$63:$CC$63,0)),
INDEX(単価表!$AY$72:$CC$79,MATCH($V97&amp;$W97,INDEX(単価表!$AY$64:$AY$71&amp;単価表!$AZ$64:$AZ$71,),),MATCH(内訳計算!AY$6,単価表!$AY$63:$CC$63,0))),0)*$Y97/25,0),0)</f>
        <v>0</v>
      </c>
      <c r="AZ97" s="1021" cm="1">
        <f t="array" ref="AZ97">IFERROR(IF(X97="○",INDEX(単価表!$AY$72:$CC$79,MATCH($V97&amp;$W97,INDEX(単価表!$AY$64:$AY$71&amp;単価表!$AZ$64:$AZ$71,),),MATCH(内訳計算!AZ$6,単価表!$AY$63:$CC$63,0)),0),0)</f>
        <v>0</v>
      </c>
      <c r="BA97" s="1023" cm="1">
        <f t="array" ref="BA97">IFERROR(ROUNDUP(INDEX(単価表!$AY$72:$CC$79,MATCH($V97&amp;$W97,INDEX(単価表!$AY$64:$AY$71&amp;単価表!$AZ$64:$AZ$71,),),MATCH(内訳計算!BA$6,単価表!$AY$63:$CC$63,0))*$Y97/25,0),0)</f>
        <v>0</v>
      </c>
      <c r="BB97" s="1021" cm="1">
        <f t="array" ref="BB97">IFERROR(INDEX(単価表!$AY$72:$CC$79,MATCH($V97&amp;$W97,INDEX(単価表!$AY$64:$AY$71&amp;単価表!$AZ$64:$AZ$71,),),MATCH(内訳計算!BB$6,単価表!$AY$63:$CC$63,0)),0)</f>
        <v>0</v>
      </c>
      <c r="BC97" s="1023" cm="1">
        <f t="array" ref="BC97">IFERROR(ROUNDUP(INDEX(単価表!$AY$72:$CC$79,MATCH($V97&amp;$W97,INDEX(単価表!$AY$64:$AY$71&amp;単価表!$AZ$64:$AZ$71,),),MATCH(内訳計算!BC$6,単価表!$AY$63:$CC$63,0))*$Y97/25,0),0)</f>
        <v>0</v>
      </c>
      <c r="BD97" s="985">
        <f>IFERROR(IF(HLOOKUP($U97,加算と減算!$E$31:$P$32,2,FALSE)="○",IF(OR($U97=2,$U97=3),-(単価表!$AZ$23+単価表!$BA$23*基本情報!$G$7),-(単価表!$AZ$23+単価表!$BA$23*基本情報!$G$7)),0),0)</f>
        <v>0</v>
      </c>
      <c r="BE97" s="1007" t="e">
        <f t="shared" si="171"/>
        <v>#VALUE!</v>
      </c>
      <c r="BF97" s="1007" t="e">
        <f t="shared" si="172"/>
        <v>#VALUE!</v>
      </c>
      <c r="BG97" s="1030" t="e">
        <f t="shared" si="173"/>
        <v>#N/A</v>
      </c>
      <c r="BH97" s="1031">
        <f>IFERROR(IF(基本情報!$E$12&lt;&gt;"",-ROUNDDOWN((AA97+AE97+AH97+AL97)*基本情報!$H$13/100,-1),0),0)</f>
        <v>0</v>
      </c>
      <c r="BI97" s="1007" t="e">
        <f t="shared" si="174"/>
        <v>#VALUE!</v>
      </c>
      <c r="BJ97" s="1007" t="e">
        <f t="shared" si="175"/>
        <v>#VALUE!</v>
      </c>
      <c r="BK97" s="1008" t="e">
        <f t="shared" si="176"/>
        <v>#N/A</v>
      </c>
      <c r="BL97" s="1031">
        <f t="shared" si="185"/>
        <v>0</v>
      </c>
      <c r="BM97" s="1007" t="e">
        <f t="shared" si="177"/>
        <v>#VALUE!</v>
      </c>
      <c r="BN97" s="1007" t="e">
        <f t="shared" si="178"/>
        <v>#VALUE!</v>
      </c>
      <c r="BO97" s="1008" t="e">
        <f t="shared" si="179"/>
        <v>#N/A</v>
      </c>
      <c r="BP97" s="1006">
        <f>IFERROR(-ROUNDUP(SUM(AA97,AE97,AH97,AL97,AR97,AT97,AV97,BD97,BH97,BL97)*基本情報!$H$15/100,-1),0)</f>
        <v>0</v>
      </c>
      <c r="BQ97" s="1007" t="e">
        <f t="shared" si="180"/>
        <v>#VALUE!</v>
      </c>
      <c r="BR97" s="1007" t="e">
        <f t="shared" si="181"/>
        <v>#VALUE!</v>
      </c>
      <c r="BS97" s="1008" t="e">
        <f t="shared" si="182"/>
        <v>#N/A</v>
      </c>
      <c r="BU97" s="1043" t="e">
        <f t="shared" si="186"/>
        <v>#VALUE!</v>
      </c>
      <c r="BV97" s="1044" t="e">
        <f t="shared" si="187"/>
        <v>#VALUE!</v>
      </c>
      <c r="BW97" s="1044" t="e">
        <f t="shared" si="188"/>
        <v>#N/A</v>
      </c>
      <c r="BX97" s="1051">
        <f t="shared" si="189"/>
        <v>0</v>
      </c>
      <c r="BY97" s="1046">
        <f t="shared" si="190"/>
        <v>0</v>
      </c>
    </row>
    <row r="98" spans="1:77" ht="18.75" customHeight="1">
      <c r="A98" s="1640"/>
      <c r="B98" s="1572" t="s">
        <v>677</v>
      </c>
      <c r="C98" s="1573"/>
      <c r="D98" s="1573"/>
      <c r="E98" s="804" t="e">
        <f>E87*E73</f>
        <v>#DIV/0!</v>
      </c>
      <c r="F98" s="804" t="e">
        <f t="shared" ref="F98:P98" si="197">F87*F73</f>
        <v>#DIV/0!</v>
      </c>
      <c r="G98" s="804" t="e">
        <f>G87*G73</f>
        <v>#DIV/0!</v>
      </c>
      <c r="H98" s="804" t="e">
        <f t="shared" si="197"/>
        <v>#DIV/0!</v>
      </c>
      <c r="I98" s="804" t="e">
        <f t="shared" si="197"/>
        <v>#DIV/0!</v>
      </c>
      <c r="J98" s="804" t="e">
        <f t="shared" si="197"/>
        <v>#DIV/0!</v>
      </c>
      <c r="K98" s="804" t="e">
        <f t="shared" si="197"/>
        <v>#DIV/0!</v>
      </c>
      <c r="L98" s="804" t="e">
        <f t="shared" si="197"/>
        <v>#DIV/0!</v>
      </c>
      <c r="M98" s="804" t="e">
        <f t="shared" si="197"/>
        <v>#DIV/0!</v>
      </c>
      <c r="N98" s="804" t="e">
        <f t="shared" si="197"/>
        <v>#DIV/0!</v>
      </c>
      <c r="O98" s="804" t="e">
        <f t="shared" si="197"/>
        <v>#DIV/0!</v>
      </c>
      <c r="P98" s="826" t="e">
        <f t="shared" si="197"/>
        <v>#DIV/0!</v>
      </c>
      <c r="Q98" s="829" t="e">
        <f>SUM(E98:P98)</f>
        <v>#DIV/0!</v>
      </c>
      <c r="R98" s="721"/>
      <c r="T98" s="682">
        <v>11</v>
      </c>
      <c r="U98" s="918">
        <f>月途中入退所情報!N41</f>
        <v>0</v>
      </c>
      <c r="V98" s="918">
        <f>月途中入退所情報!R41</f>
        <v>0</v>
      </c>
      <c r="W98" s="918">
        <f>月途中入退所情報!Q41</f>
        <v>0</v>
      </c>
      <c r="X98" s="945">
        <f>月途中入退所情報!S41</f>
        <v>0</v>
      </c>
      <c r="Y98" s="918">
        <f>月途中入退所情報!T41</f>
        <v>0</v>
      </c>
      <c r="Z98" s="840">
        <f t="shared" si="183"/>
        <v>0</v>
      </c>
      <c r="AA98" s="1021" cm="1">
        <f t="array" ref="AA98">IFERROR(IF(OR($U98=2,$U98=3),
INDEX(単価表!$AY$72:$CC$79,MATCH($V98&amp;$W98,INDEX(単価表!$AY$64:$AY$71&amp;単価表!$AZ$64:$AZ$71,),),MATCH(内訳計算!AA$6,単価表!$AY$63:$CC$63,0)),
INDEX(単価表!$AY$72:$CC$79,MATCH($V98&amp;$W98,INDEX(単価表!$AY$64:$AY$71&amp;単価表!$AZ$64:$AZ$71,),),MATCH(内訳計算!AA$6,単価表!$AY$63:$CC$63,0))),0)</f>
        <v>0</v>
      </c>
      <c r="AB98" s="1022" t="e">
        <f t="shared" si="184"/>
        <v>#VALUE!</v>
      </c>
      <c r="AC98" s="1022" cm="1">
        <f t="array" ref="AC98">IFERROR(ROUNDUP(IF(OR($U98=2,$U98=3),
INDEX(単価表!$AY$72:$CC$79,MATCH($V98&amp;$W98,INDEX(単価表!$AY$64:$AY$71&amp;単価表!$AZ$64:$AZ$71,),),MATCH(内訳計算!AC$6,単価表!$AY$63:$CC$63,0)),
INDEX(単価表!$AY$72:$CC$79,MATCH($V98&amp;$W98,INDEX(単価表!$AY$64:$AY$71&amp;単価表!$AZ$64:$AZ$71,),),MATCH(内訳計算!AC$6,単価表!$AY$63:$CC$63,0)))*$Y98/25,0),0)</f>
        <v>0</v>
      </c>
      <c r="AD98" s="1023" cm="1">
        <f t="array" ref="AD98">IFERROR(ROUNDUP(IF(OR($U98=2,$U98=3),
INDEX(単価表!$AY$72:$CC$79,MATCH($V98&amp;$W98,INDEX(単価表!$AY$64:$AY$71&amp;単価表!$AZ$64:$AZ$71,),),MATCH(内訳計算!AD$6,単価表!$AY$63:$CC$63,0)),
INDEX(単価表!$AY$72:$CC$79,MATCH($V98&amp;$W98,INDEX(単価表!$AY$64:$AY$71&amp;単価表!$AZ$64:$AZ$71,),),MATCH(内訳計算!AD$6,単価表!$AY$63:$CC$63,0)))*$Y98/25,0),0)</f>
        <v>0</v>
      </c>
      <c r="AE98" s="1021" cm="1">
        <f t="array" ref="AE98">IFERROR(IF(OR($U98=2,$U98=3),
INDEX(単価表!$AY$72:$CC$79,MATCH($V98&amp;$W98,INDEX(単価表!$AY$64:$AY$71&amp;単価表!$AZ$64:$AZ$71,),),MATCH(内訳計算!AE$6,単価表!$AY$63:$CC$63,0)),
INDEX(単価表!$AY$72:$CC$79,MATCH($V98&amp;$W98,INDEX(単価表!$AY$64:$AY$71&amp;単価表!$AZ$64:$AZ$71,),),MATCH(内訳計算!AE$6,単価表!$AY$63:$CC$63,0))),0)</f>
        <v>0</v>
      </c>
      <c r="AF98" s="1022" cm="1">
        <f t="array" ref="AF98">IFERROR(ROUNDUP(IF(OR($U98=2,$U98=3),
INDEX(単価表!$AY$72:$CC$79,MATCH($V98&amp;$W98,INDEX(単価表!$AY$64:$AY$71&amp;単価表!$AZ$64:$AZ$71,),),MATCH(内訳計算!AF$6,単価表!$AY$63:$CC$63,0)),
INDEX(単価表!$AY$72:$CC$79,MATCH($V98&amp;$W98,INDEX(単価表!$AY$64:$AY$71&amp;単価表!$AZ$64:$AZ$71,),),MATCH(内訳計算!AF$6,単価表!$AY$63:$CC$63,0)))*$Y98/25,0),0)</f>
        <v>0</v>
      </c>
      <c r="AG98" s="1023" cm="1">
        <f t="array" ref="AG98">IFERROR(ROUNDUP(IF(OR($U98=2,$U98=3),
INDEX(単価表!$AY$72:$CC$79,MATCH($V98&amp;$W98,INDEX(単価表!$AY$64:$AY$71&amp;単価表!$AZ$64:$AZ$71,),),MATCH(内訳計算!AG$6,単価表!$AY$63:$CC$63,0)),
INDEX(単価表!$AY$72:$CC$79,MATCH($V98&amp;$W98,INDEX(単価表!$AY$64:$AY$71&amp;単価表!$AZ$64:$AZ$71,),),MATCH(内訳計算!AG$6,単価表!$AY$63:$CC$63,0)))*$Y98/25,0),0)</f>
        <v>0</v>
      </c>
      <c r="AH98" s="1021" cm="1">
        <f t="array" ref="AH98">IFERROR(IF(HLOOKUP($U98,加算と減算!$E$4:$P$10,2,FALSE)="○",IF(OR($U98=2,$U98=3),
INDEX(単価表!$AY$72:$CC$79,MATCH($V98&amp;$W98,INDEX(単価表!$AY$64:$AY$71&amp;単価表!$AZ$64:$AZ$71,),),MATCH(内訳計算!AH$6,単価表!$AY$63:$CC$63,0)),
INDEX(単価表!$AY$72:$CC$79,MATCH($V98&amp;$W98,INDEX(単価表!$AY$64:$AY$71&amp;単価表!$AZ$64:$AZ$71,),),MATCH(内訳計算!AH$6,単価表!$AY$63:$CC$63,0))),0),0)</f>
        <v>0</v>
      </c>
      <c r="AI98" s="1024" cm="1">
        <f t="array" ref="AI98">IFERROR(ROUNDUP(IF(HLOOKUP($U98,加算と減算!$E$4:$P$10,2,FALSE)="○",IF(OR($U98=2,$U98=3),
INDEX(単価表!$AY$72:$CC$79,MATCH($V98&amp;$W98,INDEX(単価表!$AY$64:$AY$71&amp;単価表!$AZ$64:$AZ$71,),),MATCH(内訳計算!AI$6,単価表!$AY$63:$CC$63,0)),
INDEX(単価表!$AY$72:$CC$79,MATCH($V98&amp;$W98,INDEX(単価表!$AY$64:$AY$71&amp;単価表!$AZ$64:$AZ$71,),),MATCH(内訳計算!AI$6,単価表!$AY$63:$CC$63,0))),0)*$Y98/25,0),0)</f>
        <v>0</v>
      </c>
      <c r="AJ98" s="1022" cm="1">
        <f t="array" ref="AJ98">IFERROR(ROUNDUP(IF(HLOOKUP($U98,加算と減算!$E$4:$P$10,2,FALSE)="○",IF(OR($U98=2,$U98=3),
INDEX(単価表!$AY$72:$CC$79,MATCH($V98&amp;$W98,INDEX(単価表!$AY$64:$AY$71&amp;単価表!$AZ$64:$AZ$71,),),MATCH(内訳計算!AJ$6,単価表!$AY$63:$CC$63,0)),
INDEX(単価表!$AY$72:$CC$79,MATCH($V98&amp;$W98,INDEX(単価表!$AY$64:$AY$71&amp;単価表!$AZ$64:$AZ$71,),),MATCH(内訳計算!AJ$6,単価表!$AY$63:$CC$63,0))),0)*$Y98/25,0),0)</f>
        <v>0</v>
      </c>
      <c r="AK98" s="1023" cm="1">
        <f t="array" ref="AK98">IFERROR(ROUNDUP(IF(HLOOKUP($U98,加算と減算!$E$4:$P$10,2,FALSE)="○",IF(OR($U98=2,$U98=3),
INDEX(単価表!$AY$72:$CC$79,MATCH($V98&amp;$W98,INDEX(単価表!$AY$64:$AY$71&amp;単価表!$AZ$64:$AZ$71,),),MATCH(内訳計算!AK$6,単価表!$AY$63:$CC$63,0)),
INDEX(単価表!$AY$72:$CC$79,MATCH($V98&amp;$W98,INDEX(単価表!$AY$64:$AY$71&amp;単価表!$AZ$64:$AZ$71,),),MATCH(内訳計算!AK$6,単価表!$AY$63:$CC$63,0))),0)*$Y98/25,0),0)</f>
        <v>0</v>
      </c>
      <c r="AL98" s="1021" cm="1">
        <f t="array" ref="AL98">IFERROR(IF(HLOOKUP($U98,加算と減算!$E$4:$P$10,4,FALSE)="○",IF(OR($U98=2,$U98=3),
INDEX(単価表!$AY$72:$CC$79,MATCH($V98&amp;$W98,INDEX(単価表!$AY$64:$AY$71&amp;単価表!$AZ$64:$AZ$71,),),MATCH(内訳計算!AL$6,単価表!$AY$63:$CC$63,0)),
INDEX(単価表!$AY$72:$CC$79,MATCH($V98&amp;$W98,INDEX(単価表!$AY$64:$AY$71&amp;単価表!$AZ$64:$AZ$71,),),MATCH(内訳計算!AL$6,単価表!$AY$63:$CC$63,0))),0),0)</f>
        <v>0</v>
      </c>
      <c r="AM98" s="1022" cm="1">
        <f t="array" ref="AM98">IFERROR(ROUNDUP(IF(HLOOKUP($U98,加算と減算!$E$4:$P$10,4,FALSE)="○",IF(OR($U98=2,$U98=3),
INDEX(単価表!$AY$72:$CC$79,MATCH($V98&amp;$W98,INDEX(単価表!$AY$64:$AY$71&amp;単価表!$AZ$64:$AZ$71,),),MATCH(内訳計算!AM$6,単価表!$AY$63:$CC$63,0)),
INDEX(単価表!$AY$72:$CC$79,MATCH($V98&amp;$W98,INDEX(単価表!$AY$64:$AY$71&amp;単価表!$AZ$64:$AZ$71,),),MATCH(内訳計算!AM$6,単価表!$AY$63:$CC$63,0))),0)*$Y98/25,0),0)</f>
        <v>0</v>
      </c>
      <c r="AN98" s="1022" cm="1">
        <f t="array" ref="AN98">IFERROR(ROUNDUP(IF(HLOOKUP($U98,加算と減算!$E$4:$P$10,4,FALSE)="○",IF(OR($U98=2,$U98=3),
INDEX(単価表!$AY$72:$CC$79,MATCH($V98&amp;$W98,INDEX(単価表!$AY$64:$AY$71&amp;単価表!$AZ$64:$AZ$71,),),MATCH(内訳計算!AN$6,単価表!$AY$63:$CC$63,0)),
INDEX(単価表!$AY$72:$CC$79,MATCH($V98&amp;$W98,INDEX(単価表!$AY$64:$AY$71&amp;単価表!$AZ$64:$AZ$71,),),MATCH(内訳計算!AN$6,単価表!$AY$63:$CC$63,0))),0)*$Y98/25,0),0)</f>
        <v>0</v>
      </c>
      <c r="AO98" s="1022" cm="1">
        <f t="array" ref="AO98">IFERROR(ROUNDUP(IF(HLOOKUP($U98,加算と減算!$E$4:$P$10,4,FALSE)="○",IF(OR($U98=2,$U98=3),
INDEX(単価表!$AY$72:$CC$79,MATCH($V98&amp;$W98,INDEX(単価表!$AY$64:$AY$71&amp;単価表!$AZ$64:$AZ$71,),),MATCH(内訳計算!AO$6,単価表!$AY$63:$CC$63,0)),
INDEX(単価表!$AY$72:$CC$79,MATCH($V98&amp;$W98,INDEX(単価表!$AY$64:$AY$71&amp;単価表!$AZ$64:$AZ$71,),),MATCH(内訳計算!AO$6,単価表!$AY$63:$CC$63,0))),0)*$Y98/25,0),0)</f>
        <v>0</v>
      </c>
      <c r="AP98" s="1022" cm="1">
        <f t="array" ref="AP98">IFERROR(ROUNDUP(IF(HLOOKUP($U98,加算と減算!$E$4:$P$10,4,FALSE)="○",IF(OR($U98=2,$U98=3),
INDEX(単価表!$AY$72:$CC$79,MATCH($V98&amp;$W98,INDEX(単価表!$AY$64:$AY$71&amp;単価表!$AZ$64:$AZ$71,),),MATCH(内訳計算!AP$6,単価表!$AY$63:$CC$63,0)),
INDEX(単価表!$AY$72:$CC$79,MATCH($V98&amp;$W98,INDEX(単価表!$AY$64:$AY$71&amp;単価表!$AZ$64:$AZ$71,),),MATCH(内訳計算!AP$6,単価表!$AY$63:$CC$63,0))),0)*$Y98/25,0),0)</f>
        <v>0</v>
      </c>
      <c r="AQ98" s="1023" cm="1">
        <f t="array" ref="AQ98">IFERROR(ROUNDUP(IF(HLOOKUP($U98,加算と減算!$E$4:$P$10,4,FALSE)="○",IF(OR($U98=2,$U98=3),
INDEX(単価表!$AY$72:$CC$79,MATCH($V98&amp;$W98,INDEX(単価表!$AY$64:$AY$71&amp;単価表!$AZ$64:$AZ$71,),),MATCH(内訳計算!AQ$6,単価表!$AY$63:$CC$63,0)),
INDEX(単価表!$AY$72:$CC$79,MATCH($V98&amp;$W98,INDEX(単価表!$AY$64:$AY$71&amp;単価表!$AZ$64:$AZ$71,),),MATCH(内訳計算!AQ$6,単価表!$AY$63:$CC$63,0))),0)*$Y98/25,0),0)</f>
        <v>0</v>
      </c>
      <c r="AR98" s="1021" cm="1">
        <f t="array" ref="AR98">IFERROR(IF(HLOOKUP($U98,加算と減算!$E$4:$P$10,5,FALSE)="○",IF(OR($U98=2,$U98=3),
INDEX(単価表!$AY$72:$CC$79,MATCH($V98&amp;$W98,INDEX(単価表!$AY$64:$AY$71&amp;単価表!$AZ$64:$AZ$71,),),MATCH(内訳計算!AR$6,単価表!$AY$63:$CC$63,0)),
INDEX(単価表!$AY$72:$CC$79,MATCH($V98&amp;$W98,INDEX(単価表!$AY$64:$AY$71&amp;単価表!$AZ$64:$AZ$71,),),MATCH(内訳計算!AR$6,単価表!$AY$63:$CC$63,0))),0),0)</f>
        <v>0</v>
      </c>
      <c r="AS98" s="1023" cm="1">
        <f t="array" ref="AS98">IFERROR(ROUNDUP(IF(HLOOKUP($U98,加算と減算!$E$4:$P$10,5,FALSE)="○",IF(OR($U98=2,$U98=3),
INDEX(単価表!$AY$72:$CC$79,MATCH($V98&amp;$W98,INDEX(単価表!$AY$64:$AY$71&amp;単価表!$AZ$64:$AZ$71,),),MATCH(内訳計算!AS$6,単価表!$AY$63:$CC$63,0)),
INDEX(単価表!$AY$72:$CC$79,MATCH($V98&amp;$W98,INDEX(単価表!$AY$64:$AY$71&amp;単価表!$AZ$64:$AZ$71,),),MATCH(内訳計算!AS$6,単価表!$AY$63:$CC$63,0))),0)*$Y98/25,0),0)</f>
        <v>0</v>
      </c>
      <c r="AT98" s="1021" cm="1">
        <f t="array" ref="AT98">IFERROR(IF(HLOOKUP($U98,加算と減算!$E$4:$P$10,6,FALSE)="○",IF(OR($U98=2,$U98=3),
INDEX(単価表!$AY$72:$CC$79,MATCH($V98&amp;$W98,INDEX(単価表!$AY$64:$AY$71&amp;単価表!$AZ$64:$AZ$71,),),MATCH(内訳計算!AT$6,単価表!$AY$63:$CC$63,0)),
INDEX(単価表!$AY$72:$CC$79,MATCH($V98&amp;$W98,INDEX(単価表!$AY$64:$AY$71&amp;単価表!$AZ$64:$AZ$71,),),MATCH(内訳計算!AT$6,単価表!$AY$63:$CC$63,0))),0),0)</f>
        <v>0</v>
      </c>
      <c r="AU98" s="1023" cm="1">
        <f t="array" ref="AU98">IFERROR(ROUNDUP(IF(HLOOKUP($U98,加算と減算!$E$4:$P$10,6,FALSE)="○",IF(OR($U98=2,$U98=3),
INDEX(単価表!$AY$72:$CC$79,MATCH($V98&amp;$W98,INDEX(単価表!$AY$64:$AY$71&amp;単価表!$AZ$64:$AZ$71,),),MATCH(内訳計算!AU$6,単価表!$AY$63:$CC$63,0)),
INDEX(単価表!$AY$72:$CC$79,MATCH($V98&amp;$W98,INDEX(単価表!$AY$64:$AY$71&amp;単価表!$AZ$64:$AZ$71,),),MATCH(内訳計算!AU$6,単価表!$AY$63:$CC$63,0))),0)*$Y98/25,0),0)</f>
        <v>0</v>
      </c>
      <c r="AV98" s="1021" cm="1">
        <f t="array" ref="AV98">IFERROR(IF(HLOOKUP($U98,加算と減算!$E$4:$P$10,7,FALSE)="○",IF(OR($U98=2,$U98=3),
INDEX(単価表!$AY$72:$CC$79,MATCH($V98&amp;$W98,INDEX(単価表!$AY$64:$AY$71&amp;単価表!$AZ$64:$AZ$71,),),MATCH(内訳計算!AV$6,単価表!$AY$63:$CC$63,0)),
INDEX(単価表!$AY$72:$CC$79,MATCH($V98&amp;$W98,INDEX(単価表!$AY$64:$AY$71&amp;単価表!$AZ$64:$AZ$71,),),MATCH(内訳計算!AV$6,単価表!$AY$63:$CC$63,0))),0),0)</f>
        <v>0</v>
      </c>
      <c r="AW98" s="1022" cm="1">
        <f t="array" ref="AW98">IFERROR(ROUNDUP(IF(HLOOKUP($U98,加算と減算!$E$4:$P$10,7,FALSE)="○",IF(OR($U98=2,$U98=3),
INDEX(単価表!$AY$72:$CC$79,MATCH($V98&amp;$W98,INDEX(単価表!$AY$64:$AY$71&amp;単価表!$AZ$64:$AZ$71,),),MATCH(内訳計算!AW$6,単価表!$AY$63:$CC$63,0)),
INDEX(単価表!$AY$72:$CC$79,MATCH($V98&amp;$W98,INDEX(単価表!$AY$64:$AY$71&amp;単価表!$AZ$64:$AZ$71,),),MATCH(内訳計算!AW$6,単価表!$AY$63:$CC$63,0))),0)*$Y98/25,0),0)</f>
        <v>0</v>
      </c>
      <c r="AX98" s="1022" cm="1">
        <f t="array" ref="AX98">IFERROR(ROUNDUP(IF(HLOOKUP($U98,加算と減算!$E$4:$P$10,7,FALSE)="○",IF(OR($U98=2,$U98=3),
INDEX(単価表!$AY$72:$CC$79,MATCH($V98&amp;$W98,INDEX(単価表!$AY$64:$AY$71&amp;単価表!$AZ$64:$AZ$71,),),MATCH(内訳計算!AX$6,単価表!$AY$63:$CC$63,0)),
INDEX(単価表!$AY$72:$CC$79,MATCH($V98&amp;$W98,INDEX(単価表!$AY$64:$AY$71&amp;単価表!$AZ$64:$AZ$71,),),MATCH(内訳計算!AX$6,単価表!$AY$63:$CC$63,0))),0)*$Y98/25,0),0)</f>
        <v>0</v>
      </c>
      <c r="AY98" s="1023" cm="1">
        <f t="array" ref="AY98">IFERROR(ROUNDUP(IF(HLOOKUP($U98,加算と減算!$E$4:$P$10,7,FALSE)="○",IF(OR($U98=2,$U98=3),
INDEX(単価表!$AY$72:$CC$79,MATCH($V98&amp;$W98,INDEX(単価表!$AY$64:$AY$71&amp;単価表!$AZ$64:$AZ$71,),),MATCH(内訳計算!AY$6,単価表!$AY$63:$CC$63,0)),
INDEX(単価表!$AY$72:$CC$79,MATCH($V98&amp;$W98,INDEX(単価表!$AY$64:$AY$71&amp;単価表!$AZ$64:$AZ$71,),),MATCH(内訳計算!AY$6,単価表!$AY$63:$CC$63,0))),0)*$Y98/25,0),0)</f>
        <v>0</v>
      </c>
      <c r="AZ98" s="1021" cm="1">
        <f t="array" ref="AZ98">IFERROR(IF(X98="○",INDEX(単価表!$AY$72:$CC$79,MATCH($V98&amp;$W98,INDEX(単価表!$AY$64:$AY$71&amp;単価表!$AZ$64:$AZ$71,),),MATCH(内訳計算!AZ$6,単価表!$AY$63:$CC$63,0)),0),0)</f>
        <v>0</v>
      </c>
      <c r="BA98" s="1023" cm="1">
        <f t="array" ref="BA98">IFERROR(ROUNDUP(INDEX(単価表!$AY$72:$CC$79,MATCH($V98&amp;$W98,INDEX(単価表!$AY$64:$AY$71&amp;単価表!$AZ$64:$AZ$71,),),MATCH(内訳計算!BA$6,単価表!$AY$63:$CC$63,0))*$Y98/25,0),0)</f>
        <v>0</v>
      </c>
      <c r="BB98" s="1021" cm="1">
        <f t="array" ref="BB98">IFERROR(INDEX(単価表!$AY$72:$CC$79,MATCH($V98&amp;$W98,INDEX(単価表!$AY$64:$AY$71&amp;単価表!$AZ$64:$AZ$71,),),MATCH(内訳計算!BB$6,単価表!$AY$63:$CC$63,0)),0)</f>
        <v>0</v>
      </c>
      <c r="BC98" s="1023" cm="1">
        <f t="array" ref="BC98">IFERROR(ROUNDUP(INDEX(単価表!$AY$72:$CC$79,MATCH($V98&amp;$W98,INDEX(単価表!$AY$64:$AY$71&amp;単価表!$AZ$64:$AZ$71,),),MATCH(内訳計算!BC$6,単価表!$AY$63:$CC$63,0))*$Y98/25,0),0)</f>
        <v>0</v>
      </c>
      <c r="BD98" s="985">
        <f>IFERROR(IF(HLOOKUP($U98,加算と減算!$E$31:$P$32,2,FALSE)="○",IF(OR($U98=2,$U98=3),-(単価表!$AZ$23+単価表!$BA$23*基本情報!$G$7),-(単価表!$AZ$23+単価表!$BA$23*基本情報!$G$7)),0),0)</f>
        <v>0</v>
      </c>
      <c r="BE98" s="1007" t="e">
        <f t="shared" si="171"/>
        <v>#VALUE!</v>
      </c>
      <c r="BF98" s="1007" t="e">
        <f t="shared" si="172"/>
        <v>#VALUE!</v>
      </c>
      <c r="BG98" s="1030" t="e">
        <f t="shared" si="173"/>
        <v>#N/A</v>
      </c>
      <c r="BH98" s="1031">
        <f>IFERROR(IF(基本情報!$E$12&lt;&gt;"",-ROUNDDOWN((AA98+AE98+AH98+AL98)*基本情報!$H$13/100,-1),0),0)</f>
        <v>0</v>
      </c>
      <c r="BI98" s="1007" t="e">
        <f t="shared" si="174"/>
        <v>#VALUE!</v>
      </c>
      <c r="BJ98" s="1007" t="e">
        <f t="shared" si="175"/>
        <v>#VALUE!</v>
      </c>
      <c r="BK98" s="1008" t="e">
        <f t="shared" si="176"/>
        <v>#N/A</v>
      </c>
      <c r="BL98" s="1031">
        <f t="shared" si="185"/>
        <v>0</v>
      </c>
      <c r="BM98" s="1010" t="e">
        <f t="shared" si="177"/>
        <v>#VALUE!</v>
      </c>
      <c r="BN98" s="1010" t="e">
        <f t="shared" si="178"/>
        <v>#VALUE!</v>
      </c>
      <c r="BO98" s="1011" t="e">
        <f t="shared" si="179"/>
        <v>#N/A</v>
      </c>
      <c r="BP98" s="1009">
        <f>IFERROR(-ROUNDUP(SUM(AA98,AE98,AH98,AL98,AR98,AT98,AV98,BD98,BH98,BL98)*基本情報!$H$15/100,-1),0)</f>
        <v>0</v>
      </c>
      <c r="BQ98" s="1010" t="e">
        <f t="shared" si="180"/>
        <v>#VALUE!</v>
      </c>
      <c r="BR98" s="1010" t="e">
        <f t="shared" si="181"/>
        <v>#VALUE!</v>
      </c>
      <c r="BS98" s="1011" t="e">
        <f t="shared" si="182"/>
        <v>#N/A</v>
      </c>
      <c r="BU98" s="1043" t="e">
        <f t="shared" si="186"/>
        <v>#VALUE!</v>
      </c>
      <c r="BV98" s="1044" t="e">
        <f t="shared" si="187"/>
        <v>#VALUE!</v>
      </c>
      <c r="BW98" s="1044" t="e">
        <f t="shared" si="188"/>
        <v>#N/A</v>
      </c>
      <c r="BX98" s="1051">
        <f t="shared" si="189"/>
        <v>0</v>
      </c>
      <c r="BY98" s="1045">
        <f t="shared" si="190"/>
        <v>0</v>
      </c>
    </row>
    <row r="99" spans="1:77" ht="19.5" customHeight="1">
      <c r="A99" s="1640"/>
      <c r="B99" s="1568" t="s">
        <v>597</v>
      </c>
      <c r="C99" s="1569"/>
      <c r="D99" s="1569"/>
      <c r="E99" s="816">
        <f>E91*E73</f>
        <v>0</v>
      </c>
      <c r="F99" s="816">
        <f t="shared" ref="F99:P99" si="198">F91*F73</f>
        <v>0</v>
      </c>
      <c r="G99" s="816">
        <f t="shared" si="198"/>
        <v>0</v>
      </c>
      <c r="H99" s="816">
        <f t="shared" si="198"/>
        <v>0</v>
      </c>
      <c r="I99" s="816">
        <f t="shared" si="198"/>
        <v>0</v>
      </c>
      <c r="J99" s="816">
        <f t="shared" si="198"/>
        <v>0</v>
      </c>
      <c r="K99" s="816">
        <f t="shared" si="198"/>
        <v>0</v>
      </c>
      <c r="L99" s="816">
        <f t="shared" si="198"/>
        <v>0</v>
      </c>
      <c r="M99" s="816">
        <f t="shared" si="198"/>
        <v>0</v>
      </c>
      <c r="N99" s="816">
        <f t="shared" si="198"/>
        <v>0</v>
      </c>
      <c r="O99" s="816">
        <f t="shared" si="198"/>
        <v>0</v>
      </c>
      <c r="P99" s="827">
        <f t="shared" si="198"/>
        <v>0</v>
      </c>
      <c r="Q99" s="829">
        <f t="shared" ref="Q99:Q101" si="199">SUM(E99:P99)</f>
        <v>0</v>
      </c>
      <c r="T99" s="682">
        <v>12</v>
      </c>
      <c r="U99" s="918">
        <f>月途中入退所情報!N42</f>
        <v>0</v>
      </c>
      <c r="V99" s="918">
        <f>月途中入退所情報!R42</f>
        <v>0</v>
      </c>
      <c r="W99" s="918">
        <f>月途中入退所情報!Q42</f>
        <v>0</v>
      </c>
      <c r="X99" s="945">
        <f>月途中入退所情報!S42</f>
        <v>0</v>
      </c>
      <c r="Y99" s="918">
        <f>月途中入退所情報!T42</f>
        <v>0</v>
      </c>
      <c r="Z99" s="840">
        <f t="shared" si="183"/>
        <v>0</v>
      </c>
      <c r="AA99" s="1021" cm="1">
        <f t="array" ref="AA99">IFERROR(IF(OR($U99=2,$U99=3),
INDEX(単価表!$AY$72:$CC$79,MATCH($V99&amp;$W99,INDEX(単価表!$AY$64:$AY$71&amp;単価表!$AZ$64:$AZ$71,),),MATCH(内訳計算!AA$6,単価表!$AY$63:$CC$63,0)),
INDEX(単価表!$AY$72:$CC$79,MATCH($V99&amp;$W99,INDEX(単価表!$AY$64:$AY$71&amp;単価表!$AZ$64:$AZ$71,),),MATCH(内訳計算!AA$6,単価表!$AY$63:$CC$63,0))),0)</f>
        <v>0</v>
      </c>
      <c r="AB99" s="1022" t="e">
        <f t="shared" si="184"/>
        <v>#VALUE!</v>
      </c>
      <c r="AC99" s="1022" cm="1">
        <f t="array" ref="AC99">IFERROR(ROUNDUP(IF(OR($U99=2,$U99=3),
INDEX(単価表!$AY$72:$CC$79,MATCH($V99&amp;$W99,INDEX(単価表!$AY$64:$AY$71&amp;単価表!$AZ$64:$AZ$71,),),MATCH(内訳計算!AC$6,単価表!$AY$63:$CC$63,0)),
INDEX(単価表!$AY$72:$CC$79,MATCH($V99&amp;$W99,INDEX(単価表!$AY$64:$AY$71&amp;単価表!$AZ$64:$AZ$71,),),MATCH(内訳計算!AC$6,単価表!$AY$63:$CC$63,0)))*$Y99/25,0),0)</f>
        <v>0</v>
      </c>
      <c r="AD99" s="1023" cm="1">
        <f t="array" ref="AD99">IFERROR(ROUNDUP(IF(OR($U99=2,$U99=3),
INDEX(単価表!$AY$72:$CC$79,MATCH($V99&amp;$W99,INDEX(単価表!$AY$64:$AY$71&amp;単価表!$AZ$64:$AZ$71,),),MATCH(内訳計算!AD$6,単価表!$AY$63:$CC$63,0)),
INDEX(単価表!$AY$72:$CC$79,MATCH($V99&amp;$W99,INDEX(単価表!$AY$64:$AY$71&amp;単価表!$AZ$64:$AZ$71,),),MATCH(内訳計算!AD$6,単価表!$AY$63:$CC$63,0)))*$Y99/25,0),0)</f>
        <v>0</v>
      </c>
      <c r="AE99" s="1021" cm="1">
        <f t="array" ref="AE99">IFERROR(IF(OR($U99=2,$U99=3),
INDEX(単価表!$AY$72:$CC$79,MATCH($V99&amp;$W99,INDEX(単価表!$AY$64:$AY$71&amp;単価表!$AZ$64:$AZ$71,),),MATCH(内訳計算!AE$6,単価表!$AY$63:$CC$63,0)),
INDEX(単価表!$AY$72:$CC$79,MATCH($V99&amp;$W99,INDEX(単価表!$AY$64:$AY$71&amp;単価表!$AZ$64:$AZ$71,),),MATCH(内訳計算!AE$6,単価表!$AY$63:$CC$63,0))),0)</f>
        <v>0</v>
      </c>
      <c r="AF99" s="1022" cm="1">
        <f t="array" ref="AF99">IFERROR(ROUNDUP(IF(OR($U99=2,$U99=3),
INDEX(単価表!$AY$72:$CC$79,MATCH($V99&amp;$W99,INDEX(単価表!$AY$64:$AY$71&amp;単価表!$AZ$64:$AZ$71,),),MATCH(内訳計算!AF$6,単価表!$AY$63:$CC$63,0)),
INDEX(単価表!$AY$72:$CC$79,MATCH($V99&amp;$W99,INDEX(単価表!$AY$64:$AY$71&amp;単価表!$AZ$64:$AZ$71,),),MATCH(内訳計算!AF$6,単価表!$AY$63:$CC$63,0)))*$Y99/25,0),0)</f>
        <v>0</v>
      </c>
      <c r="AG99" s="1023" cm="1">
        <f t="array" ref="AG99">IFERROR(ROUNDUP(IF(OR($U99=2,$U99=3),
INDEX(単価表!$AY$72:$CC$79,MATCH($V99&amp;$W99,INDEX(単価表!$AY$64:$AY$71&amp;単価表!$AZ$64:$AZ$71,),),MATCH(内訳計算!AG$6,単価表!$AY$63:$CC$63,0)),
INDEX(単価表!$AY$72:$CC$79,MATCH($V99&amp;$W99,INDEX(単価表!$AY$64:$AY$71&amp;単価表!$AZ$64:$AZ$71,),),MATCH(内訳計算!AG$6,単価表!$AY$63:$CC$63,0)))*$Y99/25,0),0)</f>
        <v>0</v>
      </c>
      <c r="AH99" s="1021" cm="1">
        <f t="array" ref="AH99">IFERROR(IF(HLOOKUP($U99,加算と減算!$E$4:$P$10,2,FALSE)="○",IF(OR($U99=2,$U99=3),
INDEX(単価表!$AY$72:$CC$79,MATCH($V99&amp;$W99,INDEX(単価表!$AY$64:$AY$71&amp;単価表!$AZ$64:$AZ$71,),),MATCH(内訳計算!AH$6,単価表!$AY$63:$CC$63,0)),
INDEX(単価表!$AY$72:$CC$79,MATCH($V99&amp;$W99,INDEX(単価表!$AY$64:$AY$71&amp;単価表!$AZ$64:$AZ$71,),),MATCH(内訳計算!AH$6,単価表!$AY$63:$CC$63,0))),0),0)</f>
        <v>0</v>
      </c>
      <c r="AI99" s="1024" cm="1">
        <f t="array" ref="AI99">IFERROR(ROUNDUP(IF(HLOOKUP($U99,加算と減算!$E$4:$P$10,2,FALSE)="○",IF(OR($U99=2,$U99=3),
INDEX(単価表!$AY$72:$CC$79,MATCH($V99&amp;$W99,INDEX(単価表!$AY$64:$AY$71&amp;単価表!$AZ$64:$AZ$71,),),MATCH(内訳計算!AI$6,単価表!$AY$63:$CC$63,0)),
INDEX(単価表!$AY$72:$CC$79,MATCH($V99&amp;$W99,INDEX(単価表!$AY$64:$AY$71&amp;単価表!$AZ$64:$AZ$71,),),MATCH(内訳計算!AI$6,単価表!$AY$63:$CC$63,0))),0)*$Y99/25,0),0)</f>
        <v>0</v>
      </c>
      <c r="AJ99" s="1022" cm="1">
        <f t="array" ref="AJ99">IFERROR(ROUNDUP(IF(HLOOKUP($U99,加算と減算!$E$4:$P$10,2,FALSE)="○",IF(OR($U99=2,$U99=3),
INDEX(単価表!$AY$72:$CC$79,MATCH($V99&amp;$W99,INDEX(単価表!$AY$64:$AY$71&amp;単価表!$AZ$64:$AZ$71,),),MATCH(内訳計算!AJ$6,単価表!$AY$63:$CC$63,0)),
INDEX(単価表!$AY$72:$CC$79,MATCH($V99&amp;$W99,INDEX(単価表!$AY$64:$AY$71&amp;単価表!$AZ$64:$AZ$71,),),MATCH(内訳計算!AJ$6,単価表!$AY$63:$CC$63,0))),0)*$Y99/25,0),0)</f>
        <v>0</v>
      </c>
      <c r="AK99" s="1023" cm="1">
        <f t="array" ref="AK99">IFERROR(ROUNDUP(IF(HLOOKUP($U99,加算と減算!$E$4:$P$10,2,FALSE)="○",IF(OR($U99=2,$U99=3),
INDEX(単価表!$AY$72:$CC$79,MATCH($V99&amp;$W99,INDEX(単価表!$AY$64:$AY$71&amp;単価表!$AZ$64:$AZ$71,),),MATCH(内訳計算!AK$6,単価表!$AY$63:$CC$63,0)),
INDEX(単価表!$AY$72:$CC$79,MATCH($V99&amp;$W99,INDEX(単価表!$AY$64:$AY$71&amp;単価表!$AZ$64:$AZ$71,),),MATCH(内訳計算!AK$6,単価表!$AY$63:$CC$63,0))),0)*$Y99/25,0),0)</f>
        <v>0</v>
      </c>
      <c r="AL99" s="1021" cm="1">
        <f t="array" ref="AL99">IFERROR(IF(HLOOKUP($U99,加算と減算!$E$4:$P$10,4,FALSE)="○",IF(OR($U99=2,$U99=3),
INDEX(単価表!$AY$72:$CC$79,MATCH($V99&amp;$W99,INDEX(単価表!$AY$64:$AY$71&amp;単価表!$AZ$64:$AZ$71,),),MATCH(内訳計算!AL$6,単価表!$AY$63:$CC$63,0)),
INDEX(単価表!$AY$72:$CC$79,MATCH($V99&amp;$W99,INDEX(単価表!$AY$64:$AY$71&amp;単価表!$AZ$64:$AZ$71,),),MATCH(内訳計算!AL$6,単価表!$AY$63:$CC$63,0))),0),0)</f>
        <v>0</v>
      </c>
      <c r="AM99" s="1022" cm="1">
        <f t="array" ref="AM99">IFERROR(ROUNDUP(IF(HLOOKUP($U99,加算と減算!$E$4:$P$10,4,FALSE)="○",IF(OR($U99=2,$U99=3),
INDEX(単価表!$AY$72:$CC$79,MATCH($V99&amp;$W99,INDEX(単価表!$AY$64:$AY$71&amp;単価表!$AZ$64:$AZ$71,),),MATCH(内訳計算!AM$6,単価表!$AY$63:$CC$63,0)),
INDEX(単価表!$AY$72:$CC$79,MATCH($V99&amp;$W99,INDEX(単価表!$AY$64:$AY$71&amp;単価表!$AZ$64:$AZ$71,),),MATCH(内訳計算!AM$6,単価表!$AY$63:$CC$63,0))),0)*$Y99/25,0),0)</f>
        <v>0</v>
      </c>
      <c r="AN99" s="1022" cm="1">
        <f t="array" ref="AN99">IFERROR(ROUNDUP(IF(HLOOKUP($U99,加算と減算!$E$4:$P$10,4,FALSE)="○",IF(OR($U99=2,$U99=3),
INDEX(単価表!$AY$72:$CC$79,MATCH($V99&amp;$W99,INDEX(単価表!$AY$64:$AY$71&amp;単価表!$AZ$64:$AZ$71,),),MATCH(内訳計算!AN$6,単価表!$AY$63:$CC$63,0)),
INDEX(単価表!$AY$72:$CC$79,MATCH($V99&amp;$W99,INDEX(単価表!$AY$64:$AY$71&amp;単価表!$AZ$64:$AZ$71,),),MATCH(内訳計算!AN$6,単価表!$AY$63:$CC$63,0))),0)*$Y99/25,0),0)</f>
        <v>0</v>
      </c>
      <c r="AO99" s="1022" cm="1">
        <f t="array" ref="AO99">IFERROR(ROUNDUP(IF(HLOOKUP($U99,加算と減算!$E$4:$P$10,4,FALSE)="○",IF(OR($U99=2,$U99=3),
INDEX(単価表!$AY$72:$CC$79,MATCH($V99&amp;$W99,INDEX(単価表!$AY$64:$AY$71&amp;単価表!$AZ$64:$AZ$71,),),MATCH(内訳計算!AO$6,単価表!$AY$63:$CC$63,0)),
INDEX(単価表!$AY$72:$CC$79,MATCH($V99&amp;$W99,INDEX(単価表!$AY$64:$AY$71&amp;単価表!$AZ$64:$AZ$71,),),MATCH(内訳計算!AO$6,単価表!$AY$63:$CC$63,0))),0)*$Y99/25,0),0)</f>
        <v>0</v>
      </c>
      <c r="AP99" s="1022" cm="1">
        <f t="array" ref="AP99">IFERROR(ROUNDUP(IF(HLOOKUP($U99,加算と減算!$E$4:$P$10,4,FALSE)="○",IF(OR($U99=2,$U99=3),
INDEX(単価表!$AY$72:$CC$79,MATCH($V99&amp;$W99,INDEX(単価表!$AY$64:$AY$71&amp;単価表!$AZ$64:$AZ$71,),),MATCH(内訳計算!AP$6,単価表!$AY$63:$CC$63,0)),
INDEX(単価表!$AY$72:$CC$79,MATCH($V99&amp;$W99,INDEX(単価表!$AY$64:$AY$71&amp;単価表!$AZ$64:$AZ$71,),),MATCH(内訳計算!AP$6,単価表!$AY$63:$CC$63,0))),0)*$Y99/25,0),0)</f>
        <v>0</v>
      </c>
      <c r="AQ99" s="1023" cm="1">
        <f t="array" ref="AQ99">IFERROR(ROUNDUP(IF(HLOOKUP($U99,加算と減算!$E$4:$P$10,4,FALSE)="○",IF(OR($U99=2,$U99=3),
INDEX(単価表!$AY$72:$CC$79,MATCH($V99&amp;$W99,INDEX(単価表!$AY$64:$AY$71&amp;単価表!$AZ$64:$AZ$71,),),MATCH(内訳計算!AQ$6,単価表!$AY$63:$CC$63,0)),
INDEX(単価表!$AY$72:$CC$79,MATCH($V99&amp;$W99,INDEX(単価表!$AY$64:$AY$71&amp;単価表!$AZ$64:$AZ$71,),),MATCH(内訳計算!AQ$6,単価表!$AY$63:$CC$63,0))),0)*$Y99/25,0),0)</f>
        <v>0</v>
      </c>
      <c r="AR99" s="1021" cm="1">
        <f t="array" ref="AR99">IFERROR(IF(HLOOKUP($U99,加算と減算!$E$4:$P$10,5,FALSE)="○",IF(OR($U99=2,$U99=3),
INDEX(単価表!$AY$72:$CC$79,MATCH($V99&amp;$W99,INDEX(単価表!$AY$64:$AY$71&amp;単価表!$AZ$64:$AZ$71,),),MATCH(内訳計算!AR$6,単価表!$AY$63:$CC$63,0)),
INDEX(単価表!$AY$72:$CC$79,MATCH($V99&amp;$W99,INDEX(単価表!$AY$64:$AY$71&amp;単価表!$AZ$64:$AZ$71,),),MATCH(内訳計算!AR$6,単価表!$AY$63:$CC$63,0))),0),0)</f>
        <v>0</v>
      </c>
      <c r="AS99" s="1023" cm="1">
        <f t="array" ref="AS99">IFERROR(ROUNDUP(IF(HLOOKUP($U99,加算と減算!$E$4:$P$10,5,FALSE)="○",IF(OR($U99=2,$U99=3),
INDEX(単価表!$AY$72:$CC$79,MATCH($V99&amp;$W99,INDEX(単価表!$AY$64:$AY$71&amp;単価表!$AZ$64:$AZ$71,),),MATCH(内訳計算!AS$6,単価表!$AY$63:$CC$63,0)),
INDEX(単価表!$AY$72:$CC$79,MATCH($V99&amp;$W99,INDEX(単価表!$AY$64:$AY$71&amp;単価表!$AZ$64:$AZ$71,),),MATCH(内訳計算!AS$6,単価表!$AY$63:$CC$63,0))),0)*$Y99/25,0),0)</f>
        <v>0</v>
      </c>
      <c r="AT99" s="1021" cm="1">
        <f t="array" ref="AT99">IFERROR(IF(HLOOKUP($U99,加算と減算!$E$4:$P$10,6,FALSE)="○",IF(OR($U99=2,$U99=3),
INDEX(単価表!$AY$72:$CC$79,MATCH($V99&amp;$W99,INDEX(単価表!$AY$64:$AY$71&amp;単価表!$AZ$64:$AZ$71,),),MATCH(内訳計算!AT$6,単価表!$AY$63:$CC$63,0)),
INDEX(単価表!$AY$72:$CC$79,MATCH($V99&amp;$W99,INDEX(単価表!$AY$64:$AY$71&amp;単価表!$AZ$64:$AZ$71,),),MATCH(内訳計算!AT$6,単価表!$AY$63:$CC$63,0))),0),0)</f>
        <v>0</v>
      </c>
      <c r="AU99" s="1023" cm="1">
        <f t="array" ref="AU99">IFERROR(ROUNDUP(IF(HLOOKUP($U99,加算と減算!$E$4:$P$10,6,FALSE)="○",IF(OR($U99=2,$U99=3),
INDEX(単価表!$AY$72:$CC$79,MATCH($V99&amp;$W99,INDEX(単価表!$AY$64:$AY$71&amp;単価表!$AZ$64:$AZ$71,),),MATCH(内訳計算!AU$6,単価表!$AY$63:$CC$63,0)),
INDEX(単価表!$AY$72:$CC$79,MATCH($V99&amp;$W99,INDEX(単価表!$AY$64:$AY$71&amp;単価表!$AZ$64:$AZ$71,),),MATCH(内訳計算!AU$6,単価表!$AY$63:$CC$63,0))),0)*$Y99/25,0),0)</f>
        <v>0</v>
      </c>
      <c r="AV99" s="1021" cm="1">
        <f t="array" ref="AV99">IFERROR(IF(HLOOKUP($U99,加算と減算!$E$4:$P$10,7,FALSE)="○",IF(OR($U99=2,$U99=3),
INDEX(単価表!$AY$72:$CC$79,MATCH($V99&amp;$W99,INDEX(単価表!$AY$64:$AY$71&amp;単価表!$AZ$64:$AZ$71,),),MATCH(内訳計算!AV$6,単価表!$AY$63:$CC$63,0)),
INDEX(単価表!$AY$72:$CC$79,MATCH($V99&amp;$W99,INDEX(単価表!$AY$64:$AY$71&amp;単価表!$AZ$64:$AZ$71,),),MATCH(内訳計算!AV$6,単価表!$AY$63:$CC$63,0))),0),0)</f>
        <v>0</v>
      </c>
      <c r="AW99" s="1022" cm="1">
        <f t="array" ref="AW99">IFERROR(ROUNDUP(IF(HLOOKUP($U99,加算と減算!$E$4:$P$10,7,FALSE)="○",IF(OR($U99=2,$U99=3),
INDEX(単価表!$AY$72:$CC$79,MATCH($V99&amp;$W99,INDEX(単価表!$AY$64:$AY$71&amp;単価表!$AZ$64:$AZ$71,),),MATCH(内訳計算!AW$6,単価表!$AY$63:$CC$63,0)),
INDEX(単価表!$AY$72:$CC$79,MATCH($V99&amp;$W99,INDEX(単価表!$AY$64:$AY$71&amp;単価表!$AZ$64:$AZ$71,),),MATCH(内訳計算!AW$6,単価表!$AY$63:$CC$63,0))),0)*$Y99/25,0),0)</f>
        <v>0</v>
      </c>
      <c r="AX99" s="1022" cm="1">
        <f t="array" ref="AX99">IFERROR(ROUNDUP(IF(HLOOKUP($U99,加算と減算!$E$4:$P$10,7,FALSE)="○",IF(OR($U99=2,$U99=3),
INDEX(単価表!$AY$72:$CC$79,MATCH($V99&amp;$W99,INDEX(単価表!$AY$64:$AY$71&amp;単価表!$AZ$64:$AZ$71,),),MATCH(内訳計算!AX$6,単価表!$AY$63:$CC$63,0)),
INDEX(単価表!$AY$72:$CC$79,MATCH($V99&amp;$W99,INDEX(単価表!$AY$64:$AY$71&amp;単価表!$AZ$64:$AZ$71,),),MATCH(内訳計算!AX$6,単価表!$AY$63:$CC$63,0))),0)*$Y99/25,0),0)</f>
        <v>0</v>
      </c>
      <c r="AY99" s="1023" cm="1">
        <f t="array" ref="AY99">IFERROR(ROUNDUP(IF(HLOOKUP($U99,加算と減算!$E$4:$P$10,7,FALSE)="○",IF(OR($U99=2,$U99=3),
INDEX(単価表!$AY$72:$CC$79,MATCH($V99&amp;$W99,INDEX(単価表!$AY$64:$AY$71&amp;単価表!$AZ$64:$AZ$71,),),MATCH(内訳計算!AY$6,単価表!$AY$63:$CC$63,0)),
INDEX(単価表!$AY$72:$CC$79,MATCH($V99&amp;$W99,INDEX(単価表!$AY$64:$AY$71&amp;単価表!$AZ$64:$AZ$71,),),MATCH(内訳計算!AY$6,単価表!$AY$63:$CC$63,0))),0)*$Y99/25,0),0)</f>
        <v>0</v>
      </c>
      <c r="AZ99" s="1021" cm="1">
        <f t="array" ref="AZ99">IFERROR(IF(X99="○",INDEX(単価表!$AY$72:$CC$79,MATCH($V99&amp;$W99,INDEX(単価表!$AY$64:$AY$71&amp;単価表!$AZ$64:$AZ$71,),),MATCH(内訳計算!AZ$6,単価表!$AY$63:$CC$63,0)),0),0)</f>
        <v>0</v>
      </c>
      <c r="BA99" s="1023" cm="1">
        <f t="array" ref="BA99">IFERROR(ROUNDUP(INDEX(単価表!$AY$72:$CC$79,MATCH($V99&amp;$W99,INDEX(単価表!$AY$64:$AY$71&amp;単価表!$AZ$64:$AZ$71,),),MATCH(内訳計算!BA$6,単価表!$AY$63:$CC$63,0))*$Y99/25,0),0)</f>
        <v>0</v>
      </c>
      <c r="BB99" s="1021" cm="1">
        <f t="array" ref="BB99">IFERROR(INDEX(単価表!$AY$72:$CC$79,MATCH($V99&amp;$W99,INDEX(単価表!$AY$64:$AY$71&amp;単価表!$AZ$64:$AZ$71,),),MATCH(内訳計算!BB$6,単価表!$AY$63:$CC$63,0)),0)</f>
        <v>0</v>
      </c>
      <c r="BC99" s="1023" cm="1">
        <f t="array" ref="BC99">IFERROR(ROUNDUP(INDEX(単価表!$AY$72:$CC$79,MATCH($V99&amp;$W99,INDEX(単価表!$AY$64:$AY$71&amp;単価表!$AZ$64:$AZ$71,),),MATCH(内訳計算!BC$6,単価表!$AY$63:$CC$63,0))*$Y99/25,0),0)</f>
        <v>0</v>
      </c>
      <c r="BD99" s="985">
        <f>IFERROR(IF(HLOOKUP($U99,加算と減算!$E$31:$P$32,2,FALSE)="○",IF(OR($U99=2,$U99=3),-(単価表!$AZ$23+単価表!$BA$23*基本情報!$G$7),-(単価表!$AZ$23+単価表!$BA$23*基本情報!$G$7)),0),0)</f>
        <v>0</v>
      </c>
      <c r="BE99" s="1007" t="e">
        <f t="shared" si="171"/>
        <v>#VALUE!</v>
      </c>
      <c r="BF99" s="1007" t="e">
        <f t="shared" si="172"/>
        <v>#VALUE!</v>
      </c>
      <c r="BG99" s="1030" t="e">
        <f t="shared" si="173"/>
        <v>#N/A</v>
      </c>
      <c r="BH99" s="1031">
        <f>IFERROR(IF(基本情報!$E$12&lt;&gt;"",-ROUNDDOWN((AA99+AE99+AH99+AL99)*基本情報!$H$13/100,-1),0),0)</f>
        <v>0</v>
      </c>
      <c r="BI99" s="1007" t="e">
        <f t="shared" si="174"/>
        <v>#VALUE!</v>
      </c>
      <c r="BJ99" s="1007" t="e">
        <f t="shared" si="175"/>
        <v>#VALUE!</v>
      </c>
      <c r="BK99" s="1008" t="e">
        <f t="shared" si="176"/>
        <v>#N/A</v>
      </c>
      <c r="BL99" s="1031">
        <f t="shared" si="185"/>
        <v>0</v>
      </c>
      <c r="BM99" s="1007" t="e">
        <f t="shared" si="177"/>
        <v>#VALUE!</v>
      </c>
      <c r="BN99" s="1007" t="e">
        <f t="shared" si="178"/>
        <v>#VALUE!</v>
      </c>
      <c r="BO99" s="1008" t="e">
        <f t="shared" si="179"/>
        <v>#N/A</v>
      </c>
      <c r="BP99" s="1006">
        <f>IFERROR(-ROUNDUP(SUM(AA99,AE99,AH99,AL99,AR99,AT99,AV99,BD99,BH99,BL99)*基本情報!$H$15/100,-1),0)</f>
        <v>0</v>
      </c>
      <c r="BQ99" s="1007" t="e">
        <f t="shared" si="180"/>
        <v>#VALUE!</v>
      </c>
      <c r="BR99" s="1007" t="e">
        <f t="shared" si="181"/>
        <v>#VALUE!</v>
      </c>
      <c r="BS99" s="1008" t="e">
        <f t="shared" si="182"/>
        <v>#N/A</v>
      </c>
      <c r="BU99" s="1043" t="e">
        <f t="shared" si="186"/>
        <v>#VALUE!</v>
      </c>
      <c r="BV99" s="1044" t="e">
        <f t="shared" si="187"/>
        <v>#VALUE!</v>
      </c>
      <c r="BW99" s="1044" t="e">
        <f t="shared" si="188"/>
        <v>#N/A</v>
      </c>
      <c r="BX99" s="1051">
        <f t="shared" si="189"/>
        <v>0</v>
      </c>
      <c r="BY99" s="1045">
        <f t="shared" si="190"/>
        <v>0</v>
      </c>
    </row>
    <row r="100" spans="1:77" ht="18.75" customHeight="1">
      <c r="A100" s="1640"/>
      <c r="B100" s="1570" t="s">
        <v>598</v>
      </c>
      <c r="C100" s="1571"/>
      <c r="D100" s="1571"/>
      <c r="E100" s="816">
        <f>E92*E73</f>
        <v>0</v>
      </c>
      <c r="F100" s="816">
        <f t="shared" ref="F100:P100" si="200">F92*F73</f>
        <v>0</v>
      </c>
      <c r="G100" s="816">
        <f t="shared" si="200"/>
        <v>0</v>
      </c>
      <c r="H100" s="816">
        <f t="shared" si="200"/>
        <v>0</v>
      </c>
      <c r="I100" s="816">
        <f t="shared" si="200"/>
        <v>0</v>
      </c>
      <c r="J100" s="816">
        <f t="shared" si="200"/>
        <v>0</v>
      </c>
      <c r="K100" s="816">
        <f t="shared" si="200"/>
        <v>0</v>
      </c>
      <c r="L100" s="816">
        <f t="shared" si="200"/>
        <v>0</v>
      </c>
      <c r="M100" s="816">
        <f t="shared" si="200"/>
        <v>0</v>
      </c>
      <c r="N100" s="816">
        <f t="shared" si="200"/>
        <v>0</v>
      </c>
      <c r="O100" s="816">
        <f t="shared" si="200"/>
        <v>0</v>
      </c>
      <c r="P100" s="827">
        <f t="shared" si="200"/>
        <v>0</v>
      </c>
      <c r="Q100" s="829">
        <f>SUM(E100:P100)</f>
        <v>0</v>
      </c>
      <c r="T100" s="682">
        <v>13</v>
      </c>
      <c r="U100" s="918">
        <f>月途中入退所情報!N43</f>
        <v>0</v>
      </c>
      <c r="V100" s="918">
        <f>月途中入退所情報!R43</f>
        <v>0</v>
      </c>
      <c r="W100" s="918">
        <f>月途中入退所情報!Q43</f>
        <v>0</v>
      </c>
      <c r="X100" s="945">
        <f>月途中入退所情報!S43</f>
        <v>0</v>
      </c>
      <c r="Y100" s="918">
        <f>月途中入退所情報!T43</f>
        <v>0</v>
      </c>
      <c r="Z100" s="993">
        <f t="shared" si="183"/>
        <v>0</v>
      </c>
      <c r="AA100" s="1021" cm="1">
        <f t="array" ref="AA100">IFERROR(IF(OR($U100=2,$U100=3),
INDEX(単価表!$AY$72:$CC$79,MATCH($V100&amp;$W100,INDEX(単価表!$AY$64:$AY$71&amp;単価表!$AZ$64:$AZ$71,),),MATCH(内訳計算!AA$6,単価表!$AY$63:$CC$63,0)),
INDEX(単価表!$AY$72:$CC$79,MATCH($V100&amp;$W100,INDEX(単価表!$AY$64:$AY$71&amp;単価表!$AZ$64:$AZ$71,),),MATCH(内訳計算!AA$6,単価表!$AY$63:$CC$63,0))),0)</f>
        <v>0</v>
      </c>
      <c r="AB100" s="1022" t="e">
        <f t="shared" si="184"/>
        <v>#VALUE!</v>
      </c>
      <c r="AC100" s="1022" cm="1">
        <f t="array" ref="AC100">IFERROR(ROUNDUP(IF(OR($U100=2,$U100=3),
INDEX(単価表!$AY$72:$CC$79,MATCH($V100&amp;$W100,INDEX(単価表!$AY$64:$AY$71&amp;単価表!$AZ$64:$AZ$71,),),MATCH(内訳計算!AC$6,単価表!$AY$63:$CC$63,0)),
INDEX(単価表!$AY$72:$CC$79,MATCH($V100&amp;$W100,INDEX(単価表!$AY$64:$AY$71&amp;単価表!$AZ$64:$AZ$71,),),MATCH(内訳計算!AC$6,単価表!$AY$63:$CC$63,0)))*$Y100/25,0),0)</f>
        <v>0</v>
      </c>
      <c r="AD100" s="1023" cm="1">
        <f t="array" ref="AD100">IFERROR(ROUNDUP(IF(OR($U100=2,$U100=3),
INDEX(単価表!$AY$72:$CC$79,MATCH($V100&amp;$W100,INDEX(単価表!$AY$64:$AY$71&amp;単価表!$AZ$64:$AZ$71,),),MATCH(内訳計算!AD$6,単価表!$AY$63:$CC$63,0)),
INDEX(単価表!$AY$72:$CC$79,MATCH($V100&amp;$W100,INDEX(単価表!$AY$64:$AY$71&amp;単価表!$AZ$64:$AZ$71,),),MATCH(内訳計算!AD$6,単価表!$AY$63:$CC$63,0)))*$Y100/25,0),0)</f>
        <v>0</v>
      </c>
      <c r="AE100" s="1021" cm="1">
        <f t="array" ref="AE100">IFERROR(IF(OR($U100=2,$U100=3),
INDEX(単価表!$AY$72:$CC$79,MATCH($V100&amp;$W100,INDEX(単価表!$AY$64:$AY$71&amp;単価表!$AZ$64:$AZ$71,),),MATCH(内訳計算!AE$6,単価表!$AY$63:$CC$63,0)),
INDEX(単価表!$AY$72:$CC$79,MATCH($V100&amp;$W100,INDEX(単価表!$AY$64:$AY$71&amp;単価表!$AZ$64:$AZ$71,),),MATCH(内訳計算!AE$6,単価表!$AY$63:$CC$63,0))),0)</f>
        <v>0</v>
      </c>
      <c r="AF100" s="1022" cm="1">
        <f t="array" ref="AF100">IFERROR(ROUNDUP(IF(OR($U100=2,$U100=3),
INDEX(単価表!$AY$72:$CC$79,MATCH($V100&amp;$W100,INDEX(単価表!$AY$64:$AY$71&amp;単価表!$AZ$64:$AZ$71,),),MATCH(内訳計算!AF$6,単価表!$AY$63:$CC$63,0)),
INDEX(単価表!$AY$72:$CC$79,MATCH($V100&amp;$W100,INDEX(単価表!$AY$64:$AY$71&amp;単価表!$AZ$64:$AZ$71,),),MATCH(内訳計算!AF$6,単価表!$AY$63:$CC$63,0)))*$Y100/25,0),0)</f>
        <v>0</v>
      </c>
      <c r="AG100" s="1023" cm="1">
        <f t="array" ref="AG100">IFERROR(ROUNDUP(IF(OR($U100=2,$U100=3),
INDEX(単価表!$AY$72:$CC$79,MATCH($V100&amp;$W100,INDEX(単価表!$AY$64:$AY$71&amp;単価表!$AZ$64:$AZ$71,),),MATCH(内訳計算!AG$6,単価表!$AY$63:$CC$63,0)),
INDEX(単価表!$AY$72:$CC$79,MATCH($V100&amp;$W100,INDEX(単価表!$AY$64:$AY$71&amp;単価表!$AZ$64:$AZ$71,),),MATCH(内訳計算!AG$6,単価表!$AY$63:$CC$63,0)))*$Y100/25,0),0)</f>
        <v>0</v>
      </c>
      <c r="AH100" s="1021" cm="1">
        <f t="array" ref="AH100">IFERROR(IF(HLOOKUP($U100,加算と減算!$E$4:$P$10,2,FALSE)="○",IF(OR($U100=2,$U100=3),
INDEX(単価表!$AY$72:$CC$79,MATCH($V100&amp;$W100,INDEX(単価表!$AY$64:$AY$71&amp;単価表!$AZ$64:$AZ$71,),),MATCH(内訳計算!AH$6,単価表!$AY$63:$CC$63,0)),
INDEX(単価表!$AY$72:$CC$79,MATCH($V100&amp;$W100,INDEX(単価表!$AY$64:$AY$71&amp;単価表!$AZ$64:$AZ$71,),),MATCH(内訳計算!AH$6,単価表!$AY$63:$CC$63,0))),0),0)</f>
        <v>0</v>
      </c>
      <c r="AI100" s="1024" cm="1">
        <f t="array" ref="AI100">IFERROR(ROUNDUP(IF(HLOOKUP($U100,加算と減算!$E$4:$P$10,2,FALSE)="○",IF(OR($U100=2,$U100=3),
INDEX(単価表!$AY$72:$CC$79,MATCH($V100&amp;$W100,INDEX(単価表!$AY$64:$AY$71&amp;単価表!$AZ$64:$AZ$71,),),MATCH(内訳計算!AI$6,単価表!$AY$63:$CC$63,0)),
INDEX(単価表!$AY$72:$CC$79,MATCH($V100&amp;$W100,INDEX(単価表!$AY$64:$AY$71&amp;単価表!$AZ$64:$AZ$71,),),MATCH(内訳計算!AI$6,単価表!$AY$63:$CC$63,0))),0)*$Y100/25,0),0)</f>
        <v>0</v>
      </c>
      <c r="AJ100" s="1022" cm="1">
        <f t="array" ref="AJ100">IFERROR(ROUNDUP(IF(HLOOKUP($U100,加算と減算!$E$4:$P$10,2,FALSE)="○",IF(OR($U100=2,$U100=3),
INDEX(単価表!$AY$72:$CC$79,MATCH($V100&amp;$W100,INDEX(単価表!$AY$64:$AY$71&amp;単価表!$AZ$64:$AZ$71,),),MATCH(内訳計算!AJ$6,単価表!$AY$63:$CC$63,0)),
INDEX(単価表!$AY$72:$CC$79,MATCH($V100&amp;$W100,INDEX(単価表!$AY$64:$AY$71&amp;単価表!$AZ$64:$AZ$71,),),MATCH(内訳計算!AJ$6,単価表!$AY$63:$CC$63,0))),0)*$Y100/25,0),0)</f>
        <v>0</v>
      </c>
      <c r="AK100" s="1023" cm="1">
        <f t="array" ref="AK100">IFERROR(ROUNDUP(IF(HLOOKUP($U100,加算と減算!$E$4:$P$10,2,FALSE)="○",IF(OR($U100=2,$U100=3),
INDEX(単価表!$AY$72:$CC$79,MATCH($V100&amp;$W100,INDEX(単価表!$AY$64:$AY$71&amp;単価表!$AZ$64:$AZ$71,),),MATCH(内訳計算!AK$6,単価表!$AY$63:$CC$63,0)),
INDEX(単価表!$AY$72:$CC$79,MATCH($V100&amp;$W100,INDEX(単価表!$AY$64:$AY$71&amp;単価表!$AZ$64:$AZ$71,),),MATCH(内訳計算!AK$6,単価表!$AY$63:$CC$63,0))),0)*$Y100/25,0),0)</f>
        <v>0</v>
      </c>
      <c r="AL100" s="1021" cm="1">
        <f t="array" ref="AL100">IFERROR(IF(HLOOKUP($U100,加算と減算!$E$4:$P$10,4,FALSE)="○",IF(OR($U100=2,$U100=3),
INDEX(単価表!$AY$72:$CC$79,MATCH($V100&amp;$W100,INDEX(単価表!$AY$64:$AY$71&amp;単価表!$AZ$64:$AZ$71,),),MATCH(内訳計算!AL$6,単価表!$AY$63:$CC$63,0)),
INDEX(単価表!$AY$72:$CC$79,MATCH($V100&amp;$W100,INDEX(単価表!$AY$64:$AY$71&amp;単価表!$AZ$64:$AZ$71,),),MATCH(内訳計算!AL$6,単価表!$AY$63:$CC$63,0))),0),0)</f>
        <v>0</v>
      </c>
      <c r="AM100" s="1022" cm="1">
        <f t="array" ref="AM100">IFERROR(ROUNDUP(IF(HLOOKUP($U100,加算と減算!$E$4:$P$10,4,FALSE)="○",IF(OR($U100=2,$U100=3),
INDEX(単価表!$AY$72:$CC$79,MATCH($V100&amp;$W100,INDEX(単価表!$AY$64:$AY$71&amp;単価表!$AZ$64:$AZ$71,),),MATCH(内訳計算!AM$6,単価表!$AY$63:$CC$63,0)),
INDEX(単価表!$AY$72:$CC$79,MATCH($V100&amp;$W100,INDEX(単価表!$AY$64:$AY$71&amp;単価表!$AZ$64:$AZ$71,),),MATCH(内訳計算!AM$6,単価表!$AY$63:$CC$63,0))),0)*$Y100/25,0),0)</f>
        <v>0</v>
      </c>
      <c r="AN100" s="1022" cm="1">
        <f t="array" ref="AN100">IFERROR(ROUNDUP(IF(HLOOKUP($U100,加算と減算!$E$4:$P$10,4,FALSE)="○",IF(OR($U100=2,$U100=3),
INDEX(単価表!$AY$72:$CC$79,MATCH($V100&amp;$W100,INDEX(単価表!$AY$64:$AY$71&amp;単価表!$AZ$64:$AZ$71,),),MATCH(内訳計算!AN$6,単価表!$AY$63:$CC$63,0)),
INDEX(単価表!$AY$72:$CC$79,MATCH($V100&amp;$W100,INDEX(単価表!$AY$64:$AY$71&amp;単価表!$AZ$64:$AZ$71,),),MATCH(内訳計算!AN$6,単価表!$AY$63:$CC$63,0))),0)*$Y100/25,0),0)</f>
        <v>0</v>
      </c>
      <c r="AO100" s="1022" cm="1">
        <f t="array" ref="AO100">IFERROR(ROUNDUP(IF(HLOOKUP($U100,加算と減算!$E$4:$P$10,4,FALSE)="○",IF(OR($U100=2,$U100=3),
INDEX(単価表!$AY$72:$CC$79,MATCH($V100&amp;$W100,INDEX(単価表!$AY$64:$AY$71&amp;単価表!$AZ$64:$AZ$71,),),MATCH(内訳計算!AO$6,単価表!$AY$63:$CC$63,0)),
INDEX(単価表!$AY$72:$CC$79,MATCH($V100&amp;$W100,INDEX(単価表!$AY$64:$AY$71&amp;単価表!$AZ$64:$AZ$71,),),MATCH(内訳計算!AO$6,単価表!$AY$63:$CC$63,0))),0)*$Y100/25,0),0)</f>
        <v>0</v>
      </c>
      <c r="AP100" s="1022" cm="1">
        <f t="array" ref="AP100">IFERROR(ROUNDUP(IF(HLOOKUP($U100,加算と減算!$E$4:$P$10,4,FALSE)="○",IF(OR($U100=2,$U100=3),
INDEX(単価表!$AY$72:$CC$79,MATCH($V100&amp;$W100,INDEX(単価表!$AY$64:$AY$71&amp;単価表!$AZ$64:$AZ$71,),),MATCH(内訳計算!AP$6,単価表!$AY$63:$CC$63,0)),
INDEX(単価表!$AY$72:$CC$79,MATCH($V100&amp;$W100,INDEX(単価表!$AY$64:$AY$71&amp;単価表!$AZ$64:$AZ$71,),),MATCH(内訳計算!AP$6,単価表!$AY$63:$CC$63,0))),0)*$Y100/25,0),0)</f>
        <v>0</v>
      </c>
      <c r="AQ100" s="1023" cm="1">
        <f t="array" ref="AQ100">IFERROR(ROUNDUP(IF(HLOOKUP($U100,加算と減算!$E$4:$P$10,4,FALSE)="○",IF(OR($U100=2,$U100=3),
INDEX(単価表!$AY$72:$CC$79,MATCH($V100&amp;$W100,INDEX(単価表!$AY$64:$AY$71&amp;単価表!$AZ$64:$AZ$71,),),MATCH(内訳計算!AQ$6,単価表!$AY$63:$CC$63,0)),
INDEX(単価表!$AY$72:$CC$79,MATCH($V100&amp;$W100,INDEX(単価表!$AY$64:$AY$71&amp;単価表!$AZ$64:$AZ$71,),),MATCH(内訳計算!AQ$6,単価表!$AY$63:$CC$63,0))),0)*$Y100/25,0),0)</f>
        <v>0</v>
      </c>
      <c r="AR100" s="1021" cm="1">
        <f t="array" ref="AR100">IFERROR(IF(HLOOKUP($U100,加算と減算!$E$4:$P$10,5,FALSE)="○",IF(OR($U100=2,$U100=3),
INDEX(単価表!$AY$72:$CC$79,MATCH($V100&amp;$W100,INDEX(単価表!$AY$64:$AY$71&amp;単価表!$AZ$64:$AZ$71,),),MATCH(内訳計算!AR$6,単価表!$AY$63:$CC$63,0)),
INDEX(単価表!$AY$72:$CC$79,MATCH($V100&amp;$W100,INDEX(単価表!$AY$64:$AY$71&amp;単価表!$AZ$64:$AZ$71,),),MATCH(内訳計算!AR$6,単価表!$AY$63:$CC$63,0))),0),0)</f>
        <v>0</v>
      </c>
      <c r="AS100" s="1023" cm="1">
        <f t="array" ref="AS100">IFERROR(ROUNDUP(IF(HLOOKUP($U100,加算と減算!$E$4:$P$10,5,FALSE)="○",IF(OR($U100=2,$U100=3),
INDEX(単価表!$AY$72:$CC$79,MATCH($V100&amp;$W100,INDEX(単価表!$AY$64:$AY$71&amp;単価表!$AZ$64:$AZ$71,),),MATCH(内訳計算!AS$6,単価表!$AY$63:$CC$63,0)),
INDEX(単価表!$AY$72:$CC$79,MATCH($V100&amp;$W100,INDEX(単価表!$AY$64:$AY$71&amp;単価表!$AZ$64:$AZ$71,),),MATCH(内訳計算!AS$6,単価表!$AY$63:$CC$63,0))),0)*$Y100/25,0),0)</f>
        <v>0</v>
      </c>
      <c r="AT100" s="1021" cm="1">
        <f t="array" ref="AT100">IFERROR(IF(HLOOKUP($U100,加算と減算!$E$4:$P$10,6,FALSE)="○",IF(OR($U100=2,$U100=3),
INDEX(単価表!$AY$72:$CC$79,MATCH($V100&amp;$W100,INDEX(単価表!$AY$64:$AY$71&amp;単価表!$AZ$64:$AZ$71,),),MATCH(内訳計算!AT$6,単価表!$AY$63:$CC$63,0)),
INDEX(単価表!$AY$72:$CC$79,MATCH($V100&amp;$W100,INDEX(単価表!$AY$64:$AY$71&amp;単価表!$AZ$64:$AZ$71,),),MATCH(内訳計算!AT$6,単価表!$AY$63:$CC$63,0))),0),0)</f>
        <v>0</v>
      </c>
      <c r="AU100" s="1023" cm="1">
        <f t="array" ref="AU100">IFERROR(ROUNDUP(IF(HLOOKUP($U100,加算と減算!$E$4:$P$10,6,FALSE)="○",IF(OR($U100=2,$U100=3),
INDEX(単価表!$AY$72:$CC$79,MATCH($V100&amp;$W100,INDEX(単価表!$AY$64:$AY$71&amp;単価表!$AZ$64:$AZ$71,),),MATCH(内訳計算!AU$6,単価表!$AY$63:$CC$63,0)),
INDEX(単価表!$AY$72:$CC$79,MATCH($V100&amp;$W100,INDEX(単価表!$AY$64:$AY$71&amp;単価表!$AZ$64:$AZ$71,),),MATCH(内訳計算!AU$6,単価表!$AY$63:$CC$63,0))),0)*$Y100/25,0),0)</f>
        <v>0</v>
      </c>
      <c r="AV100" s="1021" cm="1">
        <f t="array" ref="AV100">IFERROR(IF(HLOOKUP($U100,加算と減算!$E$4:$P$10,7,FALSE)="○",IF(OR($U100=2,$U100=3),
INDEX(単価表!$AY$72:$CC$79,MATCH($V100&amp;$W100,INDEX(単価表!$AY$64:$AY$71&amp;単価表!$AZ$64:$AZ$71,),),MATCH(内訳計算!AV$6,単価表!$AY$63:$CC$63,0)),
INDEX(単価表!$AY$72:$CC$79,MATCH($V100&amp;$W100,INDEX(単価表!$AY$64:$AY$71&amp;単価表!$AZ$64:$AZ$71,),),MATCH(内訳計算!AV$6,単価表!$AY$63:$CC$63,0))),0),0)</f>
        <v>0</v>
      </c>
      <c r="AW100" s="1022" cm="1">
        <f t="array" ref="AW100">IFERROR(ROUNDUP(IF(HLOOKUP($U100,加算と減算!$E$4:$P$10,7,FALSE)="○",IF(OR($U100=2,$U100=3),
INDEX(単価表!$AY$72:$CC$79,MATCH($V100&amp;$W100,INDEX(単価表!$AY$64:$AY$71&amp;単価表!$AZ$64:$AZ$71,),),MATCH(内訳計算!AW$6,単価表!$AY$63:$CC$63,0)),
INDEX(単価表!$AY$72:$CC$79,MATCH($V100&amp;$W100,INDEX(単価表!$AY$64:$AY$71&amp;単価表!$AZ$64:$AZ$71,),),MATCH(内訳計算!AW$6,単価表!$AY$63:$CC$63,0))),0)*$Y100/25,0),0)</f>
        <v>0</v>
      </c>
      <c r="AX100" s="1022" cm="1">
        <f t="array" ref="AX100">IFERROR(ROUNDUP(IF(HLOOKUP($U100,加算と減算!$E$4:$P$10,7,FALSE)="○",IF(OR($U100=2,$U100=3),
INDEX(単価表!$AY$72:$CC$79,MATCH($V100&amp;$W100,INDEX(単価表!$AY$64:$AY$71&amp;単価表!$AZ$64:$AZ$71,),),MATCH(内訳計算!AX$6,単価表!$AY$63:$CC$63,0)),
INDEX(単価表!$AY$72:$CC$79,MATCH($V100&amp;$W100,INDEX(単価表!$AY$64:$AY$71&amp;単価表!$AZ$64:$AZ$71,),),MATCH(内訳計算!AX$6,単価表!$AY$63:$CC$63,0))),0)*$Y100/25,0),0)</f>
        <v>0</v>
      </c>
      <c r="AY100" s="1023" cm="1">
        <f t="array" ref="AY100">IFERROR(ROUNDUP(IF(HLOOKUP($U100,加算と減算!$E$4:$P$10,7,FALSE)="○",IF(OR($U100=2,$U100=3),
INDEX(単価表!$AY$72:$CC$79,MATCH($V100&amp;$W100,INDEX(単価表!$AY$64:$AY$71&amp;単価表!$AZ$64:$AZ$71,),),MATCH(内訳計算!AY$6,単価表!$AY$63:$CC$63,0)),
INDEX(単価表!$AY$72:$CC$79,MATCH($V100&amp;$W100,INDEX(単価表!$AY$64:$AY$71&amp;単価表!$AZ$64:$AZ$71,),),MATCH(内訳計算!AY$6,単価表!$AY$63:$CC$63,0))),0)*$Y100/25,0),0)</f>
        <v>0</v>
      </c>
      <c r="AZ100" s="1021" cm="1">
        <f t="array" ref="AZ100">IFERROR(IF(X100="○",INDEX(単価表!$AY$72:$CC$79,MATCH($V100&amp;$W100,INDEX(単価表!$AY$64:$AY$71&amp;単価表!$AZ$64:$AZ$71,),),MATCH(内訳計算!AZ$6,単価表!$AY$63:$CC$63,0)),0),0)</f>
        <v>0</v>
      </c>
      <c r="BA100" s="1023" cm="1">
        <f t="array" ref="BA100">IFERROR(ROUNDUP(INDEX(単価表!$AY$72:$CC$79,MATCH($V100&amp;$W100,INDEX(単価表!$AY$64:$AY$71&amp;単価表!$AZ$64:$AZ$71,),),MATCH(内訳計算!BA$6,単価表!$AY$63:$CC$63,0))*$Y100/25,0),0)</f>
        <v>0</v>
      </c>
      <c r="BB100" s="1021" cm="1">
        <f t="array" ref="BB100">IFERROR(INDEX(単価表!$AY$72:$CC$79,MATCH($V100&amp;$W100,INDEX(単価表!$AY$64:$AY$71&amp;単価表!$AZ$64:$AZ$71,),),MATCH(内訳計算!BB$6,単価表!$AY$63:$CC$63,0)),0)</f>
        <v>0</v>
      </c>
      <c r="BC100" s="1023" cm="1">
        <f t="array" ref="BC100">IFERROR(ROUNDUP(INDEX(単価表!$AY$72:$CC$79,MATCH($V100&amp;$W100,INDEX(単価表!$AY$64:$AY$71&amp;単価表!$AZ$64:$AZ$71,),),MATCH(内訳計算!BC$6,単価表!$AY$63:$CC$63,0))*$Y100/25,0),0)</f>
        <v>0</v>
      </c>
      <c r="BD100" s="985">
        <f>IFERROR(IF(HLOOKUP($U100,加算と減算!$E$31:$P$32,2,FALSE)="○",IF(OR($U100=2,$U100=3),-(単価表!$AZ$23+単価表!$BA$23*基本情報!$G$7),-(単価表!$AZ$23+単価表!$BA$23*基本情報!$G$7)),0),0)</f>
        <v>0</v>
      </c>
      <c r="BE100" s="1007" t="e">
        <f t="shared" si="171"/>
        <v>#VALUE!</v>
      </c>
      <c r="BF100" s="1007" t="e">
        <f t="shared" si="172"/>
        <v>#VALUE!</v>
      </c>
      <c r="BG100" s="1030" t="e">
        <f t="shared" si="173"/>
        <v>#N/A</v>
      </c>
      <c r="BH100" s="1031">
        <f>IFERROR(IF(基本情報!$E$12&lt;&gt;"",-ROUNDDOWN((AA100+AE100+AH100+AL100)*基本情報!$H$13/100,-1),0),0)</f>
        <v>0</v>
      </c>
      <c r="BI100" s="1007" t="e">
        <f t="shared" si="174"/>
        <v>#VALUE!</v>
      </c>
      <c r="BJ100" s="1007" t="e">
        <f t="shared" si="175"/>
        <v>#VALUE!</v>
      </c>
      <c r="BK100" s="1008" t="e">
        <f t="shared" si="176"/>
        <v>#N/A</v>
      </c>
      <c r="BL100" s="1031">
        <f t="shared" si="185"/>
        <v>0</v>
      </c>
      <c r="BM100" s="1007" t="e">
        <f t="shared" si="177"/>
        <v>#VALUE!</v>
      </c>
      <c r="BN100" s="1007" t="e">
        <f t="shared" si="178"/>
        <v>#VALUE!</v>
      </c>
      <c r="BO100" s="1008" t="e">
        <f t="shared" si="179"/>
        <v>#N/A</v>
      </c>
      <c r="BP100" s="1006">
        <f>IFERROR(-ROUNDUP(SUM(AA100,AE100,AH100,AL100,AR100,AT100,AV100,BD100,BH100,BL100)*基本情報!$H$15/100,-1),0)</f>
        <v>0</v>
      </c>
      <c r="BQ100" s="1007" t="e">
        <f t="shared" si="180"/>
        <v>#VALUE!</v>
      </c>
      <c r="BR100" s="1007" t="e">
        <f t="shared" si="181"/>
        <v>#VALUE!</v>
      </c>
      <c r="BS100" s="1008" t="e">
        <f t="shared" si="182"/>
        <v>#N/A</v>
      </c>
      <c r="BU100" s="1043" t="e">
        <f t="shared" si="186"/>
        <v>#VALUE!</v>
      </c>
      <c r="BV100" s="1044" t="e">
        <f t="shared" si="187"/>
        <v>#VALUE!</v>
      </c>
      <c r="BW100" s="1044" t="e">
        <f t="shared" si="188"/>
        <v>#N/A</v>
      </c>
      <c r="BX100" s="1051">
        <f t="shared" si="189"/>
        <v>0</v>
      </c>
      <c r="BY100" s="1045">
        <f t="shared" si="190"/>
        <v>0</v>
      </c>
    </row>
    <row r="101" spans="1:77" ht="18.75" customHeight="1">
      <c r="A101" s="1640"/>
      <c r="B101" s="1566" t="s">
        <v>599</v>
      </c>
      <c r="C101" s="1567"/>
      <c r="D101" s="1567"/>
      <c r="E101" s="816" t="e">
        <f>E93*E73</f>
        <v>#DIV/0!</v>
      </c>
      <c r="F101" s="816" t="e">
        <f t="shared" ref="F101:P101" si="201">F93*F73</f>
        <v>#DIV/0!</v>
      </c>
      <c r="G101" s="816" t="e">
        <f t="shared" si="201"/>
        <v>#DIV/0!</v>
      </c>
      <c r="H101" s="816" t="e">
        <f t="shared" si="201"/>
        <v>#DIV/0!</v>
      </c>
      <c r="I101" s="816" t="e">
        <f t="shared" si="201"/>
        <v>#DIV/0!</v>
      </c>
      <c r="J101" s="816" t="e">
        <f t="shared" si="201"/>
        <v>#DIV/0!</v>
      </c>
      <c r="K101" s="816" t="e">
        <f t="shared" si="201"/>
        <v>#DIV/0!</v>
      </c>
      <c r="L101" s="816" t="e">
        <f t="shared" si="201"/>
        <v>#DIV/0!</v>
      </c>
      <c r="M101" s="816" t="e">
        <f t="shared" si="201"/>
        <v>#DIV/0!</v>
      </c>
      <c r="N101" s="816" t="e">
        <f t="shared" si="201"/>
        <v>#DIV/0!</v>
      </c>
      <c r="O101" s="816" t="e">
        <f t="shared" si="201"/>
        <v>#DIV/0!</v>
      </c>
      <c r="P101" s="827" t="e">
        <f t="shared" si="201"/>
        <v>#DIV/0!</v>
      </c>
      <c r="Q101" s="829" t="e">
        <f t="shared" si="199"/>
        <v>#DIV/0!</v>
      </c>
      <c r="T101" s="682">
        <v>14</v>
      </c>
      <c r="U101" s="918">
        <f>月途中入退所情報!N44</f>
        <v>0</v>
      </c>
      <c r="V101" s="918">
        <f>月途中入退所情報!R44</f>
        <v>0</v>
      </c>
      <c r="W101" s="918">
        <f>月途中入退所情報!Q44</f>
        <v>0</v>
      </c>
      <c r="X101" s="945">
        <f>月途中入退所情報!S44</f>
        <v>0</v>
      </c>
      <c r="Y101" s="918">
        <f>月途中入退所情報!T44</f>
        <v>0</v>
      </c>
      <c r="Z101" s="840">
        <f t="shared" si="183"/>
        <v>0</v>
      </c>
      <c r="AA101" s="1021" cm="1">
        <f t="array" ref="AA101">IFERROR(IF(OR($U101=2,$U101=3),
INDEX(単価表!$AY$72:$CC$79,MATCH($V101&amp;$W101,INDEX(単価表!$AY$64:$AY$71&amp;単価表!$AZ$64:$AZ$71,),),MATCH(内訳計算!AA$6,単価表!$AY$63:$CC$63,0)),
INDEX(単価表!$AY$72:$CC$79,MATCH($V101&amp;$W101,INDEX(単価表!$AY$64:$AY$71&amp;単価表!$AZ$64:$AZ$71,),),MATCH(内訳計算!AA$6,単価表!$AY$63:$CC$63,0))),0)</f>
        <v>0</v>
      </c>
      <c r="AB101" s="1022" t="e">
        <f t="shared" si="184"/>
        <v>#VALUE!</v>
      </c>
      <c r="AC101" s="1022" cm="1">
        <f t="array" ref="AC101">IFERROR(ROUNDUP(IF(OR($U101=2,$U101=3),
INDEX(単価表!$AY$72:$CC$79,MATCH($V101&amp;$W101,INDEX(単価表!$AY$64:$AY$71&amp;単価表!$AZ$64:$AZ$71,),),MATCH(内訳計算!AC$6,単価表!$AY$63:$CC$63,0)),
INDEX(単価表!$AY$72:$CC$79,MATCH($V101&amp;$W101,INDEX(単価表!$AY$64:$AY$71&amp;単価表!$AZ$64:$AZ$71,),),MATCH(内訳計算!AC$6,単価表!$AY$63:$CC$63,0)))*$Y101/25,0),0)</f>
        <v>0</v>
      </c>
      <c r="AD101" s="1023" cm="1">
        <f t="array" ref="AD101">IFERROR(ROUNDUP(IF(OR($U101=2,$U101=3),
INDEX(単価表!$AY$72:$CC$79,MATCH($V101&amp;$W101,INDEX(単価表!$AY$64:$AY$71&amp;単価表!$AZ$64:$AZ$71,),),MATCH(内訳計算!AD$6,単価表!$AY$63:$CC$63,0)),
INDEX(単価表!$AY$72:$CC$79,MATCH($V101&amp;$W101,INDEX(単価表!$AY$64:$AY$71&amp;単価表!$AZ$64:$AZ$71,),),MATCH(内訳計算!AD$6,単価表!$AY$63:$CC$63,0)))*$Y101/25,0),0)</f>
        <v>0</v>
      </c>
      <c r="AE101" s="1021" cm="1">
        <f t="array" ref="AE101">IFERROR(IF(OR($U101=2,$U101=3),
INDEX(単価表!$AY$72:$CC$79,MATCH($V101&amp;$W101,INDEX(単価表!$AY$64:$AY$71&amp;単価表!$AZ$64:$AZ$71,),),MATCH(内訳計算!AE$6,単価表!$AY$63:$CC$63,0)),
INDEX(単価表!$AY$72:$CC$79,MATCH($V101&amp;$W101,INDEX(単価表!$AY$64:$AY$71&amp;単価表!$AZ$64:$AZ$71,),),MATCH(内訳計算!AE$6,単価表!$AY$63:$CC$63,0))),0)</f>
        <v>0</v>
      </c>
      <c r="AF101" s="1022" cm="1">
        <f t="array" ref="AF101">IFERROR(ROUNDUP(IF(OR($U101=2,$U101=3),
INDEX(単価表!$AY$72:$CC$79,MATCH($V101&amp;$W101,INDEX(単価表!$AY$64:$AY$71&amp;単価表!$AZ$64:$AZ$71,),),MATCH(内訳計算!AF$6,単価表!$AY$63:$CC$63,0)),
INDEX(単価表!$AY$72:$CC$79,MATCH($V101&amp;$W101,INDEX(単価表!$AY$64:$AY$71&amp;単価表!$AZ$64:$AZ$71,),),MATCH(内訳計算!AF$6,単価表!$AY$63:$CC$63,0)))*$Y101/25,0),0)</f>
        <v>0</v>
      </c>
      <c r="AG101" s="1023" cm="1">
        <f t="array" ref="AG101">IFERROR(ROUNDUP(IF(OR($U101=2,$U101=3),
INDEX(単価表!$AY$72:$CC$79,MATCH($V101&amp;$W101,INDEX(単価表!$AY$64:$AY$71&amp;単価表!$AZ$64:$AZ$71,),),MATCH(内訳計算!AG$6,単価表!$AY$63:$CC$63,0)),
INDEX(単価表!$AY$72:$CC$79,MATCH($V101&amp;$W101,INDEX(単価表!$AY$64:$AY$71&amp;単価表!$AZ$64:$AZ$71,),),MATCH(内訳計算!AG$6,単価表!$AY$63:$CC$63,0)))*$Y101/25,0),0)</f>
        <v>0</v>
      </c>
      <c r="AH101" s="1021" cm="1">
        <f t="array" ref="AH101">IFERROR(IF(HLOOKUP($U101,加算と減算!$E$4:$P$10,2,FALSE)="○",IF(OR($U101=2,$U101=3),
INDEX(単価表!$AY$72:$CC$79,MATCH($V101&amp;$W101,INDEX(単価表!$AY$64:$AY$71&amp;単価表!$AZ$64:$AZ$71,),),MATCH(内訳計算!AH$6,単価表!$AY$63:$CC$63,0)),
INDEX(単価表!$AY$72:$CC$79,MATCH($V101&amp;$W101,INDEX(単価表!$AY$64:$AY$71&amp;単価表!$AZ$64:$AZ$71,),),MATCH(内訳計算!AH$6,単価表!$AY$63:$CC$63,0))),0),0)</f>
        <v>0</v>
      </c>
      <c r="AI101" s="1024" cm="1">
        <f t="array" ref="AI101">IFERROR(ROUNDUP(IF(HLOOKUP($U101,加算と減算!$E$4:$P$10,2,FALSE)="○",IF(OR($U101=2,$U101=3),
INDEX(単価表!$AY$72:$CC$79,MATCH($V101&amp;$W101,INDEX(単価表!$AY$64:$AY$71&amp;単価表!$AZ$64:$AZ$71,),),MATCH(内訳計算!AI$6,単価表!$AY$63:$CC$63,0)),
INDEX(単価表!$AY$72:$CC$79,MATCH($V101&amp;$W101,INDEX(単価表!$AY$64:$AY$71&amp;単価表!$AZ$64:$AZ$71,),),MATCH(内訳計算!AI$6,単価表!$AY$63:$CC$63,0))),0)*$Y101/25,0),0)</f>
        <v>0</v>
      </c>
      <c r="AJ101" s="1022" cm="1">
        <f t="array" ref="AJ101">IFERROR(ROUNDUP(IF(HLOOKUP($U101,加算と減算!$E$4:$P$10,2,FALSE)="○",IF(OR($U101=2,$U101=3),
INDEX(単価表!$AY$72:$CC$79,MATCH($V101&amp;$W101,INDEX(単価表!$AY$64:$AY$71&amp;単価表!$AZ$64:$AZ$71,),),MATCH(内訳計算!AJ$6,単価表!$AY$63:$CC$63,0)),
INDEX(単価表!$AY$72:$CC$79,MATCH($V101&amp;$W101,INDEX(単価表!$AY$64:$AY$71&amp;単価表!$AZ$64:$AZ$71,),),MATCH(内訳計算!AJ$6,単価表!$AY$63:$CC$63,0))),0)*$Y101/25,0),0)</f>
        <v>0</v>
      </c>
      <c r="AK101" s="1023" cm="1">
        <f t="array" ref="AK101">IFERROR(ROUNDUP(IF(HLOOKUP($U101,加算と減算!$E$4:$P$10,2,FALSE)="○",IF(OR($U101=2,$U101=3),
INDEX(単価表!$AY$72:$CC$79,MATCH($V101&amp;$W101,INDEX(単価表!$AY$64:$AY$71&amp;単価表!$AZ$64:$AZ$71,),),MATCH(内訳計算!AK$6,単価表!$AY$63:$CC$63,0)),
INDEX(単価表!$AY$72:$CC$79,MATCH($V101&amp;$W101,INDEX(単価表!$AY$64:$AY$71&amp;単価表!$AZ$64:$AZ$71,),),MATCH(内訳計算!AK$6,単価表!$AY$63:$CC$63,0))),0)*$Y101/25,0),0)</f>
        <v>0</v>
      </c>
      <c r="AL101" s="1021" cm="1">
        <f t="array" ref="AL101">IFERROR(IF(HLOOKUP($U101,加算と減算!$E$4:$P$10,4,FALSE)="○",IF(OR($U101=2,$U101=3),
INDEX(単価表!$AY$72:$CC$79,MATCH($V101&amp;$W101,INDEX(単価表!$AY$64:$AY$71&amp;単価表!$AZ$64:$AZ$71,),),MATCH(内訳計算!AL$6,単価表!$AY$63:$CC$63,0)),
INDEX(単価表!$AY$72:$CC$79,MATCH($V101&amp;$W101,INDEX(単価表!$AY$64:$AY$71&amp;単価表!$AZ$64:$AZ$71,),),MATCH(内訳計算!AL$6,単価表!$AY$63:$CC$63,0))),0),0)</f>
        <v>0</v>
      </c>
      <c r="AM101" s="1022" cm="1">
        <f t="array" ref="AM101">IFERROR(ROUNDUP(IF(HLOOKUP($U101,加算と減算!$E$4:$P$10,4,FALSE)="○",IF(OR($U101=2,$U101=3),
INDEX(単価表!$AY$72:$CC$79,MATCH($V101&amp;$W101,INDEX(単価表!$AY$64:$AY$71&amp;単価表!$AZ$64:$AZ$71,),),MATCH(内訳計算!AM$6,単価表!$AY$63:$CC$63,0)),
INDEX(単価表!$AY$72:$CC$79,MATCH($V101&amp;$W101,INDEX(単価表!$AY$64:$AY$71&amp;単価表!$AZ$64:$AZ$71,),),MATCH(内訳計算!AM$6,単価表!$AY$63:$CC$63,0))),0)*$Y101/25,0),0)</f>
        <v>0</v>
      </c>
      <c r="AN101" s="1022" cm="1">
        <f t="array" ref="AN101">IFERROR(ROUNDUP(IF(HLOOKUP($U101,加算と減算!$E$4:$P$10,4,FALSE)="○",IF(OR($U101=2,$U101=3),
INDEX(単価表!$AY$72:$CC$79,MATCH($V101&amp;$W101,INDEX(単価表!$AY$64:$AY$71&amp;単価表!$AZ$64:$AZ$71,),),MATCH(内訳計算!AN$6,単価表!$AY$63:$CC$63,0)),
INDEX(単価表!$AY$72:$CC$79,MATCH($V101&amp;$W101,INDEX(単価表!$AY$64:$AY$71&amp;単価表!$AZ$64:$AZ$71,),),MATCH(内訳計算!AN$6,単価表!$AY$63:$CC$63,0))),0)*$Y101/25,0),0)</f>
        <v>0</v>
      </c>
      <c r="AO101" s="1022" cm="1">
        <f t="array" ref="AO101">IFERROR(ROUNDUP(IF(HLOOKUP($U101,加算と減算!$E$4:$P$10,4,FALSE)="○",IF(OR($U101=2,$U101=3),
INDEX(単価表!$AY$72:$CC$79,MATCH($V101&amp;$W101,INDEX(単価表!$AY$64:$AY$71&amp;単価表!$AZ$64:$AZ$71,),),MATCH(内訳計算!AO$6,単価表!$AY$63:$CC$63,0)),
INDEX(単価表!$AY$72:$CC$79,MATCH($V101&amp;$W101,INDEX(単価表!$AY$64:$AY$71&amp;単価表!$AZ$64:$AZ$71,),),MATCH(内訳計算!AO$6,単価表!$AY$63:$CC$63,0))),0)*$Y101/25,0),0)</f>
        <v>0</v>
      </c>
      <c r="AP101" s="1022" cm="1">
        <f t="array" ref="AP101">IFERROR(ROUNDUP(IF(HLOOKUP($U101,加算と減算!$E$4:$P$10,4,FALSE)="○",IF(OR($U101=2,$U101=3),
INDEX(単価表!$AY$72:$CC$79,MATCH($V101&amp;$W101,INDEX(単価表!$AY$64:$AY$71&amp;単価表!$AZ$64:$AZ$71,),),MATCH(内訳計算!AP$6,単価表!$AY$63:$CC$63,0)),
INDEX(単価表!$AY$72:$CC$79,MATCH($V101&amp;$W101,INDEX(単価表!$AY$64:$AY$71&amp;単価表!$AZ$64:$AZ$71,),),MATCH(内訳計算!AP$6,単価表!$AY$63:$CC$63,0))),0)*$Y101/25,0),0)</f>
        <v>0</v>
      </c>
      <c r="AQ101" s="1023" cm="1">
        <f t="array" ref="AQ101">IFERROR(ROUNDUP(IF(HLOOKUP($U101,加算と減算!$E$4:$P$10,4,FALSE)="○",IF(OR($U101=2,$U101=3),
INDEX(単価表!$AY$72:$CC$79,MATCH($V101&amp;$W101,INDEX(単価表!$AY$64:$AY$71&amp;単価表!$AZ$64:$AZ$71,),),MATCH(内訳計算!AQ$6,単価表!$AY$63:$CC$63,0)),
INDEX(単価表!$AY$72:$CC$79,MATCH($V101&amp;$W101,INDEX(単価表!$AY$64:$AY$71&amp;単価表!$AZ$64:$AZ$71,),),MATCH(内訳計算!AQ$6,単価表!$AY$63:$CC$63,0))),0)*$Y101/25,0),0)</f>
        <v>0</v>
      </c>
      <c r="AR101" s="1021" cm="1">
        <f t="array" ref="AR101">IFERROR(IF(HLOOKUP($U101,加算と減算!$E$4:$P$10,5,FALSE)="○",IF(OR($U101=2,$U101=3),
INDEX(単価表!$AY$72:$CC$79,MATCH($V101&amp;$W101,INDEX(単価表!$AY$64:$AY$71&amp;単価表!$AZ$64:$AZ$71,),),MATCH(内訳計算!AR$6,単価表!$AY$63:$CC$63,0)),
INDEX(単価表!$AY$72:$CC$79,MATCH($V101&amp;$W101,INDEX(単価表!$AY$64:$AY$71&amp;単価表!$AZ$64:$AZ$71,),),MATCH(内訳計算!AR$6,単価表!$AY$63:$CC$63,0))),0),0)</f>
        <v>0</v>
      </c>
      <c r="AS101" s="1023" cm="1">
        <f t="array" ref="AS101">IFERROR(ROUNDUP(IF(HLOOKUP($U101,加算と減算!$E$4:$P$10,5,FALSE)="○",IF(OR($U101=2,$U101=3),
INDEX(単価表!$AY$72:$CC$79,MATCH($V101&amp;$W101,INDEX(単価表!$AY$64:$AY$71&amp;単価表!$AZ$64:$AZ$71,),),MATCH(内訳計算!AS$6,単価表!$AY$63:$CC$63,0)),
INDEX(単価表!$AY$72:$CC$79,MATCH($V101&amp;$W101,INDEX(単価表!$AY$64:$AY$71&amp;単価表!$AZ$64:$AZ$71,),),MATCH(内訳計算!AS$6,単価表!$AY$63:$CC$63,0))),0)*$Y101/25,0),0)</f>
        <v>0</v>
      </c>
      <c r="AT101" s="1021" cm="1">
        <f t="array" ref="AT101">IFERROR(IF(HLOOKUP($U101,加算と減算!$E$4:$P$10,6,FALSE)="○",IF(OR($U101=2,$U101=3),
INDEX(単価表!$AY$72:$CC$79,MATCH($V101&amp;$W101,INDEX(単価表!$AY$64:$AY$71&amp;単価表!$AZ$64:$AZ$71,),),MATCH(内訳計算!AT$6,単価表!$AY$63:$CC$63,0)),
INDEX(単価表!$AY$72:$CC$79,MATCH($V101&amp;$W101,INDEX(単価表!$AY$64:$AY$71&amp;単価表!$AZ$64:$AZ$71,),),MATCH(内訳計算!AT$6,単価表!$AY$63:$CC$63,0))),0),0)</f>
        <v>0</v>
      </c>
      <c r="AU101" s="1023" cm="1">
        <f t="array" ref="AU101">IFERROR(ROUNDUP(IF(HLOOKUP($U101,加算と減算!$E$4:$P$10,6,FALSE)="○",IF(OR($U101=2,$U101=3),
INDEX(単価表!$AY$72:$CC$79,MATCH($V101&amp;$W101,INDEX(単価表!$AY$64:$AY$71&amp;単価表!$AZ$64:$AZ$71,),),MATCH(内訳計算!AU$6,単価表!$AY$63:$CC$63,0)),
INDEX(単価表!$AY$72:$CC$79,MATCH($V101&amp;$W101,INDEX(単価表!$AY$64:$AY$71&amp;単価表!$AZ$64:$AZ$71,),),MATCH(内訳計算!AU$6,単価表!$AY$63:$CC$63,0))),0)*$Y101/25,0),0)</f>
        <v>0</v>
      </c>
      <c r="AV101" s="1021" cm="1">
        <f t="array" ref="AV101">IFERROR(IF(HLOOKUP($U101,加算と減算!$E$4:$P$10,7,FALSE)="○",IF(OR($U101=2,$U101=3),
INDEX(単価表!$AY$72:$CC$79,MATCH($V101&amp;$W101,INDEX(単価表!$AY$64:$AY$71&amp;単価表!$AZ$64:$AZ$71,),),MATCH(内訳計算!AV$6,単価表!$AY$63:$CC$63,0)),
INDEX(単価表!$AY$72:$CC$79,MATCH($V101&amp;$W101,INDEX(単価表!$AY$64:$AY$71&amp;単価表!$AZ$64:$AZ$71,),),MATCH(内訳計算!AV$6,単価表!$AY$63:$CC$63,0))),0),0)</f>
        <v>0</v>
      </c>
      <c r="AW101" s="1022" cm="1">
        <f t="array" ref="AW101">IFERROR(ROUNDUP(IF(HLOOKUP($U101,加算と減算!$E$4:$P$10,7,FALSE)="○",IF(OR($U101=2,$U101=3),
INDEX(単価表!$AY$72:$CC$79,MATCH($V101&amp;$W101,INDEX(単価表!$AY$64:$AY$71&amp;単価表!$AZ$64:$AZ$71,),),MATCH(内訳計算!AW$6,単価表!$AY$63:$CC$63,0)),
INDEX(単価表!$AY$72:$CC$79,MATCH($V101&amp;$W101,INDEX(単価表!$AY$64:$AY$71&amp;単価表!$AZ$64:$AZ$71,),),MATCH(内訳計算!AW$6,単価表!$AY$63:$CC$63,0))),0)*$Y101/25,0),0)</f>
        <v>0</v>
      </c>
      <c r="AX101" s="1022" cm="1">
        <f t="array" ref="AX101">IFERROR(ROUNDUP(IF(HLOOKUP($U101,加算と減算!$E$4:$P$10,7,FALSE)="○",IF(OR($U101=2,$U101=3),
INDEX(単価表!$AY$72:$CC$79,MATCH($V101&amp;$W101,INDEX(単価表!$AY$64:$AY$71&amp;単価表!$AZ$64:$AZ$71,),),MATCH(内訳計算!AX$6,単価表!$AY$63:$CC$63,0)),
INDEX(単価表!$AY$72:$CC$79,MATCH($V101&amp;$W101,INDEX(単価表!$AY$64:$AY$71&amp;単価表!$AZ$64:$AZ$71,),),MATCH(内訳計算!AX$6,単価表!$AY$63:$CC$63,0))),0)*$Y101/25,0),0)</f>
        <v>0</v>
      </c>
      <c r="AY101" s="1023" cm="1">
        <f t="array" ref="AY101">IFERROR(ROUNDUP(IF(HLOOKUP($U101,加算と減算!$E$4:$P$10,7,FALSE)="○",IF(OR($U101=2,$U101=3),
INDEX(単価表!$AY$72:$CC$79,MATCH($V101&amp;$W101,INDEX(単価表!$AY$64:$AY$71&amp;単価表!$AZ$64:$AZ$71,),),MATCH(内訳計算!AY$6,単価表!$AY$63:$CC$63,0)),
INDEX(単価表!$AY$72:$CC$79,MATCH($V101&amp;$W101,INDEX(単価表!$AY$64:$AY$71&amp;単価表!$AZ$64:$AZ$71,),),MATCH(内訳計算!AY$6,単価表!$AY$63:$CC$63,0))),0)*$Y101/25,0),0)</f>
        <v>0</v>
      </c>
      <c r="AZ101" s="1021" cm="1">
        <f t="array" ref="AZ101">IFERROR(IF(X101="○",INDEX(単価表!$AY$72:$CC$79,MATCH($V101&amp;$W101,INDEX(単価表!$AY$64:$AY$71&amp;単価表!$AZ$64:$AZ$71,),),MATCH(内訳計算!AZ$6,単価表!$AY$63:$CC$63,0)),0),0)</f>
        <v>0</v>
      </c>
      <c r="BA101" s="1023" cm="1">
        <f t="array" ref="BA101">IFERROR(ROUNDUP(INDEX(単価表!$AY$72:$CC$79,MATCH($V101&amp;$W101,INDEX(単価表!$AY$64:$AY$71&amp;単価表!$AZ$64:$AZ$71,),),MATCH(内訳計算!BA$6,単価表!$AY$63:$CC$63,0))*$Y101/25,0),0)</f>
        <v>0</v>
      </c>
      <c r="BB101" s="1021" cm="1">
        <f t="array" ref="BB101">IFERROR(INDEX(単価表!$AY$72:$CC$79,MATCH($V101&amp;$W101,INDEX(単価表!$AY$64:$AY$71&amp;単価表!$AZ$64:$AZ$71,),),MATCH(内訳計算!BB$6,単価表!$AY$63:$CC$63,0)),0)</f>
        <v>0</v>
      </c>
      <c r="BC101" s="1023" cm="1">
        <f t="array" ref="BC101">IFERROR(ROUNDUP(INDEX(単価表!$AY$72:$CC$79,MATCH($V101&amp;$W101,INDEX(単価表!$AY$64:$AY$71&amp;単価表!$AZ$64:$AZ$71,),),MATCH(内訳計算!BC$6,単価表!$AY$63:$CC$63,0))*$Y101/25,0),0)</f>
        <v>0</v>
      </c>
      <c r="BD101" s="985">
        <f>IFERROR(IF(HLOOKUP($U101,加算と減算!$E$31:$P$32,2,FALSE)="○",IF(OR($U101=2,$U101=3),-(単価表!$AZ$23+単価表!$BA$23*基本情報!$G$7),-(単価表!$AZ$23+単価表!$BA$23*基本情報!$G$7)),0),0)</f>
        <v>0</v>
      </c>
      <c r="BE101" s="1007" t="e">
        <f t="shared" si="171"/>
        <v>#VALUE!</v>
      </c>
      <c r="BF101" s="1007" t="e">
        <f t="shared" si="172"/>
        <v>#VALUE!</v>
      </c>
      <c r="BG101" s="1030" t="e">
        <f t="shared" si="173"/>
        <v>#N/A</v>
      </c>
      <c r="BH101" s="1031">
        <f>IFERROR(IF(基本情報!$E$12&lt;&gt;"",-ROUNDDOWN((AA101+AE101+AH101+AL101)*基本情報!$H$13/100,-1),0),0)</f>
        <v>0</v>
      </c>
      <c r="BI101" s="1007" t="e">
        <f t="shared" si="174"/>
        <v>#VALUE!</v>
      </c>
      <c r="BJ101" s="1007" t="e">
        <f t="shared" si="175"/>
        <v>#VALUE!</v>
      </c>
      <c r="BK101" s="1008" t="e">
        <f t="shared" si="176"/>
        <v>#N/A</v>
      </c>
      <c r="BL101" s="1031">
        <f t="shared" si="185"/>
        <v>0</v>
      </c>
      <c r="BM101" s="1007" t="e">
        <f t="shared" si="177"/>
        <v>#VALUE!</v>
      </c>
      <c r="BN101" s="1007" t="e">
        <f t="shared" si="178"/>
        <v>#VALUE!</v>
      </c>
      <c r="BO101" s="1008" t="e">
        <f t="shared" si="179"/>
        <v>#N/A</v>
      </c>
      <c r="BP101" s="1006">
        <f>IFERROR(-ROUNDUP(SUM(AA101,AE101,AH101,AL101,AR101,AT101,AV101,BD101,BH101,BL101)*基本情報!$H$15/100,-1),0)</f>
        <v>0</v>
      </c>
      <c r="BQ101" s="1007" t="e">
        <f t="shared" si="180"/>
        <v>#VALUE!</v>
      </c>
      <c r="BR101" s="1007" t="e">
        <f t="shared" si="181"/>
        <v>#VALUE!</v>
      </c>
      <c r="BS101" s="1008" t="e">
        <f t="shared" si="182"/>
        <v>#N/A</v>
      </c>
      <c r="BU101" s="1043" t="e">
        <f t="shared" si="186"/>
        <v>#VALUE!</v>
      </c>
      <c r="BV101" s="1044" t="e">
        <f t="shared" si="187"/>
        <v>#VALUE!</v>
      </c>
      <c r="BW101" s="1044" t="e">
        <f t="shared" si="188"/>
        <v>#N/A</v>
      </c>
      <c r="BX101" s="1051">
        <f t="shared" si="189"/>
        <v>0</v>
      </c>
      <c r="BY101" s="1045">
        <f t="shared" si="190"/>
        <v>0</v>
      </c>
    </row>
    <row r="102" spans="1:77" ht="18.75" customHeight="1">
      <c r="A102" s="1640"/>
      <c r="B102" s="817"/>
      <c r="C102" s="817"/>
      <c r="D102" s="817"/>
      <c r="E102" s="818"/>
      <c r="F102" s="818"/>
      <c r="G102" s="818"/>
      <c r="H102" s="818"/>
      <c r="I102" s="818"/>
      <c r="J102" s="818"/>
      <c r="K102" s="818"/>
      <c r="L102" s="818"/>
      <c r="M102" s="818"/>
      <c r="N102" s="818"/>
      <c r="O102" s="818"/>
      <c r="P102" s="818"/>
      <c r="Q102" s="818"/>
      <c r="T102" s="682">
        <v>15</v>
      </c>
      <c r="U102" s="918">
        <f>月途中入退所情報!N45</f>
        <v>0</v>
      </c>
      <c r="V102" s="918">
        <f>月途中入退所情報!R45</f>
        <v>0</v>
      </c>
      <c r="W102" s="918">
        <f>月途中入退所情報!Q45</f>
        <v>0</v>
      </c>
      <c r="X102" s="945">
        <f>月途中入退所情報!S45</f>
        <v>0</v>
      </c>
      <c r="Y102" s="918">
        <f>月途中入退所情報!T45</f>
        <v>0</v>
      </c>
      <c r="Z102" s="840">
        <f t="shared" si="183"/>
        <v>0</v>
      </c>
      <c r="AA102" s="1021" cm="1">
        <f t="array" ref="AA102">IFERROR(IF(OR($U102=2,$U102=3),
INDEX(単価表!$AY$72:$CC$79,MATCH($V102&amp;$W102,INDEX(単価表!$AY$64:$AY$71&amp;単価表!$AZ$64:$AZ$71,),),MATCH(内訳計算!AA$6,単価表!$AY$63:$CC$63,0)),
INDEX(単価表!$AY$72:$CC$79,MATCH($V102&amp;$W102,INDEX(単価表!$AY$64:$AY$71&amp;単価表!$AZ$64:$AZ$71,),),MATCH(内訳計算!AA$6,単価表!$AY$63:$CC$63,0))),0)</f>
        <v>0</v>
      </c>
      <c r="AB102" s="1022" t="e">
        <f t="shared" si="184"/>
        <v>#VALUE!</v>
      </c>
      <c r="AC102" s="1022" cm="1">
        <f t="array" ref="AC102">IFERROR(ROUNDUP(IF(OR($U102=2,$U102=3),
INDEX(単価表!$AY$72:$CC$79,MATCH($V102&amp;$W102,INDEX(単価表!$AY$64:$AY$71&amp;単価表!$AZ$64:$AZ$71,),),MATCH(内訳計算!AC$6,単価表!$AY$63:$CC$63,0)),
INDEX(単価表!$AY$72:$CC$79,MATCH($V102&amp;$W102,INDEX(単価表!$AY$64:$AY$71&amp;単価表!$AZ$64:$AZ$71,),),MATCH(内訳計算!AC$6,単価表!$AY$63:$CC$63,0)))*$Y102/25,0),0)</f>
        <v>0</v>
      </c>
      <c r="AD102" s="1023" cm="1">
        <f t="array" ref="AD102">IFERROR(ROUNDUP(IF(OR($U102=2,$U102=3),
INDEX(単価表!$AY$72:$CC$79,MATCH($V102&amp;$W102,INDEX(単価表!$AY$64:$AY$71&amp;単価表!$AZ$64:$AZ$71,),),MATCH(内訳計算!AD$6,単価表!$AY$63:$CC$63,0)),
INDEX(単価表!$AY$72:$CC$79,MATCH($V102&amp;$W102,INDEX(単価表!$AY$64:$AY$71&amp;単価表!$AZ$64:$AZ$71,),),MATCH(内訳計算!AD$6,単価表!$AY$63:$CC$63,0)))*$Y102/25,0),0)</f>
        <v>0</v>
      </c>
      <c r="AE102" s="1021" cm="1">
        <f t="array" ref="AE102">IFERROR(IF(OR($U102=2,$U102=3),
INDEX(単価表!$AY$72:$CC$79,MATCH($V102&amp;$W102,INDEX(単価表!$AY$64:$AY$71&amp;単価表!$AZ$64:$AZ$71,),),MATCH(内訳計算!AE$6,単価表!$AY$63:$CC$63,0)),
INDEX(単価表!$AY$72:$CC$79,MATCH($V102&amp;$W102,INDEX(単価表!$AY$64:$AY$71&amp;単価表!$AZ$64:$AZ$71,),),MATCH(内訳計算!AE$6,単価表!$AY$63:$CC$63,0))),0)</f>
        <v>0</v>
      </c>
      <c r="AF102" s="1022" cm="1">
        <f t="array" ref="AF102">IFERROR(ROUNDUP(IF(OR($U102=2,$U102=3),
INDEX(単価表!$AY$72:$CC$79,MATCH($V102&amp;$W102,INDEX(単価表!$AY$64:$AY$71&amp;単価表!$AZ$64:$AZ$71,),),MATCH(内訳計算!AF$6,単価表!$AY$63:$CC$63,0)),
INDEX(単価表!$AY$72:$CC$79,MATCH($V102&amp;$W102,INDEX(単価表!$AY$64:$AY$71&amp;単価表!$AZ$64:$AZ$71,),),MATCH(内訳計算!AF$6,単価表!$AY$63:$CC$63,0)))*$Y102/25,0),0)</f>
        <v>0</v>
      </c>
      <c r="AG102" s="1023" cm="1">
        <f t="array" ref="AG102">IFERROR(ROUNDUP(IF(OR($U102=2,$U102=3),
INDEX(単価表!$AY$72:$CC$79,MATCH($V102&amp;$W102,INDEX(単価表!$AY$64:$AY$71&amp;単価表!$AZ$64:$AZ$71,),),MATCH(内訳計算!AG$6,単価表!$AY$63:$CC$63,0)),
INDEX(単価表!$AY$72:$CC$79,MATCH($V102&amp;$W102,INDEX(単価表!$AY$64:$AY$71&amp;単価表!$AZ$64:$AZ$71,),),MATCH(内訳計算!AG$6,単価表!$AY$63:$CC$63,0)))*$Y102/25,0),0)</f>
        <v>0</v>
      </c>
      <c r="AH102" s="1021" cm="1">
        <f t="array" ref="AH102">IFERROR(IF(HLOOKUP($U102,加算と減算!$E$4:$P$10,2,FALSE)="○",IF(OR($U102=2,$U102=3),
INDEX(単価表!$AY$72:$CC$79,MATCH($V102&amp;$W102,INDEX(単価表!$AY$64:$AY$71&amp;単価表!$AZ$64:$AZ$71,),),MATCH(内訳計算!AH$6,単価表!$AY$63:$CC$63,0)),
INDEX(単価表!$AY$72:$CC$79,MATCH($V102&amp;$W102,INDEX(単価表!$AY$64:$AY$71&amp;単価表!$AZ$64:$AZ$71,),),MATCH(内訳計算!AH$6,単価表!$AY$63:$CC$63,0))),0),0)</f>
        <v>0</v>
      </c>
      <c r="AI102" s="1024" cm="1">
        <f t="array" ref="AI102">IFERROR(ROUNDUP(IF(HLOOKUP($U102,加算と減算!$E$4:$P$10,2,FALSE)="○",IF(OR($U102=2,$U102=3),
INDEX(単価表!$AY$72:$CC$79,MATCH($V102&amp;$W102,INDEX(単価表!$AY$64:$AY$71&amp;単価表!$AZ$64:$AZ$71,),),MATCH(内訳計算!AI$6,単価表!$AY$63:$CC$63,0)),
INDEX(単価表!$AY$72:$CC$79,MATCH($V102&amp;$W102,INDEX(単価表!$AY$64:$AY$71&amp;単価表!$AZ$64:$AZ$71,),),MATCH(内訳計算!AI$6,単価表!$AY$63:$CC$63,0))),0)*$Y102/25,0),0)</f>
        <v>0</v>
      </c>
      <c r="AJ102" s="1022" cm="1">
        <f t="array" ref="AJ102">IFERROR(ROUNDUP(IF(HLOOKUP($U102,加算と減算!$E$4:$P$10,2,FALSE)="○",IF(OR($U102=2,$U102=3),
INDEX(単価表!$AY$72:$CC$79,MATCH($V102&amp;$W102,INDEX(単価表!$AY$64:$AY$71&amp;単価表!$AZ$64:$AZ$71,),),MATCH(内訳計算!AJ$6,単価表!$AY$63:$CC$63,0)),
INDEX(単価表!$AY$72:$CC$79,MATCH($V102&amp;$W102,INDEX(単価表!$AY$64:$AY$71&amp;単価表!$AZ$64:$AZ$71,),),MATCH(内訳計算!AJ$6,単価表!$AY$63:$CC$63,0))),0)*$Y102/25,0),0)</f>
        <v>0</v>
      </c>
      <c r="AK102" s="1023" cm="1">
        <f t="array" ref="AK102">IFERROR(ROUNDUP(IF(HLOOKUP($U102,加算と減算!$E$4:$P$10,2,FALSE)="○",IF(OR($U102=2,$U102=3),
INDEX(単価表!$AY$72:$CC$79,MATCH($V102&amp;$W102,INDEX(単価表!$AY$64:$AY$71&amp;単価表!$AZ$64:$AZ$71,),),MATCH(内訳計算!AK$6,単価表!$AY$63:$CC$63,0)),
INDEX(単価表!$AY$72:$CC$79,MATCH($V102&amp;$W102,INDEX(単価表!$AY$64:$AY$71&amp;単価表!$AZ$64:$AZ$71,),),MATCH(内訳計算!AK$6,単価表!$AY$63:$CC$63,0))),0)*$Y102/25,0),0)</f>
        <v>0</v>
      </c>
      <c r="AL102" s="1021" cm="1">
        <f t="array" ref="AL102">IFERROR(IF(HLOOKUP($U102,加算と減算!$E$4:$P$10,4,FALSE)="○",IF(OR($U102=2,$U102=3),
INDEX(単価表!$AY$72:$CC$79,MATCH($V102&amp;$W102,INDEX(単価表!$AY$64:$AY$71&amp;単価表!$AZ$64:$AZ$71,),),MATCH(内訳計算!AL$6,単価表!$AY$63:$CC$63,0)),
INDEX(単価表!$AY$72:$CC$79,MATCH($V102&amp;$W102,INDEX(単価表!$AY$64:$AY$71&amp;単価表!$AZ$64:$AZ$71,),),MATCH(内訳計算!AL$6,単価表!$AY$63:$CC$63,0))),0),0)</f>
        <v>0</v>
      </c>
      <c r="AM102" s="1022" cm="1">
        <f t="array" ref="AM102">IFERROR(ROUNDUP(IF(HLOOKUP($U102,加算と減算!$E$4:$P$10,4,FALSE)="○",IF(OR($U102=2,$U102=3),
INDEX(単価表!$AY$72:$CC$79,MATCH($V102&amp;$W102,INDEX(単価表!$AY$64:$AY$71&amp;単価表!$AZ$64:$AZ$71,),),MATCH(内訳計算!AM$6,単価表!$AY$63:$CC$63,0)),
INDEX(単価表!$AY$72:$CC$79,MATCH($V102&amp;$W102,INDEX(単価表!$AY$64:$AY$71&amp;単価表!$AZ$64:$AZ$71,),),MATCH(内訳計算!AM$6,単価表!$AY$63:$CC$63,0))),0)*$Y102/25,0),0)</f>
        <v>0</v>
      </c>
      <c r="AN102" s="1022" cm="1">
        <f t="array" ref="AN102">IFERROR(ROUNDUP(IF(HLOOKUP($U102,加算と減算!$E$4:$P$10,4,FALSE)="○",IF(OR($U102=2,$U102=3),
INDEX(単価表!$AY$72:$CC$79,MATCH($V102&amp;$W102,INDEX(単価表!$AY$64:$AY$71&amp;単価表!$AZ$64:$AZ$71,),),MATCH(内訳計算!AN$6,単価表!$AY$63:$CC$63,0)),
INDEX(単価表!$AY$72:$CC$79,MATCH($V102&amp;$W102,INDEX(単価表!$AY$64:$AY$71&amp;単価表!$AZ$64:$AZ$71,),),MATCH(内訳計算!AN$6,単価表!$AY$63:$CC$63,0))),0)*$Y102/25,0),0)</f>
        <v>0</v>
      </c>
      <c r="AO102" s="1022" cm="1">
        <f t="array" ref="AO102">IFERROR(ROUNDUP(IF(HLOOKUP($U102,加算と減算!$E$4:$P$10,4,FALSE)="○",IF(OR($U102=2,$U102=3),
INDEX(単価表!$AY$72:$CC$79,MATCH($V102&amp;$W102,INDEX(単価表!$AY$64:$AY$71&amp;単価表!$AZ$64:$AZ$71,),),MATCH(内訳計算!AO$6,単価表!$AY$63:$CC$63,0)),
INDEX(単価表!$AY$72:$CC$79,MATCH($V102&amp;$W102,INDEX(単価表!$AY$64:$AY$71&amp;単価表!$AZ$64:$AZ$71,),),MATCH(内訳計算!AO$6,単価表!$AY$63:$CC$63,0))),0)*$Y102/25,0),0)</f>
        <v>0</v>
      </c>
      <c r="AP102" s="1022" cm="1">
        <f t="array" ref="AP102">IFERROR(ROUNDUP(IF(HLOOKUP($U102,加算と減算!$E$4:$P$10,4,FALSE)="○",IF(OR($U102=2,$U102=3),
INDEX(単価表!$AY$72:$CC$79,MATCH($V102&amp;$W102,INDEX(単価表!$AY$64:$AY$71&amp;単価表!$AZ$64:$AZ$71,),),MATCH(内訳計算!AP$6,単価表!$AY$63:$CC$63,0)),
INDEX(単価表!$AY$72:$CC$79,MATCH($V102&amp;$W102,INDEX(単価表!$AY$64:$AY$71&amp;単価表!$AZ$64:$AZ$71,),),MATCH(内訳計算!AP$6,単価表!$AY$63:$CC$63,0))),0)*$Y102/25,0),0)</f>
        <v>0</v>
      </c>
      <c r="AQ102" s="1023" cm="1">
        <f t="array" ref="AQ102">IFERROR(ROUNDUP(IF(HLOOKUP($U102,加算と減算!$E$4:$P$10,4,FALSE)="○",IF(OR($U102=2,$U102=3),
INDEX(単価表!$AY$72:$CC$79,MATCH($V102&amp;$W102,INDEX(単価表!$AY$64:$AY$71&amp;単価表!$AZ$64:$AZ$71,),),MATCH(内訳計算!AQ$6,単価表!$AY$63:$CC$63,0)),
INDEX(単価表!$AY$72:$CC$79,MATCH($V102&amp;$W102,INDEX(単価表!$AY$64:$AY$71&amp;単価表!$AZ$64:$AZ$71,),),MATCH(内訳計算!AQ$6,単価表!$AY$63:$CC$63,0))),0)*$Y102/25,0),0)</f>
        <v>0</v>
      </c>
      <c r="AR102" s="1021" cm="1">
        <f t="array" ref="AR102">IFERROR(IF(HLOOKUP($U102,加算と減算!$E$4:$P$10,5,FALSE)="○",IF(OR($U102=2,$U102=3),
INDEX(単価表!$AY$72:$CC$79,MATCH($V102&amp;$W102,INDEX(単価表!$AY$64:$AY$71&amp;単価表!$AZ$64:$AZ$71,),),MATCH(内訳計算!AR$6,単価表!$AY$63:$CC$63,0)),
INDEX(単価表!$AY$72:$CC$79,MATCH($V102&amp;$W102,INDEX(単価表!$AY$64:$AY$71&amp;単価表!$AZ$64:$AZ$71,),),MATCH(内訳計算!AR$6,単価表!$AY$63:$CC$63,0))),0),0)</f>
        <v>0</v>
      </c>
      <c r="AS102" s="1023" cm="1">
        <f t="array" ref="AS102">IFERROR(ROUNDUP(IF(HLOOKUP($U102,加算と減算!$E$4:$P$10,5,FALSE)="○",IF(OR($U102=2,$U102=3),
INDEX(単価表!$AY$72:$CC$79,MATCH($V102&amp;$W102,INDEX(単価表!$AY$64:$AY$71&amp;単価表!$AZ$64:$AZ$71,),),MATCH(内訳計算!AS$6,単価表!$AY$63:$CC$63,0)),
INDEX(単価表!$AY$72:$CC$79,MATCH($V102&amp;$W102,INDEX(単価表!$AY$64:$AY$71&amp;単価表!$AZ$64:$AZ$71,),),MATCH(内訳計算!AS$6,単価表!$AY$63:$CC$63,0))),0)*$Y102/25,0),0)</f>
        <v>0</v>
      </c>
      <c r="AT102" s="1021" cm="1">
        <f t="array" ref="AT102">IFERROR(IF(HLOOKUP($U102,加算と減算!$E$4:$P$10,6,FALSE)="○",IF(OR($U102=2,$U102=3),
INDEX(単価表!$AY$72:$CC$79,MATCH($V102&amp;$W102,INDEX(単価表!$AY$64:$AY$71&amp;単価表!$AZ$64:$AZ$71,),),MATCH(内訳計算!AT$6,単価表!$AY$63:$CC$63,0)),
INDEX(単価表!$AY$72:$CC$79,MATCH($V102&amp;$W102,INDEX(単価表!$AY$64:$AY$71&amp;単価表!$AZ$64:$AZ$71,),),MATCH(内訳計算!AT$6,単価表!$AY$63:$CC$63,0))),0),0)</f>
        <v>0</v>
      </c>
      <c r="AU102" s="1023" cm="1">
        <f t="array" ref="AU102">IFERROR(ROUNDUP(IF(HLOOKUP($U102,加算と減算!$E$4:$P$10,6,FALSE)="○",IF(OR($U102=2,$U102=3),
INDEX(単価表!$AY$72:$CC$79,MATCH($V102&amp;$W102,INDEX(単価表!$AY$64:$AY$71&amp;単価表!$AZ$64:$AZ$71,),),MATCH(内訳計算!AU$6,単価表!$AY$63:$CC$63,0)),
INDEX(単価表!$AY$72:$CC$79,MATCH($V102&amp;$W102,INDEX(単価表!$AY$64:$AY$71&amp;単価表!$AZ$64:$AZ$71,),),MATCH(内訳計算!AU$6,単価表!$AY$63:$CC$63,0))),0)*$Y102/25,0),0)</f>
        <v>0</v>
      </c>
      <c r="AV102" s="1021" cm="1">
        <f t="array" ref="AV102">IFERROR(IF(HLOOKUP($U102,加算と減算!$E$4:$P$10,7,FALSE)="○",IF(OR($U102=2,$U102=3),
INDEX(単価表!$AY$72:$CC$79,MATCH($V102&amp;$W102,INDEX(単価表!$AY$64:$AY$71&amp;単価表!$AZ$64:$AZ$71,),),MATCH(内訳計算!AV$6,単価表!$AY$63:$CC$63,0)),
INDEX(単価表!$AY$72:$CC$79,MATCH($V102&amp;$W102,INDEX(単価表!$AY$64:$AY$71&amp;単価表!$AZ$64:$AZ$71,),),MATCH(内訳計算!AV$6,単価表!$AY$63:$CC$63,0))),0),0)</f>
        <v>0</v>
      </c>
      <c r="AW102" s="1022" cm="1">
        <f t="array" ref="AW102">IFERROR(ROUNDUP(IF(HLOOKUP($U102,加算と減算!$E$4:$P$10,7,FALSE)="○",IF(OR($U102=2,$U102=3),
INDEX(単価表!$AY$72:$CC$79,MATCH($V102&amp;$W102,INDEX(単価表!$AY$64:$AY$71&amp;単価表!$AZ$64:$AZ$71,),),MATCH(内訳計算!AW$6,単価表!$AY$63:$CC$63,0)),
INDEX(単価表!$AY$72:$CC$79,MATCH($V102&amp;$W102,INDEX(単価表!$AY$64:$AY$71&amp;単価表!$AZ$64:$AZ$71,),),MATCH(内訳計算!AW$6,単価表!$AY$63:$CC$63,0))),0)*$Y102/25,0),0)</f>
        <v>0</v>
      </c>
      <c r="AX102" s="1022" cm="1">
        <f t="array" ref="AX102">IFERROR(ROUNDUP(IF(HLOOKUP($U102,加算と減算!$E$4:$P$10,7,FALSE)="○",IF(OR($U102=2,$U102=3),
INDEX(単価表!$AY$72:$CC$79,MATCH($V102&amp;$W102,INDEX(単価表!$AY$64:$AY$71&amp;単価表!$AZ$64:$AZ$71,),),MATCH(内訳計算!AX$6,単価表!$AY$63:$CC$63,0)),
INDEX(単価表!$AY$72:$CC$79,MATCH($V102&amp;$W102,INDEX(単価表!$AY$64:$AY$71&amp;単価表!$AZ$64:$AZ$71,),),MATCH(内訳計算!AX$6,単価表!$AY$63:$CC$63,0))),0)*$Y102/25,0),0)</f>
        <v>0</v>
      </c>
      <c r="AY102" s="1023" cm="1">
        <f t="array" ref="AY102">IFERROR(ROUNDUP(IF(HLOOKUP($U102,加算と減算!$E$4:$P$10,7,FALSE)="○",IF(OR($U102=2,$U102=3),
INDEX(単価表!$AY$72:$CC$79,MATCH($V102&amp;$W102,INDEX(単価表!$AY$64:$AY$71&amp;単価表!$AZ$64:$AZ$71,),),MATCH(内訳計算!AY$6,単価表!$AY$63:$CC$63,0)),
INDEX(単価表!$AY$72:$CC$79,MATCH($V102&amp;$W102,INDEX(単価表!$AY$64:$AY$71&amp;単価表!$AZ$64:$AZ$71,),),MATCH(内訳計算!AY$6,単価表!$AY$63:$CC$63,0))),0)*$Y102/25,0),0)</f>
        <v>0</v>
      </c>
      <c r="AZ102" s="1021" cm="1">
        <f t="array" ref="AZ102">IFERROR(IF(X102="○",INDEX(単価表!$AY$72:$CC$79,MATCH($V102&amp;$W102,INDEX(単価表!$AY$64:$AY$71&amp;単価表!$AZ$64:$AZ$71,),),MATCH(内訳計算!AZ$6,単価表!$AY$63:$CC$63,0)),0),0)</f>
        <v>0</v>
      </c>
      <c r="BA102" s="1023" cm="1">
        <f t="array" ref="BA102">IFERROR(ROUNDUP(INDEX(単価表!$AY$72:$CC$79,MATCH($V102&amp;$W102,INDEX(単価表!$AY$64:$AY$71&amp;単価表!$AZ$64:$AZ$71,),),MATCH(内訳計算!BA$6,単価表!$AY$63:$CC$63,0))*$Y102/25,0),0)</f>
        <v>0</v>
      </c>
      <c r="BB102" s="1021" cm="1">
        <f t="array" ref="BB102">IFERROR(INDEX(単価表!$AY$72:$CC$79,MATCH($V102&amp;$W102,INDEX(単価表!$AY$64:$AY$71&amp;単価表!$AZ$64:$AZ$71,),),MATCH(内訳計算!BB$6,単価表!$AY$63:$CC$63,0)),0)</f>
        <v>0</v>
      </c>
      <c r="BC102" s="1023" cm="1">
        <f t="array" ref="BC102">IFERROR(ROUNDUP(INDEX(単価表!$AY$72:$CC$79,MATCH($V102&amp;$W102,INDEX(単価表!$AY$64:$AY$71&amp;単価表!$AZ$64:$AZ$71,),),MATCH(内訳計算!BC$6,単価表!$AY$63:$CC$63,0))*$Y102/25,0),0)</f>
        <v>0</v>
      </c>
      <c r="BD102" s="985">
        <f>IFERROR(IF(HLOOKUP($U102,加算と減算!$E$31:$P$32,2,FALSE)="○",IF(OR($U102=2,$U102=3),-(単価表!$AZ$23+単価表!$BA$23*基本情報!$G$7),-(単価表!$AZ$23+単価表!$BA$23*基本情報!$G$7)),0),0)</f>
        <v>0</v>
      </c>
      <c r="BE102" s="1007" t="e">
        <f t="shared" si="171"/>
        <v>#VALUE!</v>
      </c>
      <c r="BF102" s="1007" t="e">
        <f t="shared" si="172"/>
        <v>#VALUE!</v>
      </c>
      <c r="BG102" s="1030" t="e">
        <f t="shared" si="173"/>
        <v>#N/A</v>
      </c>
      <c r="BH102" s="1031">
        <f>IFERROR(IF(基本情報!$E$12&lt;&gt;"",-ROUNDDOWN((AA102+AE102+AH102+AL102)*基本情報!$H$13/100,-1),0),0)</f>
        <v>0</v>
      </c>
      <c r="BI102" s="1007" t="e">
        <f t="shared" si="174"/>
        <v>#VALUE!</v>
      </c>
      <c r="BJ102" s="1007" t="e">
        <f t="shared" si="175"/>
        <v>#VALUE!</v>
      </c>
      <c r="BK102" s="1008" t="e">
        <f t="shared" si="176"/>
        <v>#N/A</v>
      </c>
      <c r="BL102" s="1031">
        <f t="shared" si="185"/>
        <v>0</v>
      </c>
      <c r="BM102" s="1007" t="e">
        <f t="shared" si="177"/>
        <v>#VALUE!</v>
      </c>
      <c r="BN102" s="1007" t="e">
        <f t="shared" si="178"/>
        <v>#VALUE!</v>
      </c>
      <c r="BO102" s="1008" t="e">
        <f t="shared" si="179"/>
        <v>#N/A</v>
      </c>
      <c r="BP102" s="1006">
        <f>IFERROR(-ROUNDUP(SUM(AA102,AE102,AH102,AL102,AR102,AT102,AV102,BD102,BH102,BL102)*基本情報!$H$15/100,-1),0)</f>
        <v>0</v>
      </c>
      <c r="BQ102" s="1007" t="e">
        <f t="shared" si="180"/>
        <v>#VALUE!</v>
      </c>
      <c r="BR102" s="1007" t="e">
        <f t="shared" si="181"/>
        <v>#VALUE!</v>
      </c>
      <c r="BS102" s="1008" t="e">
        <f t="shared" si="182"/>
        <v>#N/A</v>
      </c>
      <c r="BU102" s="1043" t="e">
        <f t="shared" si="186"/>
        <v>#VALUE!</v>
      </c>
      <c r="BV102" s="1044" t="e">
        <f t="shared" si="187"/>
        <v>#VALUE!</v>
      </c>
      <c r="BW102" s="1044" t="e">
        <f t="shared" si="188"/>
        <v>#N/A</v>
      </c>
      <c r="BX102" s="1051">
        <f t="shared" si="189"/>
        <v>0</v>
      </c>
      <c r="BY102" s="1045">
        <f t="shared" si="190"/>
        <v>0</v>
      </c>
    </row>
    <row r="103" spans="1:77" ht="18.75" customHeight="1">
      <c r="A103" s="1640"/>
      <c r="B103" s="1581" t="s">
        <v>596</v>
      </c>
      <c r="C103" s="1581"/>
      <c r="D103" s="1581"/>
      <c r="E103" s="798" t="s">
        <v>24</v>
      </c>
      <c r="F103" s="798" t="s">
        <v>25</v>
      </c>
      <c r="G103" s="798" t="s">
        <v>26</v>
      </c>
      <c r="H103" s="798" t="s">
        <v>27</v>
      </c>
      <c r="I103" s="798" t="s">
        <v>28</v>
      </c>
      <c r="J103" s="798" t="s">
        <v>29</v>
      </c>
      <c r="K103" s="798" t="s">
        <v>30</v>
      </c>
      <c r="L103" s="798" t="s">
        <v>31</v>
      </c>
      <c r="M103" s="798" t="s">
        <v>32</v>
      </c>
      <c r="N103" s="798" t="s">
        <v>33</v>
      </c>
      <c r="O103" s="798" t="s">
        <v>34</v>
      </c>
      <c r="P103" s="825" t="s">
        <v>35</v>
      </c>
      <c r="Q103" s="828" t="s">
        <v>36</v>
      </c>
      <c r="T103" s="682">
        <v>16</v>
      </c>
      <c r="U103" s="918">
        <f>月途中入退所情報!N46</f>
        <v>0</v>
      </c>
      <c r="V103" s="918">
        <f>月途中入退所情報!R46</f>
        <v>0</v>
      </c>
      <c r="W103" s="918">
        <f>月途中入退所情報!Q46</f>
        <v>0</v>
      </c>
      <c r="X103" s="945">
        <f>月途中入退所情報!S46</f>
        <v>0</v>
      </c>
      <c r="Y103" s="918">
        <f>月途中入退所情報!T46</f>
        <v>0</v>
      </c>
      <c r="Z103" s="840">
        <f t="shared" si="183"/>
        <v>0</v>
      </c>
      <c r="AA103" s="1021" cm="1">
        <f t="array" ref="AA103">IFERROR(IF(OR($U103=2,$U103=3),
INDEX(単価表!$AY$72:$CC$79,MATCH($V103&amp;$W103,INDEX(単価表!$AY$64:$AY$71&amp;単価表!$AZ$64:$AZ$71,),),MATCH(内訳計算!AA$6,単価表!$AY$63:$CC$63,0)),
INDEX(単価表!$AY$72:$CC$79,MATCH($V103&amp;$W103,INDEX(単価表!$AY$64:$AY$71&amp;単価表!$AZ$64:$AZ$71,),),MATCH(内訳計算!AA$6,単価表!$AY$63:$CC$63,0))),0)</f>
        <v>0</v>
      </c>
      <c r="AB103" s="1022" t="e">
        <f t="shared" si="184"/>
        <v>#VALUE!</v>
      </c>
      <c r="AC103" s="1022" cm="1">
        <f t="array" ref="AC103">IFERROR(ROUNDUP(IF(OR($U103=2,$U103=3),
INDEX(単価表!$AY$72:$CC$79,MATCH($V103&amp;$W103,INDEX(単価表!$AY$64:$AY$71&amp;単価表!$AZ$64:$AZ$71,),),MATCH(内訳計算!AC$6,単価表!$AY$63:$CC$63,0)),
INDEX(単価表!$AY$72:$CC$79,MATCH($V103&amp;$W103,INDEX(単価表!$AY$64:$AY$71&amp;単価表!$AZ$64:$AZ$71,),),MATCH(内訳計算!AC$6,単価表!$AY$63:$CC$63,0)))*$Y103/25,0),0)</f>
        <v>0</v>
      </c>
      <c r="AD103" s="1023" cm="1">
        <f t="array" ref="AD103">IFERROR(ROUNDUP(IF(OR($U103=2,$U103=3),
INDEX(単価表!$AY$72:$CC$79,MATCH($V103&amp;$W103,INDEX(単価表!$AY$64:$AY$71&amp;単価表!$AZ$64:$AZ$71,),),MATCH(内訳計算!AD$6,単価表!$AY$63:$CC$63,0)),
INDEX(単価表!$AY$72:$CC$79,MATCH($V103&amp;$W103,INDEX(単価表!$AY$64:$AY$71&amp;単価表!$AZ$64:$AZ$71,),),MATCH(内訳計算!AD$6,単価表!$AY$63:$CC$63,0)))*$Y103/25,0),0)</f>
        <v>0</v>
      </c>
      <c r="AE103" s="1021" cm="1">
        <f t="array" ref="AE103">IFERROR(IF(OR($U103=2,$U103=3),
INDEX(単価表!$AY$72:$CC$79,MATCH($V103&amp;$W103,INDEX(単価表!$AY$64:$AY$71&amp;単価表!$AZ$64:$AZ$71,),),MATCH(内訳計算!AE$6,単価表!$AY$63:$CC$63,0)),
INDEX(単価表!$AY$72:$CC$79,MATCH($V103&amp;$W103,INDEX(単価表!$AY$64:$AY$71&amp;単価表!$AZ$64:$AZ$71,),),MATCH(内訳計算!AE$6,単価表!$AY$63:$CC$63,0))),0)</f>
        <v>0</v>
      </c>
      <c r="AF103" s="1022" cm="1">
        <f t="array" ref="AF103">IFERROR(ROUNDUP(IF(OR($U103=2,$U103=3),
INDEX(単価表!$AY$72:$CC$79,MATCH($V103&amp;$W103,INDEX(単価表!$AY$64:$AY$71&amp;単価表!$AZ$64:$AZ$71,),),MATCH(内訳計算!AF$6,単価表!$AY$63:$CC$63,0)),
INDEX(単価表!$AY$72:$CC$79,MATCH($V103&amp;$W103,INDEX(単価表!$AY$64:$AY$71&amp;単価表!$AZ$64:$AZ$71,),),MATCH(内訳計算!AF$6,単価表!$AY$63:$CC$63,0)))*$Y103/25,0),0)</f>
        <v>0</v>
      </c>
      <c r="AG103" s="1023" cm="1">
        <f t="array" ref="AG103">IFERROR(ROUNDUP(IF(OR($U103=2,$U103=3),
INDEX(単価表!$AY$72:$CC$79,MATCH($V103&amp;$W103,INDEX(単価表!$AY$64:$AY$71&amp;単価表!$AZ$64:$AZ$71,),),MATCH(内訳計算!AG$6,単価表!$AY$63:$CC$63,0)),
INDEX(単価表!$AY$72:$CC$79,MATCH($V103&amp;$W103,INDEX(単価表!$AY$64:$AY$71&amp;単価表!$AZ$64:$AZ$71,),),MATCH(内訳計算!AG$6,単価表!$AY$63:$CC$63,0)))*$Y103/25,0),0)</f>
        <v>0</v>
      </c>
      <c r="AH103" s="1021" cm="1">
        <f t="array" ref="AH103">IFERROR(IF(HLOOKUP($U103,加算と減算!$E$4:$P$10,2,FALSE)="○",IF(OR($U103=2,$U103=3),
INDEX(単価表!$AY$72:$CC$79,MATCH($V103&amp;$W103,INDEX(単価表!$AY$64:$AY$71&amp;単価表!$AZ$64:$AZ$71,),),MATCH(内訳計算!AH$6,単価表!$AY$63:$CC$63,0)),
INDEX(単価表!$AY$72:$CC$79,MATCH($V103&amp;$W103,INDEX(単価表!$AY$64:$AY$71&amp;単価表!$AZ$64:$AZ$71,),),MATCH(内訳計算!AH$6,単価表!$AY$63:$CC$63,0))),0),0)</f>
        <v>0</v>
      </c>
      <c r="AI103" s="1024" cm="1">
        <f t="array" ref="AI103">IFERROR(ROUNDUP(IF(HLOOKUP($U103,加算と減算!$E$4:$P$10,2,FALSE)="○",IF(OR($U103=2,$U103=3),
INDEX(単価表!$AY$72:$CC$79,MATCH($V103&amp;$W103,INDEX(単価表!$AY$64:$AY$71&amp;単価表!$AZ$64:$AZ$71,),),MATCH(内訳計算!AI$6,単価表!$AY$63:$CC$63,0)),
INDEX(単価表!$AY$72:$CC$79,MATCH($V103&amp;$W103,INDEX(単価表!$AY$64:$AY$71&amp;単価表!$AZ$64:$AZ$71,),),MATCH(内訳計算!AI$6,単価表!$AY$63:$CC$63,0))),0)*$Y103/25,0),0)</f>
        <v>0</v>
      </c>
      <c r="AJ103" s="1022" cm="1">
        <f t="array" ref="AJ103">IFERROR(ROUNDUP(IF(HLOOKUP($U103,加算と減算!$E$4:$P$10,2,FALSE)="○",IF(OR($U103=2,$U103=3),
INDEX(単価表!$AY$72:$CC$79,MATCH($V103&amp;$W103,INDEX(単価表!$AY$64:$AY$71&amp;単価表!$AZ$64:$AZ$71,),),MATCH(内訳計算!AJ$6,単価表!$AY$63:$CC$63,0)),
INDEX(単価表!$AY$72:$CC$79,MATCH($V103&amp;$W103,INDEX(単価表!$AY$64:$AY$71&amp;単価表!$AZ$64:$AZ$71,),),MATCH(内訳計算!AJ$6,単価表!$AY$63:$CC$63,0))),0)*$Y103/25,0),0)</f>
        <v>0</v>
      </c>
      <c r="AK103" s="1023" cm="1">
        <f t="array" ref="AK103">IFERROR(ROUNDUP(IF(HLOOKUP($U103,加算と減算!$E$4:$P$10,2,FALSE)="○",IF(OR($U103=2,$U103=3),
INDEX(単価表!$AY$72:$CC$79,MATCH($V103&amp;$W103,INDEX(単価表!$AY$64:$AY$71&amp;単価表!$AZ$64:$AZ$71,),),MATCH(内訳計算!AK$6,単価表!$AY$63:$CC$63,0)),
INDEX(単価表!$AY$72:$CC$79,MATCH($V103&amp;$W103,INDEX(単価表!$AY$64:$AY$71&amp;単価表!$AZ$64:$AZ$71,),),MATCH(内訳計算!AK$6,単価表!$AY$63:$CC$63,0))),0)*$Y103/25,0),0)</f>
        <v>0</v>
      </c>
      <c r="AL103" s="1021" cm="1">
        <f t="array" ref="AL103">IFERROR(IF(HLOOKUP($U103,加算と減算!$E$4:$P$10,4,FALSE)="○",IF(OR($U103=2,$U103=3),
INDEX(単価表!$AY$72:$CC$79,MATCH($V103&amp;$W103,INDEX(単価表!$AY$64:$AY$71&amp;単価表!$AZ$64:$AZ$71,),),MATCH(内訳計算!AL$6,単価表!$AY$63:$CC$63,0)),
INDEX(単価表!$AY$72:$CC$79,MATCH($V103&amp;$W103,INDEX(単価表!$AY$64:$AY$71&amp;単価表!$AZ$64:$AZ$71,),),MATCH(内訳計算!AL$6,単価表!$AY$63:$CC$63,0))),0),0)</f>
        <v>0</v>
      </c>
      <c r="AM103" s="1022" cm="1">
        <f t="array" ref="AM103">IFERROR(ROUNDUP(IF(HLOOKUP($U103,加算と減算!$E$4:$P$10,4,FALSE)="○",IF(OR($U103=2,$U103=3),
INDEX(単価表!$AY$72:$CC$79,MATCH($V103&amp;$W103,INDEX(単価表!$AY$64:$AY$71&amp;単価表!$AZ$64:$AZ$71,),),MATCH(内訳計算!AM$6,単価表!$AY$63:$CC$63,0)),
INDEX(単価表!$AY$72:$CC$79,MATCH($V103&amp;$W103,INDEX(単価表!$AY$64:$AY$71&amp;単価表!$AZ$64:$AZ$71,),),MATCH(内訳計算!AM$6,単価表!$AY$63:$CC$63,0))),0)*$Y103/25,0),0)</f>
        <v>0</v>
      </c>
      <c r="AN103" s="1022" cm="1">
        <f t="array" ref="AN103">IFERROR(ROUNDUP(IF(HLOOKUP($U103,加算と減算!$E$4:$P$10,4,FALSE)="○",IF(OR($U103=2,$U103=3),
INDEX(単価表!$AY$72:$CC$79,MATCH($V103&amp;$W103,INDEX(単価表!$AY$64:$AY$71&amp;単価表!$AZ$64:$AZ$71,),),MATCH(内訳計算!AN$6,単価表!$AY$63:$CC$63,0)),
INDEX(単価表!$AY$72:$CC$79,MATCH($V103&amp;$W103,INDEX(単価表!$AY$64:$AY$71&amp;単価表!$AZ$64:$AZ$71,),),MATCH(内訳計算!AN$6,単価表!$AY$63:$CC$63,0))),0)*$Y103/25,0),0)</f>
        <v>0</v>
      </c>
      <c r="AO103" s="1022" cm="1">
        <f t="array" ref="AO103">IFERROR(ROUNDUP(IF(HLOOKUP($U103,加算と減算!$E$4:$P$10,4,FALSE)="○",IF(OR($U103=2,$U103=3),
INDEX(単価表!$AY$72:$CC$79,MATCH($V103&amp;$W103,INDEX(単価表!$AY$64:$AY$71&amp;単価表!$AZ$64:$AZ$71,),),MATCH(内訳計算!AO$6,単価表!$AY$63:$CC$63,0)),
INDEX(単価表!$AY$72:$CC$79,MATCH($V103&amp;$W103,INDEX(単価表!$AY$64:$AY$71&amp;単価表!$AZ$64:$AZ$71,),),MATCH(内訳計算!AO$6,単価表!$AY$63:$CC$63,0))),0)*$Y103/25,0),0)</f>
        <v>0</v>
      </c>
      <c r="AP103" s="1022" cm="1">
        <f t="array" ref="AP103">IFERROR(ROUNDUP(IF(HLOOKUP($U103,加算と減算!$E$4:$P$10,4,FALSE)="○",IF(OR($U103=2,$U103=3),
INDEX(単価表!$AY$72:$CC$79,MATCH($V103&amp;$W103,INDEX(単価表!$AY$64:$AY$71&amp;単価表!$AZ$64:$AZ$71,),),MATCH(内訳計算!AP$6,単価表!$AY$63:$CC$63,0)),
INDEX(単価表!$AY$72:$CC$79,MATCH($V103&amp;$W103,INDEX(単価表!$AY$64:$AY$71&amp;単価表!$AZ$64:$AZ$71,),),MATCH(内訳計算!AP$6,単価表!$AY$63:$CC$63,0))),0)*$Y103/25,0),0)</f>
        <v>0</v>
      </c>
      <c r="AQ103" s="1023" cm="1">
        <f t="array" ref="AQ103">IFERROR(ROUNDUP(IF(HLOOKUP($U103,加算と減算!$E$4:$P$10,4,FALSE)="○",IF(OR($U103=2,$U103=3),
INDEX(単価表!$AY$72:$CC$79,MATCH($V103&amp;$W103,INDEX(単価表!$AY$64:$AY$71&amp;単価表!$AZ$64:$AZ$71,),),MATCH(内訳計算!AQ$6,単価表!$AY$63:$CC$63,0)),
INDEX(単価表!$AY$72:$CC$79,MATCH($V103&amp;$W103,INDEX(単価表!$AY$64:$AY$71&amp;単価表!$AZ$64:$AZ$71,),),MATCH(内訳計算!AQ$6,単価表!$AY$63:$CC$63,0))),0)*$Y103/25,0),0)</f>
        <v>0</v>
      </c>
      <c r="AR103" s="1021" cm="1">
        <f t="array" ref="AR103">IFERROR(IF(HLOOKUP($U103,加算と減算!$E$4:$P$10,5,FALSE)="○",IF(OR($U103=2,$U103=3),
INDEX(単価表!$AY$72:$CC$79,MATCH($V103&amp;$W103,INDEX(単価表!$AY$64:$AY$71&amp;単価表!$AZ$64:$AZ$71,),),MATCH(内訳計算!AR$6,単価表!$AY$63:$CC$63,0)),
INDEX(単価表!$AY$72:$CC$79,MATCH($V103&amp;$W103,INDEX(単価表!$AY$64:$AY$71&amp;単価表!$AZ$64:$AZ$71,),),MATCH(内訳計算!AR$6,単価表!$AY$63:$CC$63,0))),0),0)</f>
        <v>0</v>
      </c>
      <c r="AS103" s="1023" cm="1">
        <f t="array" ref="AS103">IFERROR(ROUNDUP(IF(HLOOKUP($U103,加算と減算!$E$4:$P$10,5,FALSE)="○",IF(OR($U103=2,$U103=3),
INDEX(単価表!$AY$72:$CC$79,MATCH($V103&amp;$W103,INDEX(単価表!$AY$64:$AY$71&amp;単価表!$AZ$64:$AZ$71,),),MATCH(内訳計算!AS$6,単価表!$AY$63:$CC$63,0)),
INDEX(単価表!$AY$72:$CC$79,MATCH($V103&amp;$W103,INDEX(単価表!$AY$64:$AY$71&amp;単価表!$AZ$64:$AZ$71,),),MATCH(内訳計算!AS$6,単価表!$AY$63:$CC$63,0))),0)*$Y103/25,0),0)</f>
        <v>0</v>
      </c>
      <c r="AT103" s="1021" cm="1">
        <f t="array" ref="AT103">IFERROR(IF(HLOOKUP($U103,加算と減算!$E$4:$P$10,6,FALSE)="○",IF(OR($U103=2,$U103=3),
INDEX(単価表!$AY$72:$CC$79,MATCH($V103&amp;$W103,INDEX(単価表!$AY$64:$AY$71&amp;単価表!$AZ$64:$AZ$71,),),MATCH(内訳計算!AT$6,単価表!$AY$63:$CC$63,0)),
INDEX(単価表!$AY$72:$CC$79,MATCH($V103&amp;$W103,INDEX(単価表!$AY$64:$AY$71&amp;単価表!$AZ$64:$AZ$71,),),MATCH(内訳計算!AT$6,単価表!$AY$63:$CC$63,0))),0),0)</f>
        <v>0</v>
      </c>
      <c r="AU103" s="1023" cm="1">
        <f t="array" ref="AU103">IFERROR(ROUNDUP(IF(HLOOKUP($U103,加算と減算!$E$4:$P$10,6,FALSE)="○",IF(OR($U103=2,$U103=3),
INDEX(単価表!$AY$72:$CC$79,MATCH($V103&amp;$W103,INDEX(単価表!$AY$64:$AY$71&amp;単価表!$AZ$64:$AZ$71,),),MATCH(内訳計算!AU$6,単価表!$AY$63:$CC$63,0)),
INDEX(単価表!$AY$72:$CC$79,MATCH($V103&amp;$W103,INDEX(単価表!$AY$64:$AY$71&amp;単価表!$AZ$64:$AZ$71,),),MATCH(内訳計算!AU$6,単価表!$AY$63:$CC$63,0))),0)*$Y103/25,0),0)</f>
        <v>0</v>
      </c>
      <c r="AV103" s="1021" cm="1">
        <f t="array" ref="AV103">IFERROR(IF(HLOOKUP($U103,加算と減算!$E$4:$P$10,7,FALSE)="○",IF(OR($U103=2,$U103=3),
INDEX(単価表!$AY$72:$CC$79,MATCH($V103&amp;$W103,INDEX(単価表!$AY$64:$AY$71&amp;単価表!$AZ$64:$AZ$71,),),MATCH(内訳計算!AV$6,単価表!$AY$63:$CC$63,0)),
INDEX(単価表!$AY$72:$CC$79,MATCH($V103&amp;$W103,INDEX(単価表!$AY$64:$AY$71&amp;単価表!$AZ$64:$AZ$71,),),MATCH(内訳計算!AV$6,単価表!$AY$63:$CC$63,0))),0),0)</f>
        <v>0</v>
      </c>
      <c r="AW103" s="1022" cm="1">
        <f t="array" ref="AW103">IFERROR(ROUNDUP(IF(HLOOKUP($U103,加算と減算!$E$4:$P$10,7,FALSE)="○",IF(OR($U103=2,$U103=3),
INDEX(単価表!$AY$72:$CC$79,MATCH($V103&amp;$W103,INDEX(単価表!$AY$64:$AY$71&amp;単価表!$AZ$64:$AZ$71,),),MATCH(内訳計算!AW$6,単価表!$AY$63:$CC$63,0)),
INDEX(単価表!$AY$72:$CC$79,MATCH($V103&amp;$W103,INDEX(単価表!$AY$64:$AY$71&amp;単価表!$AZ$64:$AZ$71,),),MATCH(内訳計算!AW$6,単価表!$AY$63:$CC$63,0))),0)*$Y103/25,0),0)</f>
        <v>0</v>
      </c>
      <c r="AX103" s="1022" cm="1">
        <f t="array" ref="AX103">IFERROR(ROUNDUP(IF(HLOOKUP($U103,加算と減算!$E$4:$P$10,7,FALSE)="○",IF(OR($U103=2,$U103=3),
INDEX(単価表!$AY$72:$CC$79,MATCH($V103&amp;$W103,INDEX(単価表!$AY$64:$AY$71&amp;単価表!$AZ$64:$AZ$71,),),MATCH(内訳計算!AX$6,単価表!$AY$63:$CC$63,0)),
INDEX(単価表!$AY$72:$CC$79,MATCH($V103&amp;$W103,INDEX(単価表!$AY$64:$AY$71&amp;単価表!$AZ$64:$AZ$71,),),MATCH(内訳計算!AX$6,単価表!$AY$63:$CC$63,0))),0)*$Y103/25,0),0)</f>
        <v>0</v>
      </c>
      <c r="AY103" s="1023" cm="1">
        <f t="array" ref="AY103">IFERROR(ROUNDUP(IF(HLOOKUP($U103,加算と減算!$E$4:$P$10,7,FALSE)="○",IF(OR($U103=2,$U103=3),
INDEX(単価表!$AY$72:$CC$79,MATCH($V103&amp;$W103,INDEX(単価表!$AY$64:$AY$71&amp;単価表!$AZ$64:$AZ$71,),),MATCH(内訳計算!AY$6,単価表!$AY$63:$CC$63,0)),
INDEX(単価表!$AY$72:$CC$79,MATCH($V103&amp;$W103,INDEX(単価表!$AY$64:$AY$71&amp;単価表!$AZ$64:$AZ$71,),),MATCH(内訳計算!AY$6,単価表!$AY$63:$CC$63,0))),0)*$Y103/25,0),0)</f>
        <v>0</v>
      </c>
      <c r="AZ103" s="1021" cm="1">
        <f t="array" ref="AZ103">IFERROR(IF(X103="○",INDEX(単価表!$AY$72:$CC$79,MATCH($V103&amp;$W103,INDEX(単価表!$AY$64:$AY$71&amp;単価表!$AZ$64:$AZ$71,),),MATCH(内訳計算!AZ$6,単価表!$AY$63:$CC$63,0)),0),0)</f>
        <v>0</v>
      </c>
      <c r="BA103" s="1023" cm="1">
        <f t="array" ref="BA103">IFERROR(ROUNDUP(INDEX(単価表!$AY$72:$CC$79,MATCH($V103&amp;$W103,INDEX(単価表!$AY$64:$AY$71&amp;単価表!$AZ$64:$AZ$71,),),MATCH(内訳計算!BA$6,単価表!$AY$63:$CC$63,0))*$Y103/25,0),0)</f>
        <v>0</v>
      </c>
      <c r="BB103" s="1021" cm="1">
        <f t="array" ref="BB103">IFERROR(INDEX(単価表!$AY$72:$CC$79,MATCH($V103&amp;$W103,INDEX(単価表!$AY$64:$AY$71&amp;単価表!$AZ$64:$AZ$71,),),MATCH(内訳計算!BB$6,単価表!$AY$63:$CC$63,0)),0)</f>
        <v>0</v>
      </c>
      <c r="BC103" s="1023" cm="1">
        <f t="array" ref="BC103">IFERROR(ROUNDUP(INDEX(単価表!$AY$72:$CC$79,MATCH($V103&amp;$W103,INDEX(単価表!$AY$64:$AY$71&amp;単価表!$AZ$64:$AZ$71,),),MATCH(内訳計算!BC$6,単価表!$AY$63:$CC$63,0))*$Y103/25,0),0)</f>
        <v>0</v>
      </c>
      <c r="BD103" s="985">
        <f>IFERROR(IF(HLOOKUP($U103,加算と減算!$E$31:$P$32,2,FALSE)="○",IF(OR($U103=2,$U103=3),-(単価表!$AZ$23+単価表!$BA$23*基本情報!$G$7),-(単価表!$AZ$23+単価表!$BA$23*基本情報!$G$7)),0),0)</f>
        <v>0</v>
      </c>
      <c r="BE103" s="1007" t="e">
        <f t="shared" si="171"/>
        <v>#VALUE!</v>
      </c>
      <c r="BF103" s="1007" t="e">
        <f t="shared" si="172"/>
        <v>#VALUE!</v>
      </c>
      <c r="BG103" s="1030" t="e">
        <f t="shared" si="173"/>
        <v>#N/A</v>
      </c>
      <c r="BH103" s="1031">
        <f>IFERROR(IF(基本情報!$E$12&lt;&gt;"",-ROUNDDOWN((AA103+AE103+AH103+AL103)*基本情報!$H$13/100,-1),0),0)</f>
        <v>0</v>
      </c>
      <c r="BI103" s="1007" t="e">
        <f t="shared" si="174"/>
        <v>#VALUE!</v>
      </c>
      <c r="BJ103" s="1007" t="e">
        <f t="shared" si="175"/>
        <v>#VALUE!</v>
      </c>
      <c r="BK103" s="1008" t="e">
        <f t="shared" si="176"/>
        <v>#N/A</v>
      </c>
      <c r="BL103" s="1031">
        <f t="shared" si="185"/>
        <v>0</v>
      </c>
      <c r="BM103" s="1007" t="e">
        <f t="shared" si="177"/>
        <v>#VALUE!</v>
      </c>
      <c r="BN103" s="1007" t="e">
        <f t="shared" si="178"/>
        <v>#VALUE!</v>
      </c>
      <c r="BO103" s="1008" t="e">
        <f t="shared" si="179"/>
        <v>#N/A</v>
      </c>
      <c r="BP103" s="1006">
        <f>IFERROR(-ROUNDUP(SUM(AA103,AE103,AH103,AL103,AR103,AT103,AV103,BD103,BH103,BL103)*基本情報!$H$15/100,-1),0)</f>
        <v>0</v>
      </c>
      <c r="BQ103" s="1007" t="e">
        <f t="shared" si="180"/>
        <v>#VALUE!</v>
      </c>
      <c r="BR103" s="1007" t="e">
        <f t="shared" si="181"/>
        <v>#VALUE!</v>
      </c>
      <c r="BS103" s="1008" t="e">
        <f t="shared" si="182"/>
        <v>#N/A</v>
      </c>
      <c r="BU103" s="1043" t="e">
        <f t="shared" si="186"/>
        <v>#VALUE!</v>
      </c>
      <c r="BV103" s="1044" t="e">
        <f t="shared" si="187"/>
        <v>#VALUE!</v>
      </c>
      <c r="BW103" s="1044" t="e">
        <f t="shared" si="188"/>
        <v>#N/A</v>
      </c>
      <c r="BX103" s="1051">
        <f t="shared" si="189"/>
        <v>0</v>
      </c>
      <c r="BY103" s="1046">
        <f t="shared" si="190"/>
        <v>0</v>
      </c>
    </row>
    <row r="104" spans="1:77" ht="18.75" customHeight="1">
      <c r="A104" s="1640"/>
      <c r="B104" s="1566" t="s">
        <v>676</v>
      </c>
      <c r="C104" s="1567"/>
      <c r="D104" s="1567"/>
      <c r="E104" s="804" t="e">
        <f>E86*E74</f>
        <v>#DIV/0!</v>
      </c>
      <c r="F104" s="804" t="e">
        <f t="shared" ref="F104:P104" si="202">F86*F74</f>
        <v>#DIV/0!</v>
      </c>
      <c r="G104" s="804" t="e">
        <f t="shared" si="202"/>
        <v>#DIV/0!</v>
      </c>
      <c r="H104" s="804" t="e">
        <f t="shared" si="202"/>
        <v>#DIV/0!</v>
      </c>
      <c r="I104" s="804" t="e">
        <f t="shared" si="202"/>
        <v>#DIV/0!</v>
      </c>
      <c r="J104" s="804" t="e">
        <f t="shared" si="202"/>
        <v>#DIV/0!</v>
      </c>
      <c r="K104" s="804" t="e">
        <f t="shared" si="202"/>
        <v>#DIV/0!</v>
      </c>
      <c r="L104" s="804" t="e">
        <f t="shared" si="202"/>
        <v>#DIV/0!</v>
      </c>
      <c r="M104" s="804" t="e">
        <f t="shared" si="202"/>
        <v>#DIV/0!</v>
      </c>
      <c r="N104" s="804" t="e">
        <f t="shared" si="202"/>
        <v>#DIV/0!</v>
      </c>
      <c r="O104" s="804" t="e">
        <f t="shared" si="202"/>
        <v>#DIV/0!</v>
      </c>
      <c r="P104" s="826" t="e">
        <f t="shared" si="202"/>
        <v>#DIV/0!</v>
      </c>
      <c r="Q104" s="829" t="e">
        <f>SUM(E104:P104)</f>
        <v>#DIV/0!</v>
      </c>
      <c r="T104" s="682">
        <v>17</v>
      </c>
      <c r="U104" s="918">
        <f>月途中入退所情報!N47</f>
        <v>0</v>
      </c>
      <c r="V104" s="918">
        <f>月途中入退所情報!R47</f>
        <v>0</v>
      </c>
      <c r="W104" s="918">
        <f>月途中入退所情報!Q47</f>
        <v>0</v>
      </c>
      <c r="X104" s="945">
        <f>月途中入退所情報!S47</f>
        <v>0</v>
      </c>
      <c r="Y104" s="918">
        <f>月途中入退所情報!T47</f>
        <v>0</v>
      </c>
      <c r="Z104" s="840">
        <f t="shared" si="183"/>
        <v>0</v>
      </c>
      <c r="AA104" s="1021" cm="1">
        <f t="array" ref="AA104">IFERROR(IF(OR($U104=2,$U104=3),
INDEX(単価表!$AY$72:$CC$79,MATCH($V104&amp;$W104,INDEX(単価表!$AY$64:$AY$71&amp;単価表!$AZ$64:$AZ$71,),),MATCH(内訳計算!AA$6,単価表!$AY$63:$CC$63,0)),
INDEX(単価表!$AY$72:$CC$79,MATCH($V104&amp;$W104,INDEX(単価表!$AY$64:$AY$71&amp;単価表!$AZ$64:$AZ$71,),),MATCH(内訳計算!AA$6,単価表!$AY$63:$CC$63,0))),0)</f>
        <v>0</v>
      </c>
      <c r="AB104" s="1022" t="e">
        <f t="shared" si="184"/>
        <v>#VALUE!</v>
      </c>
      <c r="AC104" s="1022" cm="1">
        <f t="array" ref="AC104">IFERROR(ROUNDUP(IF(OR($U104=2,$U104=3),
INDEX(単価表!$AY$72:$CC$79,MATCH($V104&amp;$W104,INDEX(単価表!$AY$64:$AY$71&amp;単価表!$AZ$64:$AZ$71,),),MATCH(内訳計算!AC$6,単価表!$AY$63:$CC$63,0)),
INDEX(単価表!$AY$72:$CC$79,MATCH($V104&amp;$W104,INDEX(単価表!$AY$64:$AY$71&amp;単価表!$AZ$64:$AZ$71,),),MATCH(内訳計算!AC$6,単価表!$AY$63:$CC$63,0)))*$Y104/25,0),0)</f>
        <v>0</v>
      </c>
      <c r="AD104" s="1023" cm="1">
        <f t="array" ref="AD104">IFERROR(ROUNDUP(IF(OR($U104=2,$U104=3),
INDEX(単価表!$AY$72:$CC$79,MATCH($V104&amp;$W104,INDEX(単価表!$AY$64:$AY$71&amp;単価表!$AZ$64:$AZ$71,),),MATCH(内訳計算!AD$6,単価表!$AY$63:$CC$63,0)),
INDEX(単価表!$AY$72:$CC$79,MATCH($V104&amp;$W104,INDEX(単価表!$AY$64:$AY$71&amp;単価表!$AZ$64:$AZ$71,),),MATCH(内訳計算!AD$6,単価表!$AY$63:$CC$63,0)))*$Y104/25,0),0)</f>
        <v>0</v>
      </c>
      <c r="AE104" s="1021" cm="1">
        <f t="array" ref="AE104">IFERROR(IF(OR($U104=2,$U104=3),
INDEX(単価表!$AY$72:$CC$79,MATCH($V104&amp;$W104,INDEX(単価表!$AY$64:$AY$71&amp;単価表!$AZ$64:$AZ$71,),),MATCH(内訳計算!AE$6,単価表!$AY$63:$CC$63,0)),
INDEX(単価表!$AY$72:$CC$79,MATCH($V104&amp;$W104,INDEX(単価表!$AY$64:$AY$71&amp;単価表!$AZ$64:$AZ$71,),),MATCH(内訳計算!AE$6,単価表!$AY$63:$CC$63,0))),0)</f>
        <v>0</v>
      </c>
      <c r="AF104" s="1022" cm="1">
        <f t="array" ref="AF104">IFERROR(ROUNDUP(IF(OR($U104=2,$U104=3),
INDEX(単価表!$AY$72:$CC$79,MATCH($V104&amp;$W104,INDEX(単価表!$AY$64:$AY$71&amp;単価表!$AZ$64:$AZ$71,),),MATCH(内訳計算!AF$6,単価表!$AY$63:$CC$63,0)),
INDEX(単価表!$AY$72:$CC$79,MATCH($V104&amp;$W104,INDEX(単価表!$AY$64:$AY$71&amp;単価表!$AZ$64:$AZ$71,),),MATCH(内訳計算!AF$6,単価表!$AY$63:$CC$63,0)))*$Y104/25,0),0)</f>
        <v>0</v>
      </c>
      <c r="AG104" s="1023" cm="1">
        <f t="array" ref="AG104">IFERROR(ROUNDUP(IF(OR($U104=2,$U104=3),
INDEX(単価表!$AY$72:$CC$79,MATCH($V104&amp;$W104,INDEX(単価表!$AY$64:$AY$71&amp;単価表!$AZ$64:$AZ$71,),),MATCH(内訳計算!AG$6,単価表!$AY$63:$CC$63,0)),
INDEX(単価表!$AY$72:$CC$79,MATCH($V104&amp;$W104,INDEX(単価表!$AY$64:$AY$71&amp;単価表!$AZ$64:$AZ$71,),),MATCH(内訳計算!AG$6,単価表!$AY$63:$CC$63,0)))*$Y104/25,0),0)</f>
        <v>0</v>
      </c>
      <c r="AH104" s="1021" cm="1">
        <f t="array" ref="AH104">IFERROR(IF(HLOOKUP($U104,加算と減算!$E$4:$P$10,2,FALSE)="○",IF(OR($U104=2,$U104=3),
INDEX(単価表!$AY$72:$CC$79,MATCH($V104&amp;$W104,INDEX(単価表!$AY$64:$AY$71&amp;単価表!$AZ$64:$AZ$71,),),MATCH(内訳計算!AH$6,単価表!$AY$63:$CC$63,0)),
INDEX(単価表!$AY$72:$CC$79,MATCH($V104&amp;$W104,INDEX(単価表!$AY$64:$AY$71&amp;単価表!$AZ$64:$AZ$71,),),MATCH(内訳計算!AH$6,単価表!$AY$63:$CC$63,0))),0),0)</f>
        <v>0</v>
      </c>
      <c r="AI104" s="1024" cm="1">
        <f t="array" ref="AI104">IFERROR(ROUNDUP(IF(HLOOKUP($U104,加算と減算!$E$4:$P$10,2,FALSE)="○",IF(OR($U104=2,$U104=3),
INDEX(単価表!$AY$72:$CC$79,MATCH($V104&amp;$W104,INDEX(単価表!$AY$64:$AY$71&amp;単価表!$AZ$64:$AZ$71,),),MATCH(内訳計算!AI$6,単価表!$AY$63:$CC$63,0)),
INDEX(単価表!$AY$72:$CC$79,MATCH($V104&amp;$W104,INDEX(単価表!$AY$64:$AY$71&amp;単価表!$AZ$64:$AZ$71,),),MATCH(内訳計算!AI$6,単価表!$AY$63:$CC$63,0))),0)*$Y104/25,0),0)</f>
        <v>0</v>
      </c>
      <c r="AJ104" s="1022" cm="1">
        <f t="array" ref="AJ104">IFERROR(ROUNDUP(IF(HLOOKUP($U104,加算と減算!$E$4:$P$10,2,FALSE)="○",IF(OR($U104=2,$U104=3),
INDEX(単価表!$AY$72:$CC$79,MATCH($V104&amp;$W104,INDEX(単価表!$AY$64:$AY$71&amp;単価表!$AZ$64:$AZ$71,),),MATCH(内訳計算!AJ$6,単価表!$AY$63:$CC$63,0)),
INDEX(単価表!$AY$72:$CC$79,MATCH($V104&amp;$W104,INDEX(単価表!$AY$64:$AY$71&amp;単価表!$AZ$64:$AZ$71,),),MATCH(内訳計算!AJ$6,単価表!$AY$63:$CC$63,0))),0)*$Y104/25,0),0)</f>
        <v>0</v>
      </c>
      <c r="AK104" s="1023" cm="1">
        <f t="array" ref="AK104">IFERROR(ROUNDUP(IF(HLOOKUP($U104,加算と減算!$E$4:$P$10,2,FALSE)="○",IF(OR($U104=2,$U104=3),
INDEX(単価表!$AY$72:$CC$79,MATCH($V104&amp;$W104,INDEX(単価表!$AY$64:$AY$71&amp;単価表!$AZ$64:$AZ$71,),),MATCH(内訳計算!AK$6,単価表!$AY$63:$CC$63,0)),
INDEX(単価表!$AY$72:$CC$79,MATCH($V104&amp;$W104,INDEX(単価表!$AY$64:$AY$71&amp;単価表!$AZ$64:$AZ$71,),),MATCH(内訳計算!AK$6,単価表!$AY$63:$CC$63,0))),0)*$Y104/25,0),0)</f>
        <v>0</v>
      </c>
      <c r="AL104" s="1021" cm="1">
        <f t="array" ref="AL104">IFERROR(IF(HLOOKUP($U104,加算と減算!$E$4:$P$10,4,FALSE)="○",IF(OR($U104=2,$U104=3),
INDEX(単価表!$AY$72:$CC$79,MATCH($V104&amp;$W104,INDEX(単価表!$AY$64:$AY$71&amp;単価表!$AZ$64:$AZ$71,),),MATCH(内訳計算!AL$6,単価表!$AY$63:$CC$63,0)),
INDEX(単価表!$AY$72:$CC$79,MATCH($V104&amp;$W104,INDEX(単価表!$AY$64:$AY$71&amp;単価表!$AZ$64:$AZ$71,),),MATCH(内訳計算!AL$6,単価表!$AY$63:$CC$63,0))),0),0)</f>
        <v>0</v>
      </c>
      <c r="AM104" s="1022" cm="1">
        <f t="array" ref="AM104">IFERROR(ROUNDUP(IF(HLOOKUP($U104,加算と減算!$E$4:$P$10,4,FALSE)="○",IF(OR($U104=2,$U104=3),
INDEX(単価表!$AY$72:$CC$79,MATCH($V104&amp;$W104,INDEX(単価表!$AY$64:$AY$71&amp;単価表!$AZ$64:$AZ$71,),),MATCH(内訳計算!AM$6,単価表!$AY$63:$CC$63,0)),
INDEX(単価表!$AY$72:$CC$79,MATCH($V104&amp;$W104,INDEX(単価表!$AY$64:$AY$71&amp;単価表!$AZ$64:$AZ$71,),),MATCH(内訳計算!AM$6,単価表!$AY$63:$CC$63,0))),0)*$Y104/25,0),0)</f>
        <v>0</v>
      </c>
      <c r="AN104" s="1022" cm="1">
        <f t="array" ref="AN104">IFERROR(ROUNDUP(IF(HLOOKUP($U104,加算と減算!$E$4:$P$10,4,FALSE)="○",IF(OR($U104=2,$U104=3),
INDEX(単価表!$AY$72:$CC$79,MATCH($V104&amp;$W104,INDEX(単価表!$AY$64:$AY$71&amp;単価表!$AZ$64:$AZ$71,),),MATCH(内訳計算!AN$6,単価表!$AY$63:$CC$63,0)),
INDEX(単価表!$AY$72:$CC$79,MATCH($V104&amp;$W104,INDEX(単価表!$AY$64:$AY$71&amp;単価表!$AZ$64:$AZ$71,),),MATCH(内訳計算!AN$6,単価表!$AY$63:$CC$63,0))),0)*$Y104/25,0),0)</f>
        <v>0</v>
      </c>
      <c r="AO104" s="1022" cm="1">
        <f t="array" ref="AO104">IFERROR(ROUNDUP(IF(HLOOKUP($U104,加算と減算!$E$4:$P$10,4,FALSE)="○",IF(OR($U104=2,$U104=3),
INDEX(単価表!$AY$72:$CC$79,MATCH($V104&amp;$W104,INDEX(単価表!$AY$64:$AY$71&amp;単価表!$AZ$64:$AZ$71,),),MATCH(内訳計算!AO$6,単価表!$AY$63:$CC$63,0)),
INDEX(単価表!$AY$72:$CC$79,MATCH($V104&amp;$W104,INDEX(単価表!$AY$64:$AY$71&amp;単価表!$AZ$64:$AZ$71,),),MATCH(内訳計算!AO$6,単価表!$AY$63:$CC$63,0))),0)*$Y104/25,0),0)</f>
        <v>0</v>
      </c>
      <c r="AP104" s="1022" cm="1">
        <f t="array" ref="AP104">IFERROR(ROUNDUP(IF(HLOOKUP($U104,加算と減算!$E$4:$P$10,4,FALSE)="○",IF(OR($U104=2,$U104=3),
INDEX(単価表!$AY$72:$CC$79,MATCH($V104&amp;$W104,INDEX(単価表!$AY$64:$AY$71&amp;単価表!$AZ$64:$AZ$71,),),MATCH(内訳計算!AP$6,単価表!$AY$63:$CC$63,0)),
INDEX(単価表!$AY$72:$CC$79,MATCH($V104&amp;$W104,INDEX(単価表!$AY$64:$AY$71&amp;単価表!$AZ$64:$AZ$71,),),MATCH(内訳計算!AP$6,単価表!$AY$63:$CC$63,0))),0)*$Y104/25,0),0)</f>
        <v>0</v>
      </c>
      <c r="AQ104" s="1023" cm="1">
        <f t="array" ref="AQ104">IFERROR(ROUNDUP(IF(HLOOKUP($U104,加算と減算!$E$4:$P$10,4,FALSE)="○",IF(OR($U104=2,$U104=3),
INDEX(単価表!$AY$72:$CC$79,MATCH($V104&amp;$W104,INDEX(単価表!$AY$64:$AY$71&amp;単価表!$AZ$64:$AZ$71,),),MATCH(内訳計算!AQ$6,単価表!$AY$63:$CC$63,0)),
INDEX(単価表!$AY$72:$CC$79,MATCH($V104&amp;$W104,INDEX(単価表!$AY$64:$AY$71&amp;単価表!$AZ$64:$AZ$71,),),MATCH(内訳計算!AQ$6,単価表!$AY$63:$CC$63,0))),0)*$Y104/25,0),0)</f>
        <v>0</v>
      </c>
      <c r="AR104" s="1021" cm="1">
        <f t="array" ref="AR104">IFERROR(IF(HLOOKUP($U104,加算と減算!$E$4:$P$10,5,FALSE)="○",IF(OR($U104=2,$U104=3),
INDEX(単価表!$AY$72:$CC$79,MATCH($V104&amp;$W104,INDEX(単価表!$AY$64:$AY$71&amp;単価表!$AZ$64:$AZ$71,),),MATCH(内訳計算!AR$6,単価表!$AY$63:$CC$63,0)),
INDEX(単価表!$AY$72:$CC$79,MATCH($V104&amp;$W104,INDEX(単価表!$AY$64:$AY$71&amp;単価表!$AZ$64:$AZ$71,),),MATCH(内訳計算!AR$6,単価表!$AY$63:$CC$63,0))),0),0)</f>
        <v>0</v>
      </c>
      <c r="AS104" s="1023" cm="1">
        <f t="array" ref="AS104">IFERROR(ROUNDUP(IF(HLOOKUP($U104,加算と減算!$E$4:$P$10,5,FALSE)="○",IF(OR($U104=2,$U104=3),
INDEX(単価表!$AY$72:$CC$79,MATCH($V104&amp;$W104,INDEX(単価表!$AY$64:$AY$71&amp;単価表!$AZ$64:$AZ$71,),),MATCH(内訳計算!AS$6,単価表!$AY$63:$CC$63,0)),
INDEX(単価表!$AY$72:$CC$79,MATCH($V104&amp;$W104,INDEX(単価表!$AY$64:$AY$71&amp;単価表!$AZ$64:$AZ$71,),),MATCH(内訳計算!AS$6,単価表!$AY$63:$CC$63,0))),0)*$Y104/25,0),0)</f>
        <v>0</v>
      </c>
      <c r="AT104" s="1021" cm="1">
        <f t="array" ref="AT104">IFERROR(IF(HLOOKUP($U104,加算と減算!$E$4:$P$10,6,FALSE)="○",IF(OR($U104=2,$U104=3),
INDEX(単価表!$AY$72:$CC$79,MATCH($V104&amp;$W104,INDEX(単価表!$AY$64:$AY$71&amp;単価表!$AZ$64:$AZ$71,),),MATCH(内訳計算!AT$6,単価表!$AY$63:$CC$63,0)),
INDEX(単価表!$AY$72:$CC$79,MATCH($V104&amp;$W104,INDEX(単価表!$AY$64:$AY$71&amp;単価表!$AZ$64:$AZ$71,),),MATCH(内訳計算!AT$6,単価表!$AY$63:$CC$63,0))),0),0)</f>
        <v>0</v>
      </c>
      <c r="AU104" s="1023" cm="1">
        <f t="array" ref="AU104">IFERROR(ROUNDUP(IF(HLOOKUP($U104,加算と減算!$E$4:$P$10,6,FALSE)="○",IF(OR($U104=2,$U104=3),
INDEX(単価表!$AY$72:$CC$79,MATCH($V104&amp;$W104,INDEX(単価表!$AY$64:$AY$71&amp;単価表!$AZ$64:$AZ$71,),),MATCH(内訳計算!AU$6,単価表!$AY$63:$CC$63,0)),
INDEX(単価表!$AY$72:$CC$79,MATCH($V104&amp;$W104,INDEX(単価表!$AY$64:$AY$71&amp;単価表!$AZ$64:$AZ$71,),),MATCH(内訳計算!AU$6,単価表!$AY$63:$CC$63,0))),0)*$Y104/25,0),0)</f>
        <v>0</v>
      </c>
      <c r="AV104" s="1021" cm="1">
        <f t="array" ref="AV104">IFERROR(IF(HLOOKUP($U104,加算と減算!$E$4:$P$10,7,FALSE)="○",IF(OR($U104=2,$U104=3),
INDEX(単価表!$AY$72:$CC$79,MATCH($V104&amp;$W104,INDEX(単価表!$AY$64:$AY$71&amp;単価表!$AZ$64:$AZ$71,),),MATCH(内訳計算!AV$6,単価表!$AY$63:$CC$63,0)),
INDEX(単価表!$AY$72:$CC$79,MATCH($V104&amp;$W104,INDEX(単価表!$AY$64:$AY$71&amp;単価表!$AZ$64:$AZ$71,),),MATCH(内訳計算!AV$6,単価表!$AY$63:$CC$63,0))),0),0)</f>
        <v>0</v>
      </c>
      <c r="AW104" s="1022" cm="1">
        <f t="array" ref="AW104">IFERROR(ROUNDUP(IF(HLOOKUP($U104,加算と減算!$E$4:$P$10,7,FALSE)="○",IF(OR($U104=2,$U104=3),
INDEX(単価表!$AY$72:$CC$79,MATCH($V104&amp;$W104,INDEX(単価表!$AY$64:$AY$71&amp;単価表!$AZ$64:$AZ$71,),),MATCH(内訳計算!AW$6,単価表!$AY$63:$CC$63,0)),
INDEX(単価表!$AY$72:$CC$79,MATCH($V104&amp;$W104,INDEX(単価表!$AY$64:$AY$71&amp;単価表!$AZ$64:$AZ$71,),),MATCH(内訳計算!AW$6,単価表!$AY$63:$CC$63,0))),0)*$Y104/25,0),0)</f>
        <v>0</v>
      </c>
      <c r="AX104" s="1022" cm="1">
        <f t="array" ref="AX104">IFERROR(ROUNDUP(IF(HLOOKUP($U104,加算と減算!$E$4:$P$10,7,FALSE)="○",IF(OR($U104=2,$U104=3),
INDEX(単価表!$AY$72:$CC$79,MATCH($V104&amp;$W104,INDEX(単価表!$AY$64:$AY$71&amp;単価表!$AZ$64:$AZ$71,),),MATCH(内訳計算!AX$6,単価表!$AY$63:$CC$63,0)),
INDEX(単価表!$AY$72:$CC$79,MATCH($V104&amp;$W104,INDEX(単価表!$AY$64:$AY$71&amp;単価表!$AZ$64:$AZ$71,),),MATCH(内訳計算!AX$6,単価表!$AY$63:$CC$63,0))),0)*$Y104/25,0),0)</f>
        <v>0</v>
      </c>
      <c r="AY104" s="1023" cm="1">
        <f t="array" ref="AY104">IFERROR(ROUNDUP(IF(HLOOKUP($U104,加算と減算!$E$4:$P$10,7,FALSE)="○",IF(OR($U104=2,$U104=3),
INDEX(単価表!$AY$72:$CC$79,MATCH($V104&amp;$W104,INDEX(単価表!$AY$64:$AY$71&amp;単価表!$AZ$64:$AZ$71,),),MATCH(内訳計算!AY$6,単価表!$AY$63:$CC$63,0)),
INDEX(単価表!$AY$72:$CC$79,MATCH($V104&amp;$W104,INDEX(単価表!$AY$64:$AY$71&amp;単価表!$AZ$64:$AZ$71,),),MATCH(内訳計算!AY$6,単価表!$AY$63:$CC$63,0))),0)*$Y104/25,0),0)</f>
        <v>0</v>
      </c>
      <c r="AZ104" s="1021" cm="1">
        <f t="array" ref="AZ104">IFERROR(IF(X104="○",INDEX(単価表!$AY$72:$CC$79,MATCH($V104&amp;$W104,INDEX(単価表!$AY$64:$AY$71&amp;単価表!$AZ$64:$AZ$71,),),MATCH(内訳計算!AZ$6,単価表!$AY$63:$CC$63,0)),0),0)</f>
        <v>0</v>
      </c>
      <c r="BA104" s="1023" cm="1">
        <f t="array" ref="BA104">IFERROR(ROUNDUP(INDEX(単価表!$AY$72:$CC$79,MATCH($V104&amp;$W104,INDEX(単価表!$AY$64:$AY$71&amp;単価表!$AZ$64:$AZ$71,),),MATCH(内訳計算!BA$6,単価表!$AY$63:$CC$63,0))*$Y104/25,0),0)</f>
        <v>0</v>
      </c>
      <c r="BB104" s="1021" cm="1">
        <f t="array" ref="BB104">IFERROR(INDEX(単価表!$AY$72:$CC$79,MATCH($V104&amp;$W104,INDEX(単価表!$AY$64:$AY$71&amp;単価表!$AZ$64:$AZ$71,),),MATCH(内訳計算!BB$6,単価表!$AY$63:$CC$63,0)),0)</f>
        <v>0</v>
      </c>
      <c r="BC104" s="1023" cm="1">
        <f t="array" ref="BC104">IFERROR(ROUNDUP(INDEX(単価表!$AY$72:$CC$79,MATCH($V104&amp;$W104,INDEX(単価表!$AY$64:$AY$71&amp;単価表!$AZ$64:$AZ$71,),),MATCH(内訳計算!BC$6,単価表!$AY$63:$CC$63,0))*$Y104/25,0),0)</f>
        <v>0</v>
      </c>
      <c r="BD104" s="985">
        <f>IFERROR(IF(HLOOKUP($U104,加算と減算!$E$31:$P$32,2,FALSE)="○",IF(OR($U104=2,$U104=3),-(単価表!$AZ$23+単価表!$BA$23*基本情報!$G$7),-(単価表!$AZ$23+単価表!$BA$23*基本情報!$G$7)),0),0)</f>
        <v>0</v>
      </c>
      <c r="BE104" s="1007" t="e">
        <f t="shared" si="171"/>
        <v>#VALUE!</v>
      </c>
      <c r="BF104" s="1007" t="e">
        <f t="shared" si="172"/>
        <v>#VALUE!</v>
      </c>
      <c r="BG104" s="1030" t="e">
        <f t="shared" si="173"/>
        <v>#N/A</v>
      </c>
      <c r="BH104" s="1031">
        <f>IFERROR(IF(基本情報!$E$12&lt;&gt;"",-ROUNDDOWN((AA104+AE104+AH104+AL104)*基本情報!$H$13/100,-1),0),0)</f>
        <v>0</v>
      </c>
      <c r="BI104" s="1007" t="e">
        <f t="shared" si="174"/>
        <v>#VALUE!</v>
      </c>
      <c r="BJ104" s="1007" t="e">
        <f t="shared" si="175"/>
        <v>#VALUE!</v>
      </c>
      <c r="BK104" s="1008" t="e">
        <f t="shared" si="176"/>
        <v>#N/A</v>
      </c>
      <c r="BL104" s="1031">
        <f t="shared" si="185"/>
        <v>0</v>
      </c>
      <c r="BM104" s="1010" t="e">
        <f t="shared" si="177"/>
        <v>#VALUE!</v>
      </c>
      <c r="BN104" s="1010" t="e">
        <f t="shared" si="178"/>
        <v>#VALUE!</v>
      </c>
      <c r="BO104" s="1011" t="e">
        <f t="shared" si="179"/>
        <v>#N/A</v>
      </c>
      <c r="BP104" s="1009">
        <f>IFERROR(-ROUNDUP(SUM(AA104,AE104,AH104,AL104,AR104,AT104,AV104,BD104,BH104,BL104)*基本情報!$H$15/100,-1),0)</f>
        <v>0</v>
      </c>
      <c r="BQ104" s="1010" t="e">
        <f t="shared" si="180"/>
        <v>#VALUE!</v>
      </c>
      <c r="BR104" s="1010" t="e">
        <f t="shared" si="181"/>
        <v>#VALUE!</v>
      </c>
      <c r="BS104" s="1011" t="e">
        <f t="shared" si="182"/>
        <v>#N/A</v>
      </c>
      <c r="BU104" s="1043" t="e">
        <f t="shared" si="186"/>
        <v>#VALUE!</v>
      </c>
      <c r="BV104" s="1044" t="e">
        <f t="shared" si="187"/>
        <v>#VALUE!</v>
      </c>
      <c r="BW104" s="1044" t="e">
        <f t="shared" si="188"/>
        <v>#N/A</v>
      </c>
      <c r="BX104" s="1051">
        <f t="shared" si="189"/>
        <v>0</v>
      </c>
      <c r="BY104" s="1045">
        <f t="shared" si="190"/>
        <v>0</v>
      </c>
    </row>
    <row r="105" spans="1:77" ht="18.75" customHeight="1">
      <c r="A105" s="1640"/>
      <c r="B105" s="1572" t="s">
        <v>677</v>
      </c>
      <c r="C105" s="1573"/>
      <c r="D105" s="1573"/>
      <c r="E105" s="804" t="e">
        <f>E87*E74</f>
        <v>#DIV/0!</v>
      </c>
      <c r="F105" s="804" t="e">
        <f t="shared" ref="F105:P105" si="203">F87*F74</f>
        <v>#DIV/0!</v>
      </c>
      <c r="G105" s="804" t="e">
        <f t="shared" si="203"/>
        <v>#DIV/0!</v>
      </c>
      <c r="H105" s="804" t="e">
        <f t="shared" si="203"/>
        <v>#DIV/0!</v>
      </c>
      <c r="I105" s="804" t="e">
        <f t="shared" si="203"/>
        <v>#DIV/0!</v>
      </c>
      <c r="J105" s="804" t="e">
        <f t="shared" si="203"/>
        <v>#DIV/0!</v>
      </c>
      <c r="K105" s="804" t="e">
        <f t="shared" si="203"/>
        <v>#DIV/0!</v>
      </c>
      <c r="L105" s="804" t="e">
        <f t="shared" si="203"/>
        <v>#DIV/0!</v>
      </c>
      <c r="M105" s="804" t="e">
        <f t="shared" si="203"/>
        <v>#DIV/0!</v>
      </c>
      <c r="N105" s="804" t="e">
        <f t="shared" si="203"/>
        <v>#DIV/0!</v>
      </c>
      <c r="O105" s="804" t="e">
        <f t="shared" si="203"/>
        <v>#DIV/0!</v>
      </c>
      <c r="P105" s="826" t="e">
        <f t="shared" si="203"/>
        <v>#DIV/0!</v>
      </c>
      <c r="Q105" s="829" t="e">
        <f t="shared" ref="Q105:Q108" si="204">SUM(E105:P105)</f>
        <v>#DIV/0!</v>
      </c>
      <c r="T105" s="682">
        <v>18</v>
      </c>
      <c r="U105" s="918">
        <f>月途中入退所情報!N48</f>
        <v>0</v>
      </c>
      <c r="V105" s="918">
        <f>月途中入退所情報!R48</f>
        <v>0</v>
      </c>
      <c r="W105" s="918">
        <f>月途中入退所情報!Q48</f>
        <v>0</v>
      </c>
      <c r="X105" s="945">
        <f>月途中入退所情報!S48</f>
        <v>0</v>
      </c>
      <c r="Y105" s="918">
        <f>月途中入退所情報!T48</f>
        <v>0</v>
      </c>
      <c r="Z105" s="840">
        <f t="shared" si="183"/>
        <v>0</v>
      </c>
      <c r="AA105" s="1021" cm="1">
        <f t="array" ref="AA105">IFERROR(IF(OR($U105=2,$U105=3),
INDEX(単価表!$AY$72:$CC$79,MATCH($V105&amp;$W105,INDEX(単価表!$AY$64:$AY$71&amp;単価表!$AZ$64:$AZ$71,),),MATCH(内訳計算!AA$6,単価表!$AY$63:$CC$63,0)),
INDEX(単価表!$AY$72:$CC$79,MATCH($V105&amp;$W105,INDEX(単価表!$AY$64:$AY$71&amp;単価表!$AZ$64:$AZ$71,),),MATCH(内訳計算!AA$6,単価表!$AY$63:$CC$63,0))),0)</f>
        <v>0</v>
      </c>
      <c r="AB105" s="1022" t="e">
        <f t="shared" si="184"/>
        <v>#VALUE!</v>
      </c>
      <c r="AC105" s="1022" cm="1">
        <f t="array" ref="AC105">IFERROR(ROUNDUP(IF(OR($U105=2,$U105=3),
INDEX(単価表!$AY$72:$CC$79,MATCH($V105&amp;$W105,INDEX(単価表!$AY$64:$AY$71&amp;単価表!$AZ$64:$AZ$71,),),MATCH(内訳計算!AC$6,単価表!$AY$63:$CC$63,0)),
INDEX(単価表!$AY$72:$CC$79,MATCH($V105&amp;$W105,INDEX(単価表!$AY$64:$AY$71&amp;単価表!$AZ$64:$AZ$71,),),MATCH(内訳計算!AC$6,単価表!$AY$63:$CC$63,0)))*$Y105/25,0),0)</f>
        <v>0</v>
      </c>
      <c r="AD105" s="1023" cm="1">
        <f t="array" ref="AD105">IFERROR(ROUNDUP(IF(OR($U105=2,$U105=3),
INDEX(単価表!$AY$72:$CC$79,MATCH($V105&amp;$W105,INDEX(単価表!$AY$64:$AY$71&amp;単価表!$AZ$64:$AZ$71,),),MATCH(内訳計算!AD$6,単価表!$AY$63:$CC$63,0)),
INDEX(単価表!$AY$72:$CC$79,MATCH($V105&amp;$W105,INDEX(単価表!$AY$64:$AY$71&amp;単価表!$AZ$64:$AZ$71,),),MATCH(内訳計算!AD$6,単価表!$AY$63:$CC$63,0)))*$Y105/25,0),0)</f>
        <v>0</v>
      </c>
      <c r="AE105" s="1021" cm="1">
        <f t="array" ref="AE105">IFERROR(IF(OR($U105=2,$U105=3),
INDEX(単価表!$AY$72:$CC$79,MATCH($V105&amp;$W105,INDEX(単価表!$AY$64:$AY$71&amp;単価表!$AZ$64:$AZ$71,),),MATCH(内訳計算!AE$6,単価表!$AY$63:$CC$63,0)),
INDEX(単価表!$AY$72:$CC$79,MATCH($V105&amp;$W105,INDEX(単価表!$AY$64:$AY$71&amp;単価表!$AZ$64:$AZ$71,),),MATCH(内訳計算!AE$6,単価表!$AY$63:$CC$63,0))),0)</f>
        <v>0</v>
      </c>
      <c r="AF105" s="1022" cm="1">
        <f t="array" ref="AF105">IFERROR(ROUNDUP(IF(OR($U105=2,$U105=3),
INDEX(単価表!$AY$72:$CC$79,MATCH($V105&amp;$W105,INDEX(単価表!$AY$64:$AY$71&amp;単価表!$AZ$64:$AZ$71,),),MATCH(内訳計算!AF$6,単価表!$AY$63:$CC$63,0)),
INDEX(単価表!$AY$72:$CC$79,MATCH($V105&amp;$W105,INDEX(単価表!$AY$64:$AY$71&amp;単価表!$AZ$64:$AZ$71,),),MATCH(内訳計算!AF$6,単価表!$AY$63:$CC$63,0)))*$Y105/25,0),0)</f>
        <v>0</v>
      </c>
      <c r="AG105" s="1023" cm="1">
        <f t="array" ref="AG105">IFERROR(ROUNDUP(IF(OR($U105=2,$U105=3),
INDEX(単価表!$AY$72:$CC$79,MATCH($V105&amp;$W105,INDEX(単価表!$AY$64:$AY$71&amp;単価表!$AZ$64:$AZ$71,),),MATCH(内訳計算!AG$6,単価表!$AY$63:$CC$63,0)),
INDEX(単価表!$AY$72:$CC$79,MATCH($V105&amp;$W105,INDEX(単価表!$AY$64:$AY$71&amp;単価表!$AZ$64:$AZ$71,),),MATCH(内訳計算!AG$6,単価表!$AY$63:$CC$63,0)))*$Y105/25,0),0)</f>
        <v>0</v>
      </c>
      <c r="AH105" s="1021" cm="1">
        <f t="array" ref="AH105">IFERROR(IF(HLOOKUP($U105,加算と減算!$E$4:$P$10,2,FALSE)="○",IF(OR($U105=2,$U105=3),
INDEX(単価表!$AY$72:$CC$79,MATCH($V105&amp;$W105,INDEX(単価表!$AY$64:$AY$71&amp;単価表!$AZ$64:$AZ$71,),),MATCH(内訳計算!AH$6,単価表!$AY$63:$CC$63,0)),
INDEX(単価表!$AY$72:$CC$79,MATCH($V105&amp;$W105,INDEX(単価表!$AY$64:$AY$71&amp;単価表!$AZ$64:$AZ$71,),),MATCH(内訳計算!AH$6,単価表!$AY$63:$CC$63,0))),0),0)</f>
        <v>0</v>
      </c>
      <c r="AI105" s="1024" cm="1">
        <f t="array" ref="AI105">IFERROR(ROUNDUP(IF(HLOOKUP($U105,加算と減算!$E$4:$P$10,2,FALSE)="○",IF(OR($U105=2,$U105=3),
INDEX(単価表!$AY$72:$CC$79,MATCH($V105&amp;$W105,INDEX(単価表!$AY$64:$AY$71&amp;単価表!$AZ$64:$AZ$71,),),MATCH(内訳計算!AI$6,単価表!$AY$63:$CC$63,0)),
INDEX(単価表!$AY$72:$CC$79,MATCH($V105&amp;$W105,INDEX(単価表!$AY$64:$AY$71&amp;単価表!$AZ$64:$AZ$71,),),MATCH(内訳計算!AI$6,単価表!$AY$63:$CC$63,0))),0)*$Y105/25,0),0)</f>
        <v>0</v>
      </c>
      <c r="AJ105" s="1022" cm="1">
        <f t="array" ref="AJ105">IFERROR(ROUNDUP(IF(HLOOKUP($U105,加算と減算!$E$4:$P$10,2,FALSE)="○",IF(OR($U105=2,$U105=3),
INDEX(単価表!$AY$72:$CC$79,MATCH($V105&amp;$W105,INDEX(単価表!$AY$64:$AY$71&amp;単価表!$AZ$64:$AZ$71,),),MATCH(内訳計算!AJ$6,単価表!$AY$63:$CC$63,0)),
INDEX(単価表!$AY$72:$CC$79,MATCH($V105&amp;$W105,INDEX(単価表!$AY$64:$AY$71&amp;単価表!$AZ$64:$AZ$71,),),MATCH(内訳計算!AJ$6,単価表!$AY$63:$CC$63,0))),0)*$Y105/25,0),0)</f>
        <v>0</v>
      </c>
      <c r="AK105" s="1023" cm="1">
        <f t="array" ref="AK105">IFERROR(ROUNDUP(IF(HLOOKUP($U105,加算と減算!$E$4:$P$10,2,FALSE)="○",IF(OR($U105=2,$U105=3),
INDEX(単価表!$AY$72:$CC$79,MATCH($V105&amp;$W105,INDEX(単価表!$AY$64:$AY$71&amp;単価表!$AZ$64:$AZ$71,),),MATCH(内訳計算!AK$6,単価表!$AY$63:$CC$63,0)),
INDEX(単価表!$AY$72:$CC$79,MATCH($V105&amp;$W105,INDEX(単価表!$AY$64:$AY$71&amp;単価表!$AZ$64:$AZ$71,),),MATCH(内訳計算!AK$6,単価表!$AY$63:$CC$63,0))),0)*$Y105/25,0),0)</f>
        <v>0</v>
      </c>
      <c r="AL105" s="1021" cm="1">
        <f t="array" ref="AL105">IFERROR(IF(HLOOKUP($U105,加算と減算!$E$4:$P$10,4,FALSE)="○",IF(OR($U105=2,$U105=3),
INDEX(単価表!$AY$72:$CC$79,MATCH($V105&amp;$W105,INDEX(単価表!$AY$64:$AY$71&amp;単価表!$AZ$64:$AZ$71,),),MATCH(内訳計算!AL$6,単価表!$AY$63:$CC$63,0)),
INDEX(単価表!$AY$72:$CC$79,MATCH($V105&amp;$W105,INDEX(単価表!$AY$64:$AY$71&amp;単価表!$AZ$64:$AZ$71,),),MATCH(内訳計算!AL$6,単価表!$AY$63:$CC$63,0))),0),0)</f>
        <v>0</v>
      </c>
      <c r="AM105" s="1022" cm="1">
        <f t="array" ref="AM105">IFERROR(ROUNDUP(IF(HLOOKUP($U105,加算と減算!$E$4:$P$10,4,FALSE)="○",IF(OR($U105=2,$U105=3),
INDEX(単価表!$AY$72:$CC$79,MATCH($V105&amp;$W105,INDEX(単価表!$AY$64:$AY$71&amp;単価表!$AZ$64:$AZ$71,),),MATCH(内訳計算!AM$6,単価表!$AY$63:$CC$63,0)),
INDEX(単価表!$AY$72:$CC$79,MATCH($V105&amp;$W105,INDEX(単価表!$AY$64:$AY$71&amp;単価表!$AZ$64:$AZ$71,),),MATCH(内訳計算!AM$6,単価表!$AY$63:$CC$63,0))),0)*$Y105/25,0),0)</f>
        <v>0</v>
      </c>
      <c r="AN105" s="1022" cm="1">
        <f t="array" ref="AN105">IFERROR(ROUNDUP(IF(HLOOKUP($U105,加算と減算!$E$4:$P$10,4,FALSE)="○",IF(OR($U105=2,$U105=3),
INDEX(単価表!$AY$72:$CC$79,MATCH($V105&amp;$W105,INDEX(単価表!$AY$64:$AY$71&amp;単価表!$AZ$64:$AZ$71,),),MATCH(内訳計算!AN$6,単価表!$AY$63:$CC$63,0)),
INDEX(単価表!$AY$72:$CC$79,MATCH($V105&amp;$W105,INDEX(単価表!$AY$64:$AY$71&amp;単価表!$AZ$64:$AZ$71,),),MATCH(内訳計算!AN$6,単価表!$AY$63:$CC$63,0))),0)*$Y105/25,0),0)</f>
        <v>0</v>
      </c>
      <c r="AO105" s="1022" cm="1">
        <f t="array" ref="AO105">IFERROR(ROUNDUP(IF(HLOOKUP($U105,加算と減算!$E$4:$P$10,4,FALSE)="○",IF(OR($U105=2,$U105=3),
INDEX(単価表!$AY$72:$CC$79,MATCH($V105&amp;$W105,INDEX(単価表!$AY$64:$AY$71&amp;単価表!$AZ$64:$AZ$71,),),MATCH(内訳計算!AO$6,単価表!$AY$63:$CC$63,0)),
INDEX(単価表!$AY$72:$CC$79,MATCH($V105&amp;$W105,INDEX(単価表!$AY$64:$AY$71&amp;単価表!$AZ$64:$AZ$71,),),MATCH(内訳計算!AO$6,単価表!$AY$63:$CC$63,0))),0)*$Y105/25,0),0)</f>
        <v>0</v>
      </c>
      <c r="AP105" s="1022" cm="1">
        <f t="array" ref="AP105">IFERROR(ROUNDUP(IF(HLOOKUP($U105,加算と減算!$E$4:$P$10,4,FALSE)="○",IF(OR($U105=2,$U105=3),
INDEX(単価表!$AY$72:$CC$79,MATCH($V105&amp;$W105,INDEX(単価表!$AY$64:$AY$71&amp;単価表!$AZ$64:$AZ$71,),),MATCH(内訳計算!AP$6,単価表!$AY$63:$CC$63,0)),
INDEX(単価表!$AY$72:$CC$79,MATCH($V105&amp;$W105,INDEX(単価表!$AY$64:$AY$71&amp;単価表!$AZ$64:$AZ$71,),),MATCH(内訳計算!AP$6,単価表!$AY$63:$CC$63,0))),0)*$Y105/25,0),0)</f>
        <v>0</v>
      </c>
      <c r="AQ105" s="1023" cm="1">
        <f t="array" ref="AQ105">IFERROR(ROUNDUP(IF(HLOOKUP($U105,加算と減算!$E$4:$P$10,4,FALSE)="○",IF(OR($U105=2,$U105=3),
INDEX(単価表!$AY$72:$CC$79,MATCH($V105&amp;$W105,INDEX(単価表!$AY$64:$AY$71&amp;単価表!$AZ$64:$AZ$71,),),MATCH(内訳計算!AQ$6,単価表!$AY$63:$CC$63,0)),
INDEX(単価表!$AY$72:$CC$79,MATCH($V105&amp;$W105,INDEX(単価表!$AY$64:$AY$71&amp;単価表!$AZ$64:$AZ$71,),),MATCH(内訳計算!AQ$6,単価表!$AY$63:$CC$63,0))),0)*$Y105/25,0),0)</f>
        <v>0</v>
      </c>
      <c r="AR105" s="1021" cm="1">
        <f t="array" ref="AR105">IFERROR(IF(HLOOKUP($U105,加算と減算!$E$4:$P$10,5,FALSE)="○",IF(OR($U105=2,$U105=3),
INDEX(単価表!$AY$72:$CC$79,MATCH($V105&amp;$W105,INDEX(単価表!$AY$64:$AY$71&amp;単価表!$AZ$64:$AZ$71,),),MATCH(内訳計算!AR$6,単価表!$AY$63:$CC$63,0)),
INDEX(単価表!$AY$72:$CC$79,MATCH($V105&amp;$W105,INDEX(単価表!$AY$64:$AY$71&amp;単価表!$AZ$64:$AZ$71,),),MATCH(内訳計算!AR$6,単価表!$AY$63:$CC$63,0))),0),0)</f>
        <v>0</v>
      </c>
      <c r="AS105" s="1023" cm="1">
        <f t="array" ref="AS105">IFERROR(ROUNDUP(IF(HLOOKUP($U105,加算と減算!$E$4:$P$10,5,FALSE)="○",IF(OR($U105=2,$U105=3),
INDEX(単価表!$AY$72:$CC$79,MATCH($V105&amp;$W105,INDEX(単価表!$AY$64:$AY$71&amp;単価表!$AZ$64:$AZ$71,),),MATCH(内訳計算!AS$6,単価表!$AY$63:$CC$63,0)),
INDEX(単価表!$AY$72:$CC$79,MATCH($V105&amp;$W105,INDEX(単価表!$AY$64:$AY$71&amp;単価表!$AZ$64:$AZ$71,),),MATCH(内訳計算!AS$6,単価表!$AY$63:$CC$63,0))),0)*$Y105/25,0),0)</f>
        <v>0</v>
      </c>
      <c r="AT105" s="1021" cm="1">
        <f t="array" ref="AT105">IFERROR(IF(HLOOKUP($U105,加算と減算!$E$4:$P$10,6,FALSE)="○",IF(OR($U105=2,$U105=3),
INDEX(単価表!$AY$72:$CC$79,MATCH($V105&amp;$W105,INDEX(単価表!$AY$64:$AY$71&amp;単価表!$AZ$64:$AZ$71,),),MATCH(内訳計算!AT$6,単価表!$AY$63:$CC$63,0)),
INDEX(単価表!$AY$72:$CC$79,MATCH($V105&amp;$W105,INDEX(単価表!$AY$64:$AY$71&amp;単価表!$AZ$64:$AZ$71,),),MATCH(内訳計算!AT$6,単価表!$AY$63:$CC$63,0))),0),0)</f>
        <v>0</v>
      </c>
      <c r="AU105" s="1023" cm="1">
        <f t="array" ref="AU105">IFERROR(ROUNDUP(IF(HLOOKUP($U105,加算と減算!$E$4:$P$10,6,FALSE)="○",IF(OR($U105=2,$U105=3),
INDEX(単価表!$AY$72:$CC$79,MATCH($V105&amp;$W105,INDEX(単価表!$AY$64:$AY$71&amp;単価表!$AZ$64:$AZ$71,),),MATCH(内訳計算!AU$6,単価表!$AY$63:$CC$63,0)),
INDEX(単価表!$AY$72:$CC$79,MATCH($V105&amp;$W105,INDEX(単価表!$AY$64:$AY$71&amp;単価表!$AZ$64:$AZ$71,),),MATCH(内訳計算!AU$6,単価表!$AY$63:$CC$63,0))),0)*$Y105/25,0),0)</f>
        <v>0</v>
      </c>
      <c r="AV105" s="1021" cm="1">
        <f t="array" ref="AV105">IFERROR(IF(HLOOKUP($U105,加算と減算!$E$4:$P$10,7,FALSE)="○",IF(OR($U105=2,$U105=3),
INDEX(単価表!$AY$72:$CC$79,MATCH($V105&amp;$W105,INDEX(単価表!$AY$64:$AY$71&amp;単価表!$AZ$64:$AZ$71,),),MATCH(内訳計算!AV$6,単価表!$AY$63:$CC$63,0)),
INDEX(単価表!$AY$72:$CC$79,MATCH($V105&amp;$W105,INDEX(単価表!$AY$64:$AY$71&amp;単価表!$AZ$64:$AZ$71,),),MATCH(内訳計算!AV$6,単価表!$AY$63:$CC$63,0))),0),0)</f>
        <v>0</v>
      </c>
      <c r="AW105" s="1022" cm="1">
        <f t="array" ref="AW105">IFERROR(ROUNDUP(IF(HLOOKUP($U105,加算と減算!$E$4:$P$10,7,FALSE)="○",IF(OR($U105=2,$U105=3),
INDEX(単価表!$AY$72:$CC$79,MATCH($V105&amp;$W105,INDEX(単価表!$AY$64:$AY$71&amp;単価表!$AZ$64:$AZ$71,),),MATCH(内訳計算!AW$6,単価表!$AY$63:$CC$63,0)),
INDEX(単価表!$AY$72:$CC$79,MATCH($V105&amp;$W105,INDEX(単価表!$AY$64:$AY$71&amp;単価表!$AZ$64:$AZ$71,),),MATCH(内訳計算!AW$6,単価表!$AY$63:$CC$63,0))),0)*$Y105/25,0),0)</f>
        <v>0</v>
      </c>
      <c r="AX105" s="1022" cm="1">
        <f t="array" ref="AX105">IFERROR(ROUNDUP(IF(HLOOKUP($U105,加算と減算!$E$4:$P$10,7,FALSE)="○",IF(OR($U105=2,$U105=3),
INDEX(単価表!$AY$72:$CC$79,MATCH($V105&amp;$W105,INDEX(単価表!$AY$64:$AY$71&amp;単価表!$AZ$64:$AZ$71,),),MATCH(内訳計算!AX$6,単価表!$AY$63:$CC$63,0)),
INDEX(単価表!$AY$72:$CC$79,MATCH($V105&amp;$W105,INDEX(単価表!$AY$64:$AY$71&amp;単価表!$AZ$64:$AZ$71,),),MATCH(内訳計算!AX$6,単価表!$AY$63:$CC$63,0))),0)*$Y105/25,0),0)</f>
        <v>0</v>
      </c>
      <c r="AY105" s="1023" cm="1">
        <f t="array" ref="AY105">IFERROR(ROUNDUP(IF(HLOOKUP($U105,加算と減算!$E$4:$P$10,7,FALSE)="○",IF(OR($U105=2,$U105=3),
INDEX(単価表!$AY$72:$CC$79,MATCH($V105&amp;$W105,INDEX(単価表!$AY$64:$AY$71&amp;単価表!$AZ$64:$AZ$71,),),MATCH(内訳計算!AY$6,単価表!$AY$63:$CC$63,0)),
INDEX(単価表!$AY$72:$CC$79,MATCH($V105&amp;$W105,INDEX(単価表!$AY$64:$AY$71&amp;単価表!$AZ$64:$AZ$71,),),MATCH(内訳計算!AY$6,単価表!$AY$63:$CC$63,0))),0)*$Y105/25,0),0)</f>
        <v>0</v>
      </c>
      <c r="AZ105" s="1021" cm="1">
        <f t="array" ref="AZ105">IFERROR(IF(X105="○",INDEX(単価表!$AY$72:$CC$79,MATCH($V105&amp;$W105,INDEX(単価表!$AY$64:$AY$71&amp;単価表!$AZ$64:$AZ$71,),),MATCH(内訳計算!AZ$6,単価表!$AY$63:$CC$63,0)),0),0)</f>
        <v>0</v>
      </c>
      <c r="BA105" s="1023" cm="1">
        <f t="array" ref="BA105">IFERROR(ROUNDUP(INDEX(単価表!$AY$72:$CC$79,MATCH($V105&amp;$W105,INDEX(単価表!$AY$64:$AY$71&amp;単価表!$AZ$64:$AZ$71,),),MATCH(内訳計算!BA$6,単価表!$AY$63:$CC$63,0))*$Y105/25,0),0)</f>
        <v>0</v>
      </c>
      <c r="BB105" s="1021" cm="1">
        <f t="array" ref="BB105">IFERROR(INDEX(単価表!$AY$72:$CC$79,MATCH($V105&amp;$W105,INDEX(単価表!$AY$64:$AY$71&amp;単価表!$AZ$64:$AZ$71,),),MATCH(内訳計算!BB$6,単価表!$AY$63:$CC$63,0)),0)</f>
        <v>0</v>
      </c>
      <c r="BC105" s="1023" cm="1">
        <f t="array" ref="BC105">IFERROR(ROUNDUP(INDEX(単価表!$AY$72:$CC$79,MATCH($V105&amp;$W105,INDEX(単価表!$AY$64:$AY$71&amp;単価表!$AZ$64:$AZ$71,),),MATCH(内訳計算!BC$6,単価表!$AY$63:$CC$63,0))*$Y105/25,0),0)</f>
        <v>0</v>
      </c>
      <c r="BD105" s="985">
        <f>IFERROR(IF(HLOOKUP($U105,加算と減算!$E$31:$P$32,2,FALSE)="○",IF(OR($U105=2,$U105=3),-(単価表!$AZ$23+単価表!$BA$23*基本情報!$G$7),-(単価表!$AZ$23+単価表!$BA$23*基本情報!$G$7)),0),0)</f>
        <v>0</v>
      </c>
      <c r="BE105" s="1007" t="e">
        <f t="shared" si="171"/>
        <v>#VALUE!</v>
      </c>
      <c r="BF105" s="1007" t="e">
        <f t="shared" si="172"/>
        <v>#VALUE!</v>
      </c>
      <c r="BG105" s="1030" t="e">
        <f t="shared" si="173"/>
        <v>#N/A</v>
      </c>
      <c r="BH105" s="1031">
        <f>IFERROR(IF(基本情報!$E$12&lt;&gt;"",-ROUNDDOWN((AA105+AE105+AH105+AL105)*基本情報!$H$13/100,-1),0),0)</f>
        <v>0</v>
      </c>
      <c r="BI105" s="1007" t="e">
        <f t="shared" si="174"/>
        <v>#VALUE!</v>
      </c>
      <c r="BJ105" s="1007" t="e">
        <f t="shared" si="175"/>
        <v>#VALUE!</v>
      </c>
      <c r="BK105" s="1008" t="e">
        <f t="shared" si="176"/>
        <v>#N/A</v>
      </c>
      <c r="BL105" s="1031">
        <f t="shared" si="185"/>
        <v>0</v>
      </c>
      <c r="BM105" s="1007" t="e">
        <f t="shared" si="177"/>
        <v>#VALUE!</v>
      </c>
      <c r="BN105" s="1007" t="e">
        <f t="shared" si="178"/>
        <v>#VALUE!</v>
      </c>
      <c r="BO105" s="1008" t="e">
        <f t="shared" si="179"/>
        <v>#N/A</v>
      </c>
      <c r="BP105" s="1006">
        <f>IFERROR(-ROUNDUP(SUM(AA105,AE105,AH105,AL105,AR105,AT105,AV105,BD105,BH105,BL105)*基本情報!$H$15/100,-1),0)</f>
        <v>0</v>
      </c>
      <c r="BQ105" s="1007" t="e">
        <f t="shared" si="180"/>
        <v>#VALUE!</v>
      </c>
      <c r="BR105" s="1007" t="e">
        <f t="shared" si="181"/>
        <v>#VALUE!</v>
      </c>
      <c r="BS105" s="1008" t="e">
        <f t="shared" si="182"/>
        <v>#N/A</v>
      </c>
      <c r="BU105" s="1043" t="e">
        <f t="shared" si="186"/>
        <v>#VALUE!</v>
      </c>
      <c r="BV105" s="1044" t="e">
        <f t="shared" si="187"/>
        <v>#VALUE!</v>
      </c>
      <c r="BW105" s="1044" t="e">
        <f t="shared" si="188"/>
        <v>#N/A</v>
      </c>
      <c r="BX105" s="1051">
        <f t="shared" si="189"/>
        <v>0</v>
      </c>
      <c r="BY105" s="1045">
        <f t="shared" si="190"/>
        <v>0</v>
      </c>
    </row>
    <row r="106" spans="1:77" ht="18.75" customHeight="1">
      <c r="A106" s="1640"/>
      <c r="B106" s="1568" t="s">
        <v>597</v>
      </c>
      <c r="C106" s="1569"/>
      <c r="D106" s="1569"/>
      <c r="E106" s="816">
        <f>E91*E74</f>
        <v>0</v>
      </c>
      <c r="F106" s="816">
        <f t="shared" ref="F106:P106" si="205">F91*F74</f>
        <v>0</v>
      </c>
      <c r="G106" s="816">
        <f t="shared" si="205"/>
        <v>0</v>
      </c>
      <c r="H106" s="816">
        <f t="shared" si="205"/>
        <v>0</v>
      </c>
      <c r="I106" s="816">
        <f t="shared" si="205"/>
        <v>0</v>
      </c>
      <c r="J106" s="816">
        <f t="shared" si="205"/>
        <v>0</v>
      </c>
      <c r="K106" s="816">
        <f t="shared" si="205"/>
        <v>0</v>
      </c>
      <c r="L106" s="816">
        <f t="shared" si="205"/>
        <v>0</v>
      </c>
      <c r="M106" s="816">
        <f t="shared" si="205"/>
        <v>0</v>
      </c>
      <c r="N106" s="816">
        <f t="shared" si="205"/>
        <v>0</v>
      </c>
      <c r="O106" s="816">
        <f t="shared" si="205"/>
        <v>0</v>
      </c>
      <c r="P106" s="827">
        <f t="shared" si="205"/>
        <v>0</v>
      </c>
      <c r="Q106" s="829">
        <f t="shared" si="204"/>
        <v>0</v>
      </c>
      <c r="T106" s="682">
        <v>19</v>
      </c>
      <c r="U106" s="918">
        <f>月途中入退所情報!N49</f>
        <v>0</v>
      </c>
      <c r="V106" s="918">
        <f>月途中入退所情報!R49</f>
        <v>0</v>
      </c>
      <c r="W106" s="918">
        <f>月途中入退所情報!Q49</f>
        <v>0</v>
      </c>
      <c r="X106" s="945">
        <f>月途中入退所情報!S49</f>
        <v>0</v>
      </c>
      <c r="Y106" s="918">
        <f>月途中入退所情報!T49</f>
        <v>0</v>
      </c>
      <c r="Z106" s="993">
        <f t="shared" si="183"/>
        <v>0</v>
      </c>
      <c r="AA106" s="1021" cm="1">
        <f t="array" ref="AA106">IFERROR(IF(OR($U106=2,$U106=3),
INDEX(単価表!$AY$72:$CC$79,MATCH($V106&amp;$W106,INDEX(単価表!$AY$64:$AY$71&amp;単価表!$AZ$64:$AZ$71,),),MATCH(内訳計算!AA$6,単価表!$AY$63:$CC$63,0)),
INDEX(単価表!$AY$72:$CC$79,MATCH($V106&amp;$W106,INDEX(単価表!$AY$64:$AY$71&amp;単価表!$AZ$64:$AZ$71,),),MATCH(内訳計算!AA$6,単価表!$AY$63:$CC$63,0))),0)</f>
        <v>0</v>
      </c>
      <c r="AB106" s="1022" t="e">
        <f t="shared" si="184"/>
        <v>#VALUE!</v>
      </c>
      <c r="AC106" s="1022" cm="1">
        <f t="array" ref="AC106">IFERROR(ROUNDUP(IF(OR($U106=2,$U106=3),
INDEX(単価表!$AY$72:$CC$79,MATCH($V106&amp;$W106,INDEX(単価表!$AY$64:$AY$71&amp;単価表!$AZ$64:$AZ$71,),),MATCH(内訳計算!AC$6,単価表!$AY$63:$CC$63,0)),
INDEX(単価表!$AY$72:$CC$79,MATCH($V106&amp;$W106,INDEX(単価表!$AY$64:$AY$71&amp;単価表!$AZ$64:$AZ$71,),),MATCH(内訳計算!AC$6,単価表!$AY$63:$CC$63,0)))*$Y106/25,0),0)</f>
        <v>0</v>
      </c>
      <c r="AD106" s="1023" cm="1">
        <f t="array" ref="AD106">IFERROR(ROUNDUP(IF(OR($U106=2,$U106=3),
INDEX(単価表!$AY$72:$CC$79,MATCH($V106&amp;$W106,INDEX(単価表!$AY$64:$AY$71&amp;単価表!$AZ$64:$AZ$71,),),MATCH(内訳計算!AD$6,単価表!$AY$63:$CC$63,0)),
INDEX(単価表!$AY$72:$CC$79,MATCH($V106&amp;$W106,INDEX(単価表!$AY$64:$AY$71&amp;単価表!$AZ$64:$AZ$71,),),MATCH(内訳計算!AD$6,単価表!$AY$63:$CC$63,0)))*$Y106/25,0),0)</f>
        <v>0</v>
      </c>
      <c r="AE106" s="1021" cm="1">
        <f t="array" ref="AE106">IFERROR(IF(OR($U106=2,$U106=3),
INDEX(単価表!$AY$72:$CC$79,MATCH($V106&amp;$W106,INDEX(単価表!$AY$64:$AY$71&amp;単価表!$AZ$64:$AZ$71,),),MATCH(内訳計算!AE$6,単価表!$AY$63:$CC$63,0)),
INDEX(単価表!$AY$72:$CC$79,MATCH($V106&amp;$W106,INDEX(単価表!$AY$64:$AY$71&amp;単価表!$AZ$64:$AZ$71,),),MATCH(内訳計算!AE$6,単価表!$AY$63:$CC$63,0))),0)</f>
        <v>0</v>
      </c>
      <c r="AF106" s="1022" cm="1">
        <f t="array" ref="AF106">IFERROR(ROUNDUP(IF(OR($U106=2,$U106=3),
INDEX(単価表!$AY$72:$CC$79,MATCH($V106&amp;$W106,INDEX(単価表!$AY$64:$AY$71&amp;単価表!$AZ$64:$AZ$71,),),MATCH(内訳計算!AF$6,単価表!$AY$63:$CC$63,0)),
INDEX(単価表!$AY$72:$CC$79,MATCH($V106&amp;$W106,INDEX(単価表!$AY$64:$AY$71&amp;単価表!$AZ$64:$AZ$71,),),MATCH(内訳計算!AF$6,単価表!$AY$63:$CC$63,0)))*$Y106/25,0),0)</f>
        <v>0</v>
      </c>
      <c r="AG106" s="1023" cm="1">
        <f t="array" ref="AG106">IFERROR(ROUNDUP(IF(OR($U106=2,$U106=3),
INDEX(単価表!$AY$72:$CC$79,MATCH($V106&amp;$W106,INDEX(単価表!$AY$64:$AY$71&amp;単価表!$AZ$64:$AZ$71,),),MATCH(内訳計算!AG$6,単価表!$AY$63:$CC$63,0)),
INDEX(単価表!$AY$72:$CC$79,MATCH($V106&amp;$W106,INDEX(単価表!$AY$64:$AY$71&amp;単価表!$AZ$64:$AZ$71,),),MATCH(内訳計算!AG$6,単価表!$AY$63:$CC$63,0)))*$Y106/25,0),0)</f>
        <v>0</v>
      </c>
      <c r="AH106" s="1021" cm="1">
        <f t="array" ref="AH106">IFERROR(IF(HLOOKUP($U106,加算と減算!$E$4:$P$10,2,FALSE)="○",IF(OR($U106=2,$U106=3),
INDEX(単価表!$AY$72:$CC$79,MATCH($V106&amp;$W106,INDEX(単価表!$AY$64:$AY$71&amp;単価表!$AZ$64:$AZ$71,),),MATCH(内訳計算!AH$6,単価表!$AY$63:$CC$63,0)),
INDEX(単価表!$AY$72:$CC$79,MATCH($V106&amp;$W106,INDEX(単価表!$AY$64:$AY$71&amp;単価表!$AZ$64:$AZ$71,),),MATCH(内訳計算!AH$6,単価表!$AY$63:$CC$63,0))),0),0)</f>
        <v>0</v>
      </c>
      <c r="AI106" s="1024" cm="1">
        <f t="array" ref="AI106">IFERROR(ROUNDUP(IF(HLOOKUP($U106,加算と減算!$E$4:$P$10,2,FALSE)="○",IF(OR($U106=2,$U106=3),
INDEX(単価表!$AY$72:$CC$79,MATCH($V106&amp;$W106,INDEX(単価表!$AY$64:$AY$71&amp;単価表!$AZ$64:$AZ$71,),),MATCH(内訳計算!AI$6,単価表!$AY$63:$CC$63,0)),
INDEX(単価表!$AY$72:$CC$79,MATCH($V106&amp;$W106,INDEX(単価表!$AY$64:$AY$71&amp;単価表!$AZ$64:$AZ$71,),),MATCH(内訳計算!AI$6,単価表!$AY$63:$CC$63,0))),0)*$Y106/25,0),0)</f>
        <v>0</v>
      </c>
      <c r="AJ106" s="1022" cm="1">
        <f t="array" ref="AJ106">IFERROR(ROUNDUP(IF(HLOOKUP($U106,加算と減算!$E$4:$P$10,2,FALSE)="○",IF(OR($U106=2,$U106=3),
INDEX(単価表!$AY$72:$CC$79,MATCH($V106&amp;$W106,INDEX(単価表!$AY$64:$AY$71&amp;単価表!$AZ$64:$AZ$71,),),MATCH(内訳計算!AJ$6,単価表!$AY$63:$CC$63,0)),
INDEX(単価表!$AY$72:$CC$79,MATCH($V106&amp;$W106,INDEX(単価表!$AY$64:$AY$71&amp;単価表!$AZ$64:$AZ$71,),),MATCH(内訳計算!AJ$6,単価表!$AY$63:$CC$63,0))),0)*$Y106/25,0),0)</f>
        <v>0</v>
      </c>
      <c r="AK106" s="1023" cm="1">
        <f t="array" ref="AK106">IFERROR(ROUNDUP(IF(HLOOKUP($U106,加算と減算!$E$4:$P$10,2,FALSE)="○",IF(OR($U106=2,$U106=3),
INDEX(単価表!$AY$72:$CC$79,MATCH($V106&amp;$W106,INDEX(単価表!$AY$64:$AY$71&amp;単価表!$AZ$64:$AZ$71,),),MATCH(内訳計算!AK$6,単価表!$AY$63:$CC$63,0)),
INDEX(単価表!$AY$72:$CC$79,MATCH($V106&amp;$W106,INDEX(単価表!$AY$64:$AY$71&amp;単価表!$AZ$64:$AZ$71,),),MATCH(内訳計算!AK$6,単価表!$AY$63:$CC$63,0))),0)*$Y106/25,0),0)</f>
        <v>0</v>
      </c>
      <c r="AL106" s="1021" cm="1">
        <f t="array" ref="AL106">IFERROR(IF(HLOOKUP($U106,加算と減算!$E$4:$P$10,4,FALSE)="○",IF(OR($U106=2,$U106=3),
INDEX(単価表!$AY$72:$CC$79,MATCH($V106&amp;$W106,INDEX(単価表!$AY$64:$AY$71&amp;単価表!$AZ$64:$AZ$71,),),MATCH(内訳計算!AL$6,単価表!$AY$63:$CC$63,0)),
INDEX(単価表!$AY$72:$CC$79,MATCH($V106&amp;$W106,INDEX(単価表!$AY$64:$AY$71&amp;単価表!$AZ$64:$AZ$71,),),MATCH(内訳計算!AL$6,単価表!$AY$63:$CC$63,0))),0),0)</f>
        <v>0</v>
      </c>
      <c r="AM106" s="1022" cm="1">
        <f t="array" ref="AM106">IFERROR(ROUNDUP(IF(HLOOKUP($U106,加算と減算!$E$4:$P$10,4,FALSE)="○",IF(OR($U106=2,$U106=3),
INDEX(単価表!$AY$72:$CC$79,MATCH($V106&amp;$W106,INDEX(単価表!$AY$64:$AY$71&amp;単価表!$AZ$64:$AZ$71,),),MATCH(内訳計算!AM$6,単価表!$AY$63:$CC$63,0)),
INDEX(単価表!$AY$72:$CC$79,MATCH($V106&amp;$W106,INDEX(単価表!$AY$64:$AY$71&amp;単価表!$AZ$64:$AZ$71,),),MATCH(内訳計算!AM$6,単価表!$AY$63:$CC$63,0))),0)*$Y106/25,0),0)</f>
        <v>0</v>
      </c>
      <c r="AN106" s="1022" cm="1">
        <f t="array" ref="AN106">IFERROR(ROUNDUP(IF(HLOOKUP($U106,加算と減算!$E$4:$P$10,4,FALSE)="○",IF(OR($U106=2,$U106=3),
INDEX(単価表!$AY$72:$CC$79,MATCH($V106&amp;$W106,INDEX(単価表!$AY$64:$AY$71&amp;単価表!$AZ$64:$AZ$71,),),MATCH(内訳計算!AN$6,単価表!$AY$63:$CC$63,0)),
INDEX(単価表!$AY$72:$CC$79,MATCH($V106&amp;$W106,INDEX(単価表!$AY$64:$AY$71&amp;単価表!$AZ$64:$AZ$71,),),MATCH(内訳計算!AN$6,単価表!$AY$63:$CC$63,0))),0)*$Y106/25,0),0)</f>
        <v>0</v>
      </c>
      <c r="AO106" s="1022" cm="1">
        <f t="array" ref="AO106">IFERROR(ROUNDUP(IF(HLOOKUP($U106,加算と減算!$E$4:$P$10,4,FALSE)="○",IF(OR($U106=2,$U106=3),
INDEX(単価表!$AY$72:$CC$79,MATCH($V106&amp;$W106,INDEX(単価表!$AY$64:$AY$71&amp;単価表!$AZ$64:$AZ$71,),),MATCH(内訳計算!AO$6,単価表!$AY$63:$CC$63,0)),
INDEX(単価表!$AY$72:$CC$79,MATCH($V106&amp;$W106,INDEX(単価表!$AY$64:$AY$71&amp;単価表!$AZ$64:$AZ$71,),),MATCH(内訳計算!AO$6,単価表!$AY$63:$CC$63,0))),0)*$Y106/25,0),0)</f>
        <v>0</v>
      </c>
      <c r="AP106" s="1022" cm="1">
        <f t="array" ref="AP106">IFERROR(ROUNDUP(IF(HLOOKUP($U106,加算と減算!$E$4:$P$10,4,FALSE)="○",IF(OR($U106=2,$U106=3),
INDEX(単価表!$AY$72:$CC$79,MATCH($V106&amp;$W106,INDEX(単価表!$AY$64:$AY$71&amp;単価表!$AZ$64:$AZ$71,),),MATCH(内訳計算!AP$6,単価表!$AY$63:$CC$63,0)),
INDEX(単価表!$AY$72:$CC$79,MATCH($V106&amp;$W106,INDEX(単価表!$AY$64:$AY$71&amp;単価表!$AZ$64:$AZ$71,),),MATCH(内訳計算!AP$6,単価表!$AY$63:$CC$63,0))),0)*$Y106/25,0),0)</f>
        <v>0</v>
      </c>
      <c r="AQ106" s="1023" cm="1">
        <f t="array" ref="AQ106">IFERROR(ROUNDUP(IF(HLOOKUP($U106,加算と減算!$E$4:$P$10,4,FALSE)="○",IF(OR($U106=2,$U106=3),
INDEX(単価表!$AY$72:$CC$79,MATCH($V106&amp;$W106,INDEX(単価表!$AY$64:$AY$71&amp;単価表!$AZ$64:$AZ$71,),),MATCH(内訳計算!AQ$6,単価表!$AY$63:$CC$63,0)),
INDEX(単価表!$AY$72:$CC$79,MATCH($V106&amp;$W106,INDEX(単価表!$AY$64:$AY$71&amp;単価表!$AZ$64:$AZ$71,),),MATCH(内訳計算!AQ$6,単価表!$AY$63:$CC$63,0))),0)*$Y106/25,0),0)</f>
        <v>0</v>
      </c>
      <c r="AR106" s="1021" cm="1">
        <f t="array" ref="AR106">IFERROR(IF(HLOOKUP($U106,加算と減算!$E$4:$P$10,5,FALSE)="○",IF(OR($U106=2,$U106=3),
INDEX(単価表!$AY$72:$CC$79,MATCH($V106&amp;$W106,INDEX(単価表!$AY$64:$AY$71&amp;単価表!$AZ$64:$AZ$71,),),MATCH(内訳計算!AR$6,単価表!$AY$63:$CC$63,0)),
INDEX(単価表!$AY$72:$CC$79,MATCH($V106&amp;$W106,INDEX(単価表!$AY$64:$AY$71&amp;単価表!$AZ$64:$AZ$71,),),MATCH(内訳計算!AR$6,単価表!$AY$63:$CC$63,0))),0),0)</f>
        <v>0</v>
      </c>
      <c r="AS106" s="1023" cm="1">
        <f t="array" ref="AS106">IFERROR(ROUNDUP(IF(HLOOKUP($U106,加算と減算!$E$4:$P$10,5,FALSE)="○",IF(OR($U106=2,$U106=3),
INDEX(単価表!$AY$72:$CC$79,MATCH($V106&amp;$W106,INDEX(単価表!$AY$64:$AY$71&amp;単価表!$AZ$64:$AZ$71,),),MATCH(内訳計算!AS$6,単価表!$AY$63:$CC$63,0)),
INDEX(単価表!$AY$72:$CC$79,MATCH($V106&amp;$W106,INDEX(単価表!$AY$64:$AY$71&amp;単価表!$AZ$64:$AZ$71,),),MATCH(内訳計算!AS$6,単価表!$AY$63:$CC$63,0))),0)*$Y106/25,0),0)</f>
        <v>0</v>
      </c>
      <c r="AT106" s="1021" cm="1">
        <f t="array" ref="AT106">IFERROR(IF(HLOOKUP($U106,加算と減算!$E$4:$P$10,6,FALSE)="○",IF(OR($U106=2,$U106=3),
INDEX(単価表!$AY$72:$CC$79,MATCH($V106&amp;$W106,INDEX(単価表!$AY$64:$AY$71&amp;単価表!$AZ$64:$AZ$71,),),MATCH(内訳計算!AT$6,単価表!$AY$63:$CC$63,0)),
INDEX(単価表!$AY$72:$CC$79,MATCH($V106&amp;$W106,INDEX(単価表!$AY$64:$AY$71&amp;単価表!$AZ$64:$AZ$71,),),MATCH(内訳計算!AT$6,単価表!$AY$63:$CC$63,0))),0),0)</f>
        <v>0</v>
      </c>
      <c r="AU106" s="1023" cm="1">
        <f t="array" ref="AU106">IFERROR(ROUNDUP(IF(HLOOKUP($U106,加算と減算!$E$4:$P$10,6,FALSE)="○",IF(OR($U106=2,$U106=3),
INDEX(単価表!$AY$72:$CC$79,MATCH($V106&amp;$W106,INDEX(単価表!$AY$64:$AY$71&amp;単価表!$AZ$64:$AZ$71,),),MATCH(内訳計算!AU$6,単価表!$AY$63:$CC$63,0)),
INDEX(単価表!$AY$72:$CC$79,MATCH($V106&amp;$W106,INDEX(単価表!$AY$64:$AY$71&amp;単価表!$AZ$64:$AZ$71,),),MATCH(内訳計算!AU$6,単価表!$AY$63:$CC$63,0))),0)*$Y106/25,0),0)</f>
        <v>0</v>
      </c>
      <c r="AV106" s="1021" cm="1">
        <f t="array" ref="AV106">IFERROR(IF(HLOOKUP($U106,加算と減算!$E$4:$P$10,7,FALSE)="○",IF(OR($U106=2,$U106=3),
INDEX(単価表!$AY$72:$CC$79,MATCH($V106&amp;$W106,INDEX(単価表!$AY$64:$AY$71&amp;単価表!$AZ$64:$AZ$71,),),MATCH(内訳計算!AV$6,単価表!$AY$63:$CC$63,0)),
INDEX(単価表!$AY$72:$CC$79,MATCH($V106&amp;$W106,INDEX(単価表!$AY$64:$AY$71&amp;単価表!$AZ$64:$AZ$71,),),MATCH(内訳計算!AV$6,単価表!$AY$63:$CC$63,0))),0),0)</f>
        <v>0</v>
      </c>
      <c r="AW106" s="1022" cm="1">
        <f t="array" ref="AW106">IFERROR(ROUNDUP(IF(HLOOKUP($U106,加算と減算!$E$4:$P$10,7,FALSE)="○",IF(OR($U106=2,$U106=3),
INDEX(単価表!$AY$72:$CC$79,MATCH($V106&amp;$W106,INDEX(単価表!$AY$64:$AY$71&amp;単価表!$AZ$64:$AZ$71,),),MATCH(内訳計算!AW$6,単価表!$AY$63:$CC$63,0)),
INDEX(単価表!$AY$72:$CC$79,MATCH($V106&amp;$W106,INDEX(単価表!$AY$64:$AY$71&amp;単価表!$AZ$64:$AZ$71,),),MATCH(内訳計算!AW$6,単価表!$AY$63:$CC$63,0))),0)*$Y106/25,0),0)</f>
        <v>0</v>
      </c>
      <c r="AX106" s="1022" cm="1">
        <f t="array" ref="AX106">IFERROR(ROUNDUP(IF(HLOOKUP($U106,加算と減算!$E$4:$P$10,7,FALSE)="○",IF(OR($U106=2,$U106=3),
INDEX(単価表!$AY$72:$CC$79,MATCH($V106&amp;$W106,INDEX(単価表!$AY$64:$AY$71&amp;単価表!$AZ$64:$AZ$71,),),MATCH(内訳計算!AX$6,単価表!$AY$63:$CC$63,0)),
INDEX(単価表!$AY$72:$CC$79,MATCH($V106&amp;$W106,INDEX(単価表!$AY$64:$AY$71&amp;単価表!$AZ$64:$AZ$71,),),MATCH(内訳計算!AX$6,単価表!$AY$63:$CC$63,0))),0)*$Y106/25,0),0)</f>
        <v>0</v>
      </c>
      <c r="AY106" s="1023" cm="1">
        <f t="array" ref="AY106">IFERROR(ROUNDUP(IF(HLOOKUP($U106,加算と減算!$E$4:$P$10,7,FALSE)="○",IF(OR($U106=2,$U106=3),
INDEX(単価表!$AY$72:$CC$79,MATCH($V106&amp;$W106,INDEX(単価表!$AY$64:$AY$71&amp;単価表!$AZ$64:$AZ$71,),),MATCH(内訳計算!AY$6,単価表!$AY$63:$CC$63,0)),
INDEX(単価表!$AY$72:$CC$79,MATCH($V106&amp;$W106,INDEX(単価表!$AY$64:$AY$71&amp;単価表!$AZ$64:$AZ$71,),),MATCH(内訳計算!AY$6,単価表!$AY$63:$CC$63,0))),0)*$Y106/25,0),0)</f>
        <v>0</v>
      </c>
      <c r="AZ106" s="1021" cm="1">
        <f t="array" ref="AZ106">IFERROR(IF(X106="○",INDEX(単価表!$AY$72:$CC$79,MATCH($V106&amp;$W106,INDEX(単価表!$AY$64:$AY$71&amp;単価表!$AZ$64:$AZ$71,),),MATCH(内訳計算!AZ$6,単価表!$AY$63:$CC$63,0)),0),0)</f>
        <v>0</v>
      </c>
      <c r="BA106" s="1023" cm="1">
        <f t="array" ref="BA106">IFERROR(ROUNDUP(INDEX(単価表!$AY$72:$CC$79,MATCH($V106&amp;$W106,INDEX(単価表!$AY$64:$AY$71&amp;単価表!$AZ$64:$AZ$71,),),MATCH(内訳計算!BA$6,単価表!$AY$63:$CC$63,0))*$Y106/25,0),0)</f>
        <v>0</v>
      </c>
      <c r="BB106" s="1021" cm="1">
        <f t="array" ref="BB106">IFERROR(INDEX(単価表!$AY$72:$CC$79,MATCH($V106&amp;$W106,INDEX(単価表!$AY$64:$AY$71&amp;単価表!$AZ$64:$AZ$71,),),MATCH(内訳計算!BB$6,単価表!$AY$63:$CC$63,0)),0)</f>
        <v>0</v>
      </c>
      <c r="BC106" s="1023" cm="1">
        <f t="array" ref="BC106">IFERROR(ROUNDUP(INDEX(単価表!$AY$72:$CC$79,MATCH($V106&amp;$W106,INDEX(単価表!$AY$64:$AY$71&amp;単価表!$AZ$64:$AZ$71,),),MATCH(内訳計算!BC$6,単価表!$AY$63:$CC$63,0))*$Y106/25,0),0)</f>
        <v>0</v>
      </c>
      <c r="BD106" s="985">
        <f>IFERROR(IF(HLOOKUP($U106,加算と減算!$E$31:$P$32,2,FALSE)="○",IF(OR($U106=2,$U106=3),-(単価表!$AZ$23+単価表!$BA$23*基本情報!$G$7),-(単価表!$AZ$23+単価表!$BA$23*基本情報!$G$7)),0),0)</f>
        <v>0</v>
      </c>
      <c r="BE106" s="1007" t="e">
        <f t="shared" si="171"/>
        <v>#VALUE!</v>
      </c>
      <c r="BF106" s="1007" t="e">
        <f t="shared" si="172"/>
        <v>#VALUE!</v>
      </c>
      <c r="BG106" s="1030" t="e">
        <f t="shared" si="173"/>
        <v>#N/A</v>
      </c>
      <c r="BH106" s="1031">
        <f>IFERROR(IF(基本情報!$E$12&lt;&gt;"",-ROUNDDOWN((AA106+AE106+AH106+AL106)*基本情報!$H$13/100,-1),0),0)</f>
        <v>0</v>
      </c>
      <c r="BI106" s="1007" t="e">
        <f t="shared" si="174"/>
        <v>#VALUE!</v>
      </c>
      <c r="BJ106" s="1007" t="e">
        <f t="shared" si="175"/>
        <v>#VALUE!</v>
      </c>
      <c r="BK106" s="1008" t="e">
        <f t="shared" si="176"/>
        <v>#N/A</v>
      </c>
      <c r="BL106" s="1031">
        <f t="shared" si="185"/>
        <v>0</v>
      </c>
      <c r="BM106" s="1007" t="e">
        <f t="shared" si="177"/>
        <v>#VALUE!</v>
      </c>
      <c r="BN106" s="1007" t="e">
        <f t="shared" si="178"/>
        <v>#VALUE!</v>
      </c>
      <c r="BO106" s="1008" t="e">
        <f t="shared" si="179"/>
        <v>#N/A</v>
      </c>
      <c r="BP106" s="1006">
        <f>IFERROR(-ROUNDUP(SUM(AA106,AE106,AH106,AL106,AR106,AT106,AV106,BD106,BH106,BL106)*基本情報!$H$15/100,-1),0)</f>
        <v>0</v>
      </c>
      <c r="BQ106" s="1007" t="e">
        <f t="shared" si="180"/>
        <v>#VALUE!</v>
      </c>
      <c r="BR106" s="1007" t="e">
        <f t="shared" si="181"/>
        <v>#VALUE!</v>
      </c>
      <c r="BS106" s="1008" t="e">
        <f t="shared" si="182"/>
        <v>#N/A</v>
      </c>
      <c r="BU106" s="1043" t="e">
        <f t="shared" si="186"/>
        <v>#VALUE!</v>
      </c>
      <c r="BV106" s="1044" t="e">
        <f t="shared" si="187"/>
        <v>#VALUE!</v>
      </c>
      <c r="BW106" s="1044" t="e">
        <f t="shared" si="188"/>
        <v>#N/A</v>
      </c>
      <c r="BX106" s="1051">
        <f t="shared" si="189"/>
        <v>0</v>
      </c>
      <c r="BY106" s="1045">
        <f t="shared" si="190"/>
        <v>0</v>
      </c>
    </row>
    <row r="107" spans="1:77" ht="18.75" customHeight="1" thickBot="1">
      <c r="A107" s="1640"/>
      <c r="B107" s="1570" t="s">
        <v>598</v>
      </c>
      <c r="C107" s="1571"/>
      <c r="D107" s="1571"/>
      <c r="E107" s="816">
        <f>E92*E74</f>
        <v>0</v>
      </c>
      <c r="F107" s="816">
        <f t="shared" ref="F107:P107" si="206">F92*F74</f>
        <v>0</v>
      </c>
      <c r="G107" s="816">
        <f t="shared" si="206"/>
        <v>0</v>
      </c>
      <c r="H107" s="816">
        <f t="shared" si="206"/>
        <v>0</v>
      </c>
      <c r="I107" s="816">
        <f t="shared" si="206"/>
        <v>0</v>
      </c>
      <c r="J107" s="816">
        <f t="shared" si="206"/>
        <v>0</v>
      </c>
      <c r="K107" s="816">
        <f t="shared" si="206"/>
        <v>0</v>
      </c>
      <c r="L107" s="816">
        <f t="shared" si="206"/>
        <v>0</v>
      </c>
      <c r="M107" s="816">
        <f t="shared" si="206"/>
        <v>0</v>
      </c>
      <c r="N107" s="816">
        <f t="shared" si="206"/>
        <v>0</v>
      </c>
      <c r="O107" s="816">
        <f t="shared" si="206"/>
        <v>0</v>
      </c>
      <c r="P107" s="827">
        <f t="shared" si="206"/>
        <v>0</v>
      </c>
      <c r="Q107" s="829">
        <f t="shared" si="204"/>
        <v>0</v>
      </c>
      <c r="T107" s="683">
        <v>20</v>
      </c>
      <c r="U107" s="946">
        <f>月途中入退所情報!N50</f>
        <v>0</v>
      </c>
      <c r="V107" s="946">
        <f>月途中入退所情報!R50</f>
        <v>0</v>
      </c>
      <c r="W107" s="946">
        <f>月途中入退所情報!Q50</f>
        <v>0</v>
      </c>
      <c r="X107" s="947">
        <f>月途中入退所情報!S50</f>
        <v>0</v>
      </c>
      <c r="Y107" s="946">
        <f>月途中入退所情報!T50</f>
        <v>0</v>
      </c>
      <c r="Z107" s="869">
        <f t="shared" si="183"/>
        <v>0</v>
      </c>
      <c r="AA107" s="870" cm="1">
        <f t="array" ref="AA107">IFERROR(IF(OR($U107=2,$U107=3),
INDEX(単価表!$AY$72:$CC$79,MATCH($V107&amp;$W107,INDEX(単価表!$AY$64:$AY$71&amp;単価表!$AZ$64:$AZ$71,),),MATCH(内訳計算!AA$6,単価表!$AY$63:$CC$63,0)),
INDEX(単価表!$AY$72:$CC$79,MATCH($V107&amp;$W107,INDEX(単価表!$AY$64:$AY$71&amp;単価表!$AZ$64:$AZ$71,),),MATCH(内訳計算!AA$6,単価表!$AY$63:$CC$63,0))),0)</f>
        <v>0</v>
      </c>
      <c r="AB107" s="889" t="e">
        <f t="shared" si="184"/>
        <v>#VALUE!</v>
      </c>
      <c r="AC107" s="889" cm="1">
        <f t="array" ref="AC107">IFERROR(ROUNDUP(IF(OR($U107=2,$U107=3),
INDEX(単価表!$AY$72:$CC$79,MATCH($V107&amp;$W107,INDEX(単価表!$AY$64:$AY$71&amp;単価表!$AZ$64:$AZ$71,),),MATCH(内訳計算!AC$6,単価表!$AY$63:$CC$63,0)),
INDEX(単価表!$AY$72:$CC$79,MATCH($V107&amp;$W107,INDEX(単価表!$AY$64:$AY$71&amp;単価表!$AZ$64:$AZ$71,),),MATCH(内訳計算!AC$6,単価表!$AY$63:$CC$63,0)))*$Y107/25,0),0)</f>
        <v>0</v>
      </c>
      <c r="AD107" s="869" cm="1">
        <f t="array" ref="AD107">IFERROR(ROUNDUP(IF(OR($U107=2,$U107=3),
INDEX(単価表!$AY$72:$CC$79,MATCH($V107&amp;$W107,INDEX(単価表!$AY$64:$AY$71&amp;単価表!$AZ$64:$AZ$71,),),MATCH(内訳計算!AD$6,単価表!$AY$63:$CC$63,0)),
INDEX(単価表!$AY$72:$CC$79,MATCH($V107&amp;$W107,INDEX(単価表!$AY$64:$AY$71&amp;単価表!$AZ$64:$AZ$71,),),MATCH(内訳計算!AD$6,単価表!$AY$63:$CC$63,0)))*$Y107/25,0),0)</f>
        <v>0</v>
      </c>
      <c r="AE107" s="870" cm="1">
        <f t="array" ref="AE107">IFERROR(IF(OR($U107=2,$U107=3),
INDEX(単価表!$AY$72:$CC$79,MATCH($V107&amp;$W107,INDEX(単価表!$AY$64:$AY$71&amp;単価表!$AZ$64:$AZ$71,),),MATCH(内訳計算!AE$6,単価表!$AY$63:$CC$63,0)),
INDEX(単価表!$AY$72:$CC$79,MATCH($V107&amp;$W107,INDEX(単価表!$AY$64:$AY$71&amp;単価表!$AZ$64:$AZ$71,),),MATCH(内訳計算!AE$6,単価表!$AY$63:$CC$63,0))),0)</f>
        <v>0</v>
      </c>
      <c r="AF107" s="889" cm="1">
        <f t="array" ref="AF107">IFERROR(ROUNDUP(IF(OR($U107=2,$U107=3),
INDEX(単価表!$AY$72:$CC$79,MATCH($V107&amp;$W107,INDEX(単価表!$AY$64:$AY$71&amp;単価表!$AZ$64:$AZ$71,),),MATCH(内訳計算!AF$6,単価表!$AY$63:$CC$63,0)),
INDEX(単価表!$AY$72:$CC$79,MATCH($V107&amp;$W107,INDEX(単価表!$AY$64:$AY$71&amp;単価表!$AZ$64:$AZ$71,),),MATCH(内訳計算!AF$6,単価表!$AY$63:$CC$63,0)))*$Y107/25,0),0)</f>
        <v>0</v>
      </c>
      <c r="AG107" s="869" cm="1">
        <f t="array" ref="AG107">IFERROR(ROUNDUP(IF(OR($U107=2,$U107=3),
INDEX(単価表!$AY$72:$CC$79,MATCH($V107&amp;$W107,INDEX(単価表!$AY$64:$AY$71&amp;単価表!$AZ$64:$AZ$71,),),MATCH(内訳計算!AG$6,単価表!$AY$63:$CC$63,0)),
INDEX(単価表!$AY$72:$CC$79,MATCH($V107&amp;$W107,INDEX(単価表!$AY$64:$AY$71&amp;単価表!$AZ$64:$AZ$71,),),MATCH(内訳計算!AG$6,単価表!$AY$63:$CC$63,0)))*$Y107/25,0),0)</f>
        <v>0</v>
      </c>
      <c r="AH107" s="870" cm="1">
        <f t="array" ref="AH107">IFERROR(IF(HLOOKUP($U107,加算と減算!$E$4:$P$10,2,FALSE)="○",IF(OR($U107=2,$U107=3),
INDEX(単価表!$AY$72:$CC$79,MATCH($V107&amp;$W107,INDEX(単価表!$AY$64:$AY$71&amp;単価表!$AZ$64:$AZ$71,),),MATCH(内訳計算!AH$6,単価表!$AY$63:$CC$63,0)),
INDEX(単価表!$AY$72:$CC$79,MATCH($V107&amp;$W107,INDEX(単価表!$AY$64:$AY$71&amp;単価表!$AZ$64:$AZ$71,),),MATCH(内訳計算!AH$6,単価表!$AY$63:$CC$63,0))),0),0)</f>
        <v>0</v>
      </c>
      <c r="AI107" s="1032" cm="1">
        <f t="array" ref="AI107">IFERROR(ROUNDUP(IF(HLOOKUP($U107,加算と減算!$E$4:$P$10,2,FALSE)="○",IF(OR($U107=2,$U107=3),
INDEX(単価表!$AY$72:$CC$79,MATCH($V107&amp;$W107,INDEX(単価表!$AY$64:$AY$71&amp;単価表!$AZ$64:$AZ$71,),),MATCH(内訳計算!AI$6,単価表!$AY$63:$CC$63,0)),
INDEX(単価表!$AY$72:$CC$79,MATCH($V107&amp;$W107,INDEX(単価表!$AY$64:$AY$71&amp;単価表!$AZ$64:$AZ$71,),),MATCH(内訳計算!AI$6,単価表!$AY$63:$CC$63,0))),0)*$Y107/25,0),0)</f>
        <v>0</v>
      </c>
      <c r="AJ107" s="889" cm="1">
        <f t="array" ref="AJ107">IFERROR(ROUNDUP(IF(HLOOKUP($U107,加算と減算!$E$4:$P$10,2,FALSE)="○",IF(OR($U107=2,$U107=3),
INDEX(単価表!$AY$72:$CC$79,MATCH($V107&amp;$W107,INDEX(単価表!$AY$64:$AY$71&amp;単価表!$AZ$64:$AZ$71,),),MATCH(内訳計算!AJ$6,単価表!$AY$63:$CC$63,0)),
INDEX(単価表!$AY$72:$CC$79,MATCH($V107&amp;$W107,INDEX(単価表!$AY$64:$AY$71&amp;単価表!$AZ$64:$AZ$71,),),MATCH(内訳計算!AJ$6,単価表!$AY$63:$CC$63,0))),0)*$Y107/25,0),0)</f>
        <v>0</v>
      </c>
      <c r="AK107" s="869" cm="1">
        <f t="array" ref="AK107">IFERROR(ROUNDUP(IF(HLOOKUP($U107,加算と減算!$E$4:$P$10,2,FALSE)="○",IF(OR($U107=2,$U107=3),
INDEX(単価表!$AY$72:$CC$79,MATCH($V107&amp;$W107,INDEX(単価表!$AY$64:$AY$71&amp;単価表!$AZ$64:$AZ$71,),),MATCH(内訳計算!AK$6,単価表!$AY$63:$CC$63,0)),
INDEX(単価表!$AY$72:$CC$79,MATCH($V107&amp;$W107,INDEX(単価表!$AY$64:$AY$71&amp;単価表!$AZ$64:$AZ$71,),),MATCH(内訳計算!AK$6,単価表!$AY$63:$CC$63,0))),0)*$Y107/25,0),0)</f>
        <v>0</v>
      </c>
      <c r="AL107" s="870" cm="1">
        <f t="array" ref="AL107">IFERROR(IF(HLOOKUP($U107,加算と減算!$E$4:$P$10,4,FALSE)="○",IF(OR($U107=2,$U107=3),
INDEX(単価表!$AY$72:$CC$79,MATCH($V107&amp;$W107,INDEX(単価表!$AY$64:$AY$71&amp;単価表!$AZ$64:$AZ$71,),),MATCH(内訳計算!AL$6,単価表!$AY$63:$CC$63,0)),
INDEX(単価表!$AY$72:$CC$79,MATCH($V107&amp;$W107,INDEX(単価表!$AY$64:$AY$71&amp;単価表!$AZ$64:$AZ$71,),),MATCH(内訳計算!AL$6,単価表!$AY$63:$CC$63,0))),0),0)</f>
        <v>0</v>
      </c>
      <c r="AM107" s="889" cm="1">
        <f t="array" ref="AM107">IFERROR(ROUNDUP(IF(HLOOKUP($U107,加算と減算!$E$4:$P$10,4,FALSE)="○",IF(OR($U107=2,$U107=3),
INDEX(単価表!$AY$72:$CC$79,MATCH($V107&amp;$W107,INDEX(単価表!$AY$64:$AY$71&amp;単価表!$AZ$64:$AZ$71,),),MATCH(内訳計算!AM$6,単価表!$AY$63:$CC$63,0)),
INDEX(単価表!$AY$72:$CC$79,MATCH($V107&amp;$W107,INDEX(単価表!$AY$64:$AY$71&amp;単価表!$AZ$64:$AZ$71,),),MATCH(内訳計算!AM$6,単価表!$AY$63:$CC$63,0))),0)*$Y107/25,0),0)</f>
        <v>0</v>
      </c>
      <c r="AN107" s="889" cm="1">
        <f t="array" ref="AN107">IFERROR(ROUNDUP(IF(HLOOKUP($U107,加算と減算!$E$4:$P$10,4,FALSE)="○",IF(OR($U107=2,$U107=3),
INDEX(単価表!$AY$72:$CC$79,MATCH($V107&amp;$W107,INDEX(単価表!$AY$64:$AY$71&amp;単価表!$AZ$64:$AZ$71,),),MATCH(内訳計算!AN$6,単価表!$AY$63:$CC$63,0)),
INDEX(単価表!$AY$72:$CC$79,MATCH($V107&amp;$W107,INDEX(単価表!$AY$64:$AY$71&amp;単価表!$AZ$64:$AZ$71,),),MATCH(内訳計算!AN$6,単価表!$AY$63:$CC$63,0))),0)*$Y107/25,0),0)</f>
        <v>0</v>
      </c>
      <c r="AO107" s="889" cm="1">
        <f t="array" ref="AO107">IFERROR(ROUNDUP(IF(HLOOKUP($U107,加算と減算!$E$4:$P$10,4,FALSE)="○",IF(OR($U107=2,$U107=3),
INDEX(単価表!$AY$72:$CC$79,MATCH($V107&amp;$W107,INDEX(単価表!$AY$64:$AY$71&amp;単価表!$AZ$64:$AZ$71,),),MATCH(内訳計算!AO$6,単価表!$AY$63:$CC$63,0)),
INDEX(単価表!$AY$72:$CC$79,MATCH($V107&amp;$W107,INDEX(単価表!$AY$64:$AY$71&amp;単価表!$AZ$64:$AZ$71,),),MATCH(内訳計算!AO$6,単価表!$AY$63:$CC$63,0))),0)*$Y107/25,0),0)</f>
        <v>0</v>
      </c>
      <c r="AP107" s="889" cm="1">
        <f t="array" ref="AP107">IFERROR(ROUNDUP(IF(HLOOKUP($U107,加算と減算!$E$4:$P$10,4,FALSE)="○",IF(OR($U107=2,$U107=3),
INDEX(単価表!$AY$72:$CC$79,MATCH($V107&amp;$W107,INDEX(単価表!$AY$64:$AY$71&amp;単価表!$AZ$64:$AZ$71,),),MATCH(内訳計算!AP$6,単価表!$AY$63:$CC$63,0)),
INDEX(単価表!$AY$72:$CC$79,MATCH($V107&amp;$W107,INDEX(単価表!$AY$64:$AY$71&amp;単価表!$AZ$64:$AZ$71,),),MATCH(内訳計算!AP$6,単価表!$AY$63:$CC$63,0))),0)*$Y107/25,0),0)</f>
        <v>0</v>
      </c>
      <c r="AQ107" s="869" cm="1">
        <f t="array" ref="AQ107">IFERROR(ROUNDUP(IF(HLOOKUP($U107,加算と減算!$E$4:$P$10,4,FALSE)="○",IF(OR($U107=2,$U107=3),
INDEX(単価表!$AY$72:$CC$79,MATCH($V107&amp;$W107,INDEX(単価表!$AY$64:$AY$71&amp;単価表!$AZ$64:$AZ$71,),),MATCH(内訳計算!AQ$6,単価表!$AY$63:$CC$63,0)),
INDEX(単価表!$AY$72:$CC$79,MATCH($V107&amp;$W107,INDEX(単価表!$AY$64:$AY$71&amp;単価表!$AZ$64:$AZ$71,),),MATCH(内訳計算!AQ$6,単価表!$AY$63:$CC$63,0))),0)*$Y107/25,0),0)</f>
        <v>0</v>
      </c>
      <c r="AR107" s="870" cm="1">
        <f t="array" ref="AR107">IFERROR(IF(HLOOKUP($U107,加算と減算!$E$4:$P$10,5,FALSE)="○",IF(OR($U107=2,$U107=3),
INDEX(単価表!$AY$72:$CC$79,MATCH($V107&amp;$W107,INDEX(単価表!$AY$64:$AY$71&amp;単価表!$AZ$64:$AZ$71,),),MATCH(内訳計算!AR$6,単価表!$AY$63:$CC$63,0)),
INDEX(単価表!$AY$72:$CC$79,MATCH($V107&amp;$W107,INDEX(単価表!$AY$64:$AY$71&amp;単価表!$AZ$64:$AZ$71,),),MATCH(内訳計算!AR$6,単価表!$AY$63:$CC$63,0))),0),0)</f>
        <v>0</v>
      </c>
      <c r="AS107" s="869" cm="1">
        <f t="array" ref="AS107">IFERROR(ROUNDUP(IF(HLOOKUP($U107,加算と減算!$E$4:$P$10,5,FALSE)="○",IF(OR($U107=2,$U107=3),
INDEX(単価表!$AY$72:$CC$79,MATCH($V107&amp;$W107,INDEX(単価表!$AY$64:$AY$71&amp;単価表!$AZ$64:$AZ$71,),),MATCH(内訳計算!AS$6,単価表!$AY$63:$CC$63,0)),
INDEX(単価表!$AY$72:$CC$79,MATCH($V107&amp;$W107,INDEX(単価表!$AY$64:$AY$71&amp;単価表!$AZ$64:$AZ$71,),),MATCH(内訳計算!AS$6,単価表!$AY$63:$CC$63,0))),0)*$Y107/25,0),0)</f>
        <v>0</v>
      </c>
      <c r="AT107" s="870" cm="1">
        <f t="array" ref="AT107">IFERROR(IF(HLOOKUP($U107,加算と減算!$E$4:$P$10,6,FALSE)="○",IF(OR($U107=2,$U107=3),
INDEX(単価表!$AY$72:$CC$79,MATCH($V107&amp;$W107,INDEX(単価表!$AY$64:$AY$71&amp;単価表!$AZ$64:$AZ$71,),),MATCH(内訳計算!AT$6,単価表!$AY$63:$CC$63,0)),
INDEX(単価表!$AY$72:$CC$79,MATCH($V107&amp;$W107,INDEX(単価表!$AY$64:$AY$71&amp;単価表!$AZ$64:$AZ$71,),),MATCH(内訳計算!AT$6,単価表!$AY$63:$CC$63,0))),0),0)</f>
        <v>0</v>
      </c>
      <c r="AU107" s="869" cm="1">
        <f t="array" ref="AU107">IFERROR(ROUNDUP(IF(HLOOKUP($U107,加算と減算!$E$4:$P$10,6,FALSE)="○",IF(OR($U107=2,$U107=3),
INDEX(単価表!$AY$72:$CC$79,MATCH($V107&amp;$W107,INDEX(単価表!$AY$64:$AY$71&amp;単価表!$AZ$64:$AZ$71,),),MATCH(内訳計算!AU$6,単価表!$AY$63:$CC$63,0)),
INDEX(単価表!$AY$72:$CC$79,MATCH($V107&amp;$W107,INDEX(単価表!$AY$64:$AY$71&amp;単価表!$AZ$64:$AZ$71,),),MATCH(内訳計算!AU$6,単価表!$AY$63:$CC$63,0))),0)*$Y107/25,0),0)</f>
        <v>0</v>
      </c>
      <c r="AV107" s="870" cm="1">
        <f t="array" ref="AV107">IFERROR(IF(HLOOKUP($U107,加算と減算!$E$4:$P$10,7,FALSE)="○",IF(OR($U107=2,$U107=3),
INDEX(単価表!$AY$72:$CC$79,MATCH($V107&amp;$W107,INDEX(単価表!$AY$64:$AY$71&amp;単価表!$AZ$64:$AZ$71,),),MATCH(内訳計算!AV$6,単価表!$AY$63:$CC$63,0)),
INDEX(単価表!$AY$72:$CC$79,MATCH($V107&amp;$W107,INDEX(単価表!$AY$64:$AY$71&amp;単価表!$AZ$64:$AZ$71,),),MATCH(内訳計算!AV$6,単価表!$AY$63:$CC$63,0))),0),0)</f>
        <v>0</v>
      </c>
      <c r="AW107" s="889" cm="1">
        <f t="array" ref="AW107">IFERROR(ROUNDUP(IF(HLOOKUP($U107,加算と減算!$E$4:$P$10,7,FALSE)="○",IF(OR($U107=2,$U107=3),
INDEX(単価表!$AY$72:$CC$79,MATCH($V107&amp;$W107,INDEX(単価表!$AY$64:$AY$71&amp;単価表!$AZ$64:$AZ$71,),),MATCH(内訳計算!AW$6,単価表!$AY$63:$CC$63,0)),
INDEX(単価表!$AY$72:$CC$79,MATCH($V107&amp;$W107,INDEX(単価表!$AY$64:$AY$71&amp;単価表!$AZ$64:$AZ$71,),),MATCH(内訳計算!AW$6,単価表!$AY$63:$CC$63,0))),0)*$Y107/25,0),0)</f>
        <v>0</v>
      </c>
      <c r="AX107" s="889" cm="1">
        <f t="array" ref="AX107">IFERROR(ROUNDUP(IF(HLOOKUP($U107,加算と減算!$E$4:$P$10,7,FALSE)="○",IF(OR($U107=2,$U107=3),
INDEX(単価表!$AY$72:$CC$79,MATCH($V107&amp;$W107,INDEX(単価表!$AY$64:$AY$71&amp;単価表!$AZ$64:$AZ$71,),),MATCH(内訳計算!AX$6,単価表!$AY$63:$CC$63,0)),
INDEX(単価表!$AY$72:$CC$79,MATCH($V107&amp;$W107,INDEX(単価表!$AY$64:$AY$71&amp;単価表!$AZ$64:$AZ$71,),),MATCH(内訳計算!AX$6,単価表!$AY$63:$CC$63,0))),0)*$Y107/25,0),0)</f>
        <v>0</v>
      </c>
      <c r="AY107" s="869" cm="1">
        <f t="array" ref="AY107">IFERROR(ROUNDUP(IF(HLOOKUP($U107,加算と減算!$E$4:$P$10,7,FALSE)="○",IF(OR($U107=2,$U107=3),
INDEX(単価表!$AY$72:$CC$79,MATCH($V107&amp;$W107,INDEX(単価表!$AY$64:$AY$71&amp;単価表!$AZ$64:$AZ$71,),),MATCH(内訳計算!AY$6,単価表!$AY$63:$CC$63,0)),
INDEX(単価表!$AY$72:$CC$79,MATCH($V107&amp;$W107,INDEX(単価表!$AY$64:$AY$71&amp;単価表!$AZ$64:$AZ$71,),),MATCH(内訳計算!AY$6,単価表!$AY$63:$CC$63,0))),0)*$Y107/25,0),0)</f>
        <v>0</v>
      </c>
      <c r="AZ107" s="870" cm="1">
        <f t="array" ref="AZ107">IFERROR(IF(X107="○",INDEX(単価表!$AY$72:$CC$79,MATCH($V107&amp;$W107,INDEX(単価表!$AY$64:$AY$71&amp;単価表!$AZ$64:$AZ$71,),),MATCH(内訳計算!AZ$6,単価表!$AY$63:$CC$63,0)),0),0)</f>
        <v>0</v>
      </c>
      <c r="BA107" s="869" cm="1">
        <f t="array" ref="BA107">IFERROR(ROUNDUP(INDEX(単価表!$AY$72:$CC$79,MATCH($V107&amp;$W107,INDEX(単価表!$AY$64:$AY$71&amp;単価表!$AZ$64:$AZ$71,),),MATCH(内訳計算!BA$6,単価表!$AY$63:$CC$63,0))*$Y107/25,0),0)</f>
        <v>0</v>
      </c>
      <c r="BB107" s="870" cm="1">
        <f t="array" ref="BB107">IFERROR(INDEX(単価表!$AY$72:$CC$79,MATCH($V107&amp;$W107,INDEX(単価表!$AY$64:$AY$71&amp;単価表!$AZ$64:$AZ$71,),),MATCH(内訳計算!BB$6,単価表!$AY$63:$CC$63,0)),0)</f>
        <v>0</v>
      </c>
      <c r="BC107" s="869" cm="1">
        <f t="array" ref="BC107">IFERROR(ROUNDUP(INDEX(単価表!$AY$72:$CC$79,MATCH($V107&amp;$W107,INDEX(単価表!$AY$64:$AY$71&amp;単価表!$AZ$64:$AZ$71,),),MATCH(内訳計算!BC$6,単価表!$AY$63:$CC$63,0))*$Y107/25,0),0)</f>
        <v>0</v>
      </c>
      <c r="BD107" s="995">
        <f>IFERROR(IF(HLOOKUP($U107,加算と減算!$E$31:$P$32,2,FALSE)="○",IF(OR($U107=2,$U107=3),-(単価表!$AZ$23+単価表!$BA$23*基本情報!$G$7),-(単価表!$AZ$23+単価表!$BA$23*基本情報!$G$7)),0),0)</f>
        <v>0</v>
      </c>
      <c r="BE107" s="1013" t="e">
        <f t="shared" si="171"/>
        <v>#VALUE!</v>
      </c>
      <c r="BF107" s="1013" t="e">
        <f t="shared" si="172"/>
        <v>#VALUE!</v>
      </c>
      <c r="BG107" s="1033" t="e">
        <f t="shared" si="173"/>
        <v>#N/A</v>
      </c>
      <c r="BH107" s="1034">
        <f>IFERROR(IF(基本情報!$E$12&lt;&gt;"",-ROUNDDOWN((AA107+AE107+AH107+AL107)*基本情報!$H$13/100,-1),0),0)</f>
        <v>0</v>
      </c>
      <c r="BI107" s="1013" t="e">
        <f t="shared" si="174"/>
        <v>#VALUE!</v>
      </c>
      <c r="BJ107" s="1013" t="e">
        <f t="shared" si="175"/>
        <v>#VALUE!</v>
      </c>
      <c r="BK107" s="1014" t="e">
        <f t="shared" si="176"/>
        <v>#N/A</v>
      </c>
      <c r="BL107" s="1034">
        <f t="shared" si="185"/>
        <v>0</v>
      </c>
      <c r="BM107" s="1013" t="e">
        <f t="shared" si="177"/>
        <v>#VALUE!</v>
      </c>
      <c r="BN107" s="1013" t="e">
        <f t="shared" si="178"/>
        <v>#VALUE!</v>
      </c>
      <c r="BO107" s="1014" t="e">
        <f t="shared" si="179"/>
        <v>#N/A</v>
      </c>
      <c r="BP107" s="1012">
        <f>IFERROR(-ROUNDUP(SUM(AA107,AE107,AH107,AL107,AR107,AT107,AV107,BD107,BH107,BL107)*基本情報!$H$15/100,-1),0)</f>
        <v>0</v>
      </c>
      <c r="BQ107" s="1013" t="e">
        <f t="shared" si="180"/>
        <v>#VALUE!</v>
      </c>
      <c r="BR107" s="1013" t="e">
        <f t="shared" si="181"/>
        <v>#VALUE!</v>
      </c>
      <c r="BS107" s="1014" t="e">
        <f t="shared" si="182"/>
        <v>#N/A</v>
      </c>
      <c r="BU107" s="1047" t="e">
        <f t="shared" si="186"/>
        <v>#VALUE!</v>
      </c>
      <c r="BV107" s="1048" t="e">
        <f t="shared" si="187"/>
        <v>#VALUE!</v>
      </c>
      <c r="BW107" s="1048" t="e">
        <f t="shared" si="188"/>
        <v>#N/A</v>
      </c>
      <c r="BX107" s="1052">
        <f t="shared" si="189"/>
        <v>0</v>
      </c>
      <c r="BY107" s="1049">
        <f t="shared" si="190"/>
        <v>0</v>
      </c>
    </row>
    <row r="108" spans="1:77" ht="18.75" customHeight="1" thickTop="1" thickBot="1">
      <c r="A108" s="1641"/>
      <c r="B108" s="1566" t="s">
        <v>599</v>
      </c>
      <c r="C108" s="1567"/>
      <c r="D108" s="1567"/>
      <c r="E108" s="816" t="e">
        <f>E93*E74</f>
        <v>#DIV/0!</v>
      </c>
      <c r="F108" s="816" t="e">
        <f t="shared" ref="F108:P108" si="207">F93*F74</f>
        <v>#DIV/0!</v>
      </c>
      <c r="G108" s="816" t="e">
        <f t="shared" si="207"/>
        <v>#DIV/0!</v>
      </c>
      <c r="H108" s="816" t="e">
        <f t="shared" si="207"/>
        <v>#DIV/0!</v>
      </c>
      <c r="I108" s="816" t="e">
        <f t="shared" si="207"/>
        <v>#DIV/0!</v>
      </c>
      <c r="J108" s="816" t="e">
        <f t="shared" si="207"/>
        <v>#DIV/0!</v>
      </c>
      <c r="K108" s="816" t="e">
        <f t="shared" si="207"/>
        <v>#DIV/0!</v>
      </c>
      <c r="L108" s="816" t="e">
        <f t="shared" si="207"/>
        <v>#DIV/0!</v>
      </c>
      <c r="M108" s="816" t="e">
        <f t="shared" si="207"/>
        <v>#DIV/0!</v>
      </c>
      <c r="N108" s="816" t="e">
        <f t="shared" si="207"/>
        <v>#DIV/0!</v>
      </c>
      <c r="O108" s="816" t="e">
        <f t="shared" si="207"/>
        <v>#DIV/0!</v>
      </c>
      <c r="P108" s="827" t="e">
        <f t="shared" si="207"/>
        <v>#DIV/0!</v>
      </c>
      <c r="Q108" s="829" t="e">
        <f t="shared" si="204"/>
        <v>#DIV/0!</v>
      </c>
      <c r="Z108" s="721">
        <f>SUM(Z88:Z107)</f>
        <v>0</v>
      </c>
      <c r="AA108" s="721"/>
      <c r="AB108" s="721" t="e">
        <f t="shared" ref="AB108:BK108" si="208">SUM(AB88:AB107)</f>
        <v>#VALUE!</v>
      </c>
      <c r="AC108" s="721">
        <f t="shared" si="208"/>
        <v>0</v>
      </c>
      <c r="AD108" s="721">
        <f t="shared" si="208"/>
        <v>0</v>
      </c>
      <c r="AE108" s="721"/>
      <c r="AF108" s="721">
        <f t="shared" si="208"/>
        <v>0</v>
      </c>
      <c r="AG108" s="721">
        <f t="shared" si="208"/>
        <v>0</v>
      </c>
      <c r="AH108" s="721"/>
      <c r="AI108" s="721">
        <f t="shared" si="208"/>
        <v>0</v>
      </c>
      <c r="AJ108" s="721">
        <f t="shared" si="208"/>
        <v>0</v>
      </c>
      <c r="AK108" s="721">
        <f t="shared" si="208"/>
        <v>0</v>
      </c>
      <c r="AL108" s="721"/>
      <c r="AM108" s="721">
        <f t="shared" si="208"/>
        <v>0</v>
      </c>
      <c r="AN108" s="721">
        <f t="shared" si="208"/>
        <v>0</v>
      </c>
      <c r="AO108" s="721">
        <f t="shared" si="208"/>
        <v>0</v>
      </c>
      <c r="AP108" s="721">
        <f t="shared" si="208"/>
        <v>0</v>
      </c>
      <c r="AQ108" s="721">
        <f t="shared" si="208"/>
        <v>0</v>
      </c>
      <c r="AR108" s="721"/>
      <c r="AS108" s="721">
        <f t="shared" si="208"/>
        <v>0</v>
      </c>
      <c r="AT108" s="721"/>
      <c r="AU108" s="721">
        <f t="shared" si="208"/>
        <v>0</v>
      </c>
      <c r="AV108" s="721"/>
      <c r="AW108" s="721">
        <f t="shared" si="208"/>
        <v>0</v>
      </c>
      <c r="AX108" s="721">
        <f t="shared" si="208"/>
        <v>0</v>
      </c>
      <c r="AY108" s="721">
        <f t="shared" si="208"/>
        <v>0</v>
      </c>
      <c r="AZ108" s="721"/>
      <c r="BA108" s="721">
        <f t="shared" si="208"/>
        <v>0</v>
      </c>
      <c r="BB108" s="721"/>
      <c r="BC108" s="721">
        <f t="shared" si="208"/>
        <v>0</v>
      </c>
      <c r="BD108" s="721"/>
      <c r="BE108" s="721" t="e">
        <f t="shared" si="208"/>
        <v>#VALUE!</v>
      </c>
      <c r="BF108" s="721" t="e">
        <f t="shared" si="208"/>
        <v>#VALUE!</v>
      </c>
      <c r="BG108" s="721" t="e">
        <f t="shared" si="208"/>
        <v>#N/A</v>
      </c>
      <c r="BH108" s="721"/>
      <c r="BI108" s="721" t="e">
        <f t="shared" si="208"/>
        <v>#VALUE!</v>
      </c>
      <c r="BJ108" s="721" t="e">
        <f t="shared" si="208"/>
        <v>#VALUE!</v>
      </c>
      <c r="BK108" s="721" t="e">
        <f t="shared" si="208"/>
        <v>#N/A</v>
      </c>
      <c r="BM108" s="1018" t="e">
        <f>SUM(BM88:BM107)</f>
        <v>#VALUE!</v>
      </c>
      <c r="BN108" s="1018" t="e">
        <f>SUM(BN88:BN107)</f>
        <v>#VALUE!</v>
      </c>
      <c r="BO108" s="1018" t="e">
        <f>SUM(BO88:BO107)</f>
        <v>#N/A</v>
      </c>
      <c r="BQ108" s="1018" t="e">
        <f>SUM(BQ88:BQ107)</f>
        <v>#VALUE!</v>
      </c>
      <c r="BR108" s="1018" t="e">
        <f>SUM(BR88:BR107)</f>
        <v>#VALUE!</v>
      </c>
      <c r="BS108" s="1018" t="e">
        <f>SUM(BS88:BS107)</f>
        <v>#N/A</v>
      </c>
      <c r="BU108" s="1037" t="e">
        <f>SUM(BU88:BU107)</f>
        <v>#VALUE!</v>
      </c>
      <c r="BV108" s="1038" t="e">
        <f>SUM(BV88:BV107)</f>
        <v>#VALUE!</v>
      </c>
      <c r="BW108" s="1038" t="e">
        <f>SUM(BW88:BW107)</f>
        <v>#N/A</v>
      </c>
      <c r="BX108" s="1053">
        <f>SUM(BX88:BX107)</f>
        <v>0</v>
      </c>
      <c r="BY108" s="1039">
        <f>SUM(BY88:BY107)</f>
        <v>0</v>
      </c>
    </row>
  </sheetData>
  <mergeCells count="358">
    <mergeCell ref="DC78:DJ83"/>
    <mergeCell ref="CY78:CZ78"/>
    <mergeCell ref="CW79:CX79"/>
    <mergeCell ref="CY79:CZ79"/>
    <mergeCell ref="CY80:CZ80"/>
    <mergeCell ref="CB5:CB30"/>
    <mergeCell ref="BU85:BY85"/>
    <mergeCell ref="BU86:BU87"/>
    <mergeCell ref="BV86:BV87"/>
    <mergeCell ref="BW86:BW87"/>
    <mergeCell ref="BX86:BX87"/>
    <mergeCell ref="BY86:BY87"/>
    <mergeCell ref="CB73:CE73"/>
    <mergeCell ref="CT76:CU77"/>
    <mergeCell ref="CT72:CU73"/>
    <mergeCell ref="CD76:CE77"/>
    <mergeCell ref="CF76:CF77"/>
    <mergeCell ref="CG76:CG77"/>
    <mergeCell ref="CH76:CH77"/>
    <mergeCell ref="CI76:CI77"/>
    <mergeCell ref="CJ76:CJ77"/>
    <mergeCell ref="CK76:CK77"/>
    <mergeCell ref="CL76:CL77"/>
    <mergeCell ref="CM76:CM77"/>
    <mergeCell ref="CN76:CN77"/>
    <mergeCell ref="CO76:CO77"/>
    <mergeCell ref="CP76:CP77"/>
    <mergeCell ref="CQ76:CQ77"/>
    <mergeCell ref="CR76:CR77"/>
    <mergeCell ref="DC62:DJ65"/>
    <mergeCell ref="DC72:DJ76"/>
    <mergeCell ref="BU4:BY4"/>
    <mergeCell ref="BU5:BU6"/>
    <mergeCell ref="BV5:BV6"/>
    <mergeCell ref="BW5:BW6"/>
    <mergeCell ref="BX5:BX6"/>
    <mergeCell ref="BY5:BY6"/>
    <mergeCell ref="BU31:BY31"/>
    <mergeCell ref="BU32:BU33"/>
    <mergeCell ref="BV32:BV33"/>
    <mergeCell ref="BW32:BW33"/>
    <mergeCell ref="BX32:BX33"/>
    <mergeCell ref="BY32:BY33"/>
    <mergeCell ref="BU59:BY59"/>
    <mergeCell ref="BU60:BU61"/>
    <mergeCell ref="BV60:BV61"/>
    <mergeCell ref="BW60:BW61"/>
    <mergeCell ref="BX60:BX61"/>
    <mergeCell ref="BY60:BY61"/>
    <mergeCell ref="CY5:CZ5"/>
    <mergeCell ref="CV5:CX5"/>
    <mergeCell ref="C68:D68"/>
    <mergeCell ref="C69:D69"/>
    <mergeCell ref="C70:D70"/>
    <mergeCell ref="AS85:AS86"/>
    <mergeCell ref="AT85:AT86"/>
    <mergeCell ref="AU85:AU86"/>
    <mergeCell ref="AV85:AV86"/>
    <mergeCell ref="AW85:AY85"/>
    <mergeCell ref="AZ85:AZ86"/>
    <mergeCell ref="BA85:BA86"/>
    <mergeCell ref="BB85:BB86"/>
    <mergeCell ref="BC85:BC86"/>
    <mergeCell ref="AA84:AD84"/>
    <mergeCell ref="AE84:AG84"/>
    <mergeCell ref="AH84:AK84"/>
    <mergeCell ref="AL84:AQ84"/>
    <mergeCell ref="AR84:AS84"/>
    <mergeCell ref="AT84:AU84"/>
    <mergeCell ref="AV84:AY84"/>
    <mergeCell ref="AZ84:BA84"/>
    <mergeCell ref="BB84:BC84"/>
    <mergeCell ref="AS59:AS60"/>
    <mergeCell ref="AT59:AT60"/>
    <mergeCell ref="AU59:AU60"/>
    <mergeCell ref="AV59:AV60"/>
    <mergeCell ref="AW59:AY59"/>
    <mergeCell ref="AZ59:AZ60"/>
    <mergeCell ref="BA59:BA60"/>
    <mergeCell ref="BB59:BB60"/>
    <mergeCell ref="BC59:BC60"/>
    <mergeCell ref="AA59:AA60"/>
    <mergeCell ref="AB59:AD59"/>
    <mergeCell ref="AE59:AE60"/>
    <mergeCell ref="AF59:AG59"/>
    <mergeCell ref="AH59:AH60"/>
    <mergeCell ref="AI59:AK59"/>
    <mergeCell ref="AL59:AL60"/>
    <mergeCell ref="AM59:AQ59"/>
    <mergeCell ref="AR59:AR60"/>
    <mergeCell ref="AZ3:BA3"/>
    <mergeCell ref="AZ4:AZ5"/>
    <mergeCell ref="BA4:BA5"/>
    <mergeCell ref="AL58:AQ58"/>
    <mergeCell ref="AR58:AS58"/>
    <mergeCell ref="AT58:AU58"/>
    <mergeCell ref="AV58:AY58"/>
    <mergeCell ref="AZ58:BA58"/>
    <mergeCell ref="BB58:BC58"/>
    <mergeCell ref="BB31:BB32"/>
    <mergeCell ref="BC31:BC32"/>
    <mergeCell ref="AT30:AU30"/>
    <mergeCell ref="AV30:AY30"/>
    <mergeCell ref="AS31:AS32"/>
    <mergeCell ref="AT31:AT32"/>
    <mergeCell ref="AU31:AU32"/>
    <mergeCell ref="AV31:AV32"/>
    <mergeCell ref="AW31:AY31"/>
    <mergeCell ref="AZ31:AZ32"/>
    <mergeCell ref="BA31:BA32"/>
    <mergeCell ref="AZ30:BA30"/>
    <mergeCell ref="BB30:BC30"/>
    <mergeCell ref="A71:A108"/>
    <mergeCell ref="B60:E60"/>
    <mergeCell ref="B61:C64"/>
    <mergeCell ref="D61:D62"/>
    <mergeCell ref="D63:D64"/>
    <mergeCell ref="A3:A27"/>
    <mergeCell ref="A31:A55"/>
    <mergeCell ref="Y84:Y86"/>
    <mergeCell ref="B16:B27"/>
    <mergeCell ref="C16:D16"/>
    <mergeCell ref="C17:C21"/>
    <mergeCell ref="C22:D22"/>
    <mergeCell ref="C23:C27"/>
    <mergeCell ref="B3:B14"/>
    <mergeCell ref="B31:B42"/>
    <mergeCell ref="C31:D31"/>
    <mergeCell ref="C32:C36"/>
    <mergeCell ref="C37:D37"/>
    <mergeCell ref="C38:C42"/>
    <mergeCell ref="B77:D77"/>
    <mergeCell ref="B99:D99"/>
    <mergeCell ref="B100:D100"/>
    <mergeCell ref="B101:D101"/>
    <mergeCell ref="B103:D103"/>
    <mergeCell ref="Z84:Z86"/>
    <mergeCell ref="T84:T86"/>
    <mergeCell ref="U84:U86"/>
    <mergeCell ref="W84:W86"/>
    <mergeCell ref="V84:V86"/>
    <mergeCell ref="X84:X86"/>
    <mergeCell ref="T58:T60"/>
    <mergeCell ref="U58:U60"/>
    <mergeCell ref="W58:W60"/>
    <mergeCell ref="V58:V60"/>
    <mergeCell ref="X58:X60"/>
    <mergeCell ref="Y58:Y60"/>
    <mergeCell ref="Z58:Z60"/>
    <mergeCell ref="AM85:AQ85"/>
    <mergeCell ref="AR85:AR86"/>
    <mergeCell ref="AA58:AD58"/>
    <mergeCell ref="AE58:AG58"/>
    <mergeCell ref="AH58:AK58"/>
    <mergeCell ref="AA30:AD30"/>
    <mergeCell ref="AE30:AG30"/>
    <mergeCell ref="AH30:AK30"/>
    <mergeCell ref="AL30:AQ30"/>
    <mergeCell ref="AR30:AS30"/>
    <mergeCell ref="AA85:AA86"/>
    <mergeCell ref="AB85:AD85"/>
    <mergeCell ref="AE85:AE86"/>
    <mergeCell ref="AF85:AG85"/>
    <mergeCell ref="AH85:AH86"/>
    <mergeCell ref="AI85:AK85"/>
    <mergeCell ref="AL85:AL86"/>
    <mergeCell ref="AE31:AE32"/>
    <mergeCell ref="AF31:AG31"/>
    <mergeCell ref="AH31:AH32"/>
    <mergeCell ref="AI31:AK31"/>
    <mergeCell ref="AL31:AL32"/>
    <mergeCell ref="AM31:AQ31"/>
    <mergeCell ref="AR31:AR32"/>
    <mergeCell ref="AA31:AA32"/>
    <mergeCell ref="AB31:AD31"/>
    <mergeCell ref="T30:T32"/>
    <mergeCell ref="U30:U32"/>
    <mergeCell ref="W30:W32"/>
    <mergeCell ref="V30:V32"/>
    <mergeCell ref="X30:X32"/>
    <mergeCell ref="Y30:Y32"/>
    <mergeCell ref="Z30:Z32"/>
    <mergeCell ref="CB70:CE70"/>
    <mergeCell ref="CB32:CB55"/>
    <mergeCell ref="CC5:CD6"/>
    <mergeCell ref="CE5:CE6"/>
    <mergeCell ref="CC7:CD8"/>
    <mergeCell ref="CC9:CC17"/>
    <mergeCell ref="CD9:CD10"/>
    <mergeCell ref="CD12:CD13"/>
    <mergeCell ref="CD16:CD17"/>
    <mergeCell ref="CC60:CC63"/>
    <mergeCell ref="CD60:CD61"/>
    <mergeCell ref="CC30:CD30"/>
    <mergeCell ref="CB60:CB63"/>
    <mergeCell ref="CB64:CB68"/>
    <mergeCell ref="BD30:BG30"/>
    <mergeCell ref="BH30:BK30"/>
    <mergeCell ref="BL30:BO30"/>
    <mergeCell ref="BL31:BL32"/>
    <mergeCell ref="BM31:BO31"/>
    <mergeCell ref="BD58:BG58"/>
    <mergeCell ref="BH58:BK58"/>
    <mergeCell ref="BL58:BO58"/>
    <mergeCell ref="CV1:CV2"/>
    <mergeCell ref="CG5:CG6"/>
    <mergeCell ref="CH5:CH6"/>
    <mergeCell ref="CI5:CI6"/>
    <mergeCell ref="CJ5:CJ6"/>
    <mergeCell ref="CK5:CK6"/>
    <mergeCell ref="CL5:CL6"/>
    <mergeCell ref="CM5:CM6"/>
    <mergeCell ref="CO5:CO6"/>
    <mergeCell ref="BP58:BS58"/>
    <mergeCell ref="CW1:CW2"/>
    <mergeCell ref="CS5:CT6"/>
    <mergeCell ref="CS7:CT8"/>
    <mergeCell ref="CS9:CS17"/>
    <mergeCell ref="CT9:CT10"/>
    <mergeCell ref="CT12:CT13"/>
    <mergeCell ref="CT16:CT17"/>
    <mergeCell ref="CC64:CC68"/>
    <mergeCell ref="CD65:CD66"/>
    <mergeCell ref="CC55:CD55"/>
    <mergeCell ref="CT60:CU61"/>
    <mergeCell ref="CT62:CU62"/>
    <mergeCell ref="CT63:CU63"/>
    <mergeCell ref="CT64:CU64"/>
    <mergeCell ref="CT65:CU66"/>
    <mergeCell ref="CT67:CU67"/>
    <mergeCell ref="CT68:CU68"/>
    <mergeCell ref="CS18:CS29"/>
    <mergeCell ref="CP5:CP6"/>
    <mergeCell ref="CQ5:CQ6"/>
    <mergeCell ref="CR5:CR6"/>
    <mergeCell ref="CC43:CC54"/>
    <mergeCell ref="CC18:CC29"/>
    <mergeCell ref="CF5:CF6"/>
    <mergeCell ref="CS64:CS68"/>
    <mergeCell ref="CT1:CT2"/>
    <mergeCell ref="CU1:CU2"/>
    <mergeCell ref="B72:D72"/>
    <mergeCell ref="B73:D73"/>
    <mergeCell ref="B74:D74"/>
    <mergeCell ref="B75:D75"/>
    <mergeCell ref="CS30:CT30"/>
    <mergeCell ref="CS32:CT33"/>
    <mergeCell ref="CS34:CS42"/>
    <mergeCell ref="CT34:CT35"/>
    <mergeCell ref="CT37:CT38"/>
    <mergeCell ref="CT41:CT42"/>
    <mergeCell ref="CS43:CS54"/>
    <mergeCell ref="CS55:CT55"/>
    <mergeCell ref="CS60:CS63"/>
    <mergeCell ref="CN5:CN6"/>
    <mergeCell ref="CC32:CD33"/>
    <mergeCell ref="CC34:CC42"/>
    <mergeCell ref="CD34:CD35"/>
    <mergeCell ref="CD37:CD38"/>
    <mergeCell ref="CD41:CD42"/>
    <mergeCell ref="V3:V5"/>
    <mergeCell ref="AE4:AE5"/>
    <mergeCell ref="B104:D104"/>
    <mergeCell ref="B106:D106"/>
    <mergeCell ref="B107:D107"/>
    <mergeCell ref="B108:D108"/>
    <mergeCell ref="B105:D105"/>
    <mergeCell ref="B88:D88"/>
    <mergeCell ref="B91:D91"/>
    <mergeCell ref="B92:D92"/>
    <mergeCell ref="B93:D93"/>
    <mergeCell ref="B95:E95"/>
    <mergeCell ref="B96:D96"/>
    <mergeCell ref="B97:D97"/>
    <mergeCell ref="B98:D98"/>
    <mergeCell ref="B82:D82"/>
    <mergeCell ref="B83:D83"/>
    <mergeCell ref="B85:D85"/>
    <mergeCell ref="B86:D86"/>
    <mergeCell ref="B87:D87"/>
    <mergeCell ref="BD3:BG3"/>
    <mergeCell ref="BD4:BD5"/>
    <mergeCell ref="BE4:BG4"/>
    <mergeCell ref="BH3:BK3"/>
    <mergeCell ref="BH4:BH5"/>
    <mergeCell ref="BI4:BK4"/>
    <mergeCell ref="BD31:BD32"/>
    <mergeCell ref="BE31:BG31"/>
    <mergeCell ref="BH31:BH32"/>
    <mergeCell ref="BI31:BK31"/>
    <mergeCell ref="X3:X5"/>
    <mergeCell ref="Y3:Y5"/>
    <mergeCell ref="Z3:Z5"/>
    <mergeCell ref="AA3:AD3"/>
    <mergeCell ref="AE3:AG3"/>
    <mergeCell ref="C10:C14"/>
    <mergeCell ref="C4:C8"/>
    <mergeCell ref="U3:U5"/>
    <mergeCell ref="W3:W5"/>
    <mergeCell ref="AF4:AG4"/>
    <mergeCell ref="AA4:AA5"/>
    <mergeCell ref="AB4:AD4"/>
    <mergeCell ref="BL3:BO3"/>
    <mergeCell ref="BL4:BL5"/>
    <mergeCell ref="BM4:BO4"/>
    <mergeCell ref="AR3:AS3"/>
    <mergeCell ref="AR4:AR5"/>
    <mergeCell ref="AS4:AS5"/>
    <mergeCell ref="AT3:AU3"/>
    <mergeCell ref="AT4:AT5"/>
    <mergeCell ref="AU4:AU5"/>
    <mergeCell ref="AH3:AK3"/>
    <mergeCell ref="AL3:AQ3"/>
    <mergeCell ref="AL4:AL5"/>
    <mergeCell ref="AM4:AQ4"/>
    <mergeCell ref="AH4:AH5"/>
    <mergeCell ref="AI4:AK4"/>
    <mergeCell ref="AV3:AY3"/>
    <mergeCell ref="AV4:AV5"/>
    <mergeCell ref="AW4:AY4"/>
    <mergeCell ref="BB3:BC3"/>
    <mergeCell ref="BB4:BB5"/>
    <mergeCell ref="BC4:BC5"/>
    <mergeCell ref="B78:D78"/>
    <mergeCell ref="B79:D79"/>
    <mergeCell ref="B80:D80"/>
    <mergeCell ref="C3:D3"/>
    <mergeCell ref="N3:N5"/>
    <mergeCell ref="O3:O4"/>
    <mergeCell ref="P3:P4"/>
    <mergeCell ref="T3:T5"/>
    <mergeCell ref="N6:O6"/>
    <mergeCell ref="C9:D9"/>
    <mergeCell ref="B44:B55"/>
    <mergeCell ref="C44:D44"/>
    <mergeCell ref="C45:C49"/>
    <mergeCell ref="C50:D50"/>
    <mergeCell ref="C51:C55"/>
    <mergeCell ref="BD59:BD60"/>
    <mergeCell ref="BE59:BG59"/>
    <mergeCell ref="BH59:BH60"/>
    <mergeCell ref="BI59:BK59"/>
    <mergeCell ref="BL59:BL60"/>
    <mergeCell ref="BM59:BO59"/>
    <mergeCell ref="BP59:BP60"/>
    <mergeCell ref="BQ59:BS59"/>
    <mergeCell ref="BL84:BO84"/>
    <mergeCell ref="BP84:BS84"/>
    <mergeCell ref="BD85:BD86"/>
    <mergeCell ref="BE85:BG85"/>
    <mergeCell ref="BH85:BH86"/>
    <mergeCell ref="BI85:BK85"/>
    <mergeCell ref="BL85:BL86"/>
    <mergeCell ref="BM85:BO85"/>
    <mergeCell ref="BP85:BP86"/>
    <mergeCell ref="BQ85:BS85"/>
    <mergeCell ref="BD84:BG84"/>
    <mergeCell ref="BH84:BK84"/>
  </mergeCells>
  <phoneticPr fontId="2"/>
  <hyperlinks>
    <hyperlink ref="DC60" r:id="rId1" xr:uid="{91FC95F9-87D2-4834-9146-BE83A3DB02AC}"/>
    <hyperlink ref="DC70" r:id="rId2" xr:uid="{32FDCE1C-40A4-4526-A98D-3526D76F54F1}"/>
  </hyperlinks>
  <printOptions headings="1"/>
  <pageMargins left="0.70866141732283472" right="0.70866141732283472" top="0.74803149606299213" bottom="0.74803149606299213" header="0.31496062992125984" footer="0.31496062992125984"/>
  <pageSetup paperSize="8" scale="110" orientation="portrait" r:id="rId3"/>
  <colBreaks count="1" manualBreakCount="1">
    <brk id="1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04FD3-0335-453A-A68D-425888056F0A}">
  <dimension ref="A1:AZ95"/>
  <sheetViews>
    <sheetView view="pageBreakPreview" zoomScale="85" zoomScaleNormal="70" zoomScaleSheetLayoutView="85" workbookViewId="0">
      <selection activeCell="G3" sqref="G3"/>
    </sheetView>
  </sheetViews>
  <sheetFormatPr defaultRowHeight="18.75"/>
  <cols>
    <col min="1" max="1" width="2.875" style="283" customWidth="1"/>
    <col min="2" max="2" width="17.5" style="286" hidden="1" customWidth="1"/>
    <col min="3" max="5" width="10" style="286" hidden="1" customWidth="1"/>
    <col min="6" max="6" width="1.875" style="283" customWidth="1"/>
    <col min="7" max="7" width="20" style="286" customWidth="1"/>
    <col min="8" max="19" width="10.5" style="283" customWidth="1"/>
    <col min="20" max="20" width="12.625" style="283" bestFit="1" customWidth="1"/>
    <col min="21" max="24" width="9" style="283"/>
    <col min="25" max="25" width="0" style="283" hidden="1" customWidth="1"/>
    <col min="26" max="26" width="46.625" style="283" hidden="1" customWidth="1"/>
    <col min="27" max="52" width="0" style="283" hidden="1" customWidth="1"/>
    <col min="53" max="16384" width="9" style="283"/>
  </cols>
  <sheetData>
    <row r="1" spans="1:38" ht="18.75" customHeight="1">
      <c r="A1" s="1709" t="s">
        <v>489</v>
      </c>
      <c r="B1" s="286" t="s">
        <v>458</v>
      </c>
      <c r="C1" s="286">
        <f>基本情報!G7</f>
        <v>0</v>
      </c>
      <c r="G1" s="1707" t="s">
        <v>486</v>
      </c>
      <c r="H1" s="285" t="s">
        <v>463</v>
      </c>
      <c r="I1" s="285" t="s">
        <v>464</v>
      </c>
      <c r="J1" s="285" t="s">
        <v>465</v>
      </c>
      <c r="K1" s="285" t="s">
        <v>466</v>
      </c>
      <c r="L1" s="285" t="s">
        <v>467</v>
      </c>
      <c r="M1" s="285" t="s">
        <v>468</v>
      </c>
      <c r="N1" s="285" t="s">
        <v>469</v>
      </c>
      <c r="O1" s="285" t="s">
        <v>470</v>
      </c>
      <c r="P1" s="285" t="s">
        <v>471</v>
      </c>
      <c r="Q1" s="285" t="s">
        <v>472</v>
      </c>
      <c r="R1" s="285" t="s">
        <v>473</v>
      </c>
      <c r="S1" s="285" t="s">
        <v>474</v>
      </c>
    </row>
    <row r="2" spans="1:38">
      <c r="A2" s="1709"/>
      <c r="B2" s="956" t="s">
        <v>687</v>
      </c>
      <c r="C2" s="286">
        <f>基本情報!E7</f>
        <v>0</v>
      </c>
      <c r="G2" s="1708"/>
      <c r="H2" s="284">
        <f>児童数!AT8</f>
        <v>0</v>
      </c>
      <c r="I2" s="284">
        <f>児童数!AT9</f>
        <v>0</v>
      </c>
      <c r="J2" s="284">
        <f>児童数!AT10</f>
        <v>0</v>
      </c>
      <c r="K2" s="284">
        <f>児童数!AT11</f>
        <v>0</v>
      </c>
      <c r="L2" s="284">
        <f>児童数!AT12</f>
        <v>0</v>
      </c>
      <c r="M2" s="284">
        <f>児童数!AT13</f>
        <v>0</v>
      </c>
      <c r="N2" s="284">
        <f>児童数!AT14</f>
        <v>0</v>
      </c>
      <c r="O2" s="284">
        <f>児童数!AT15</f>
        <v>0</v>
      </c>
      <c r="P2" s="284">
        <f>児童数!AT16</f>
        <v>0</v>
      </c>
      <c r="Q2" s="284">
        <f>児童数!AT17</f>
        <v>0</v>
      </c>
      <c r="R2" s="284">
        <f>児童数!AT18</f>
        <v>0</v>
      </c>
      <c r="S2" s="284">
        <f>児童数!AT19</f>
        <v>0</v>
      </c>
    </row>
    <row r="3" spans="1:38">
      <c r="A3" s="1709"/>
      <c r="B3" s="956" t="s">
        <v>682</v>
      </c>
      <c r="C3" s="286">
        <f>基本情報!C7</f>
        <v>0</v>
      </c>
    </row>
    <row r="4" spans="1:38">
      <c r="A4" s="1709"/>
    </row>
    <row r="5" spans="1:38" ht="24">
      <c r="A5" s="1709"/>
      <c r="B5" s="287"/>
      <c r="C5" s="287" t="s">
        <v>456</v>
      </c>
      <c r="D5" s="287" t="s">
        <v>72</v>
      </c>
      <c r="E5" s="287" t="s">
        <v>457</v>
      </c>
      <c r="G5" s="289" t="s">
        <v>477</v>
      </c>
      <c r="H5" s="285" t="s">
        <v>463</v>
      </c>
      <c r="I5" s="285" t="s">
        <v>464</v>
      </c>
      <c r="J5" s="285" t="s">
        <v>465</v>
      </c>
      <c r="K5" s="285" t="s">
        <v>466</v>
      </c>
      <c r="L5" s="285" t="s">
        <v>467</v>
      </c>
      <c r="M5" s="285" t="s">
        <v>468</v>
      </c>
      <c r="N5" s="285" t="s">
        <v>469</v>
      </c>
      <c r="O5" s="285" t="s">
        <v>470</v>
      </c>
      <c r="P5" s="285" t="s">
        <v>471</v>
      </c>
      <c r="Q5" s="285" t="s">
        <v>472</v>
      </c>
      <c r="R5" s="285" t="s">
        <v>473</v>
      </c>
      <c r="S5" s="285" t="s">
        <v>474</v>
      </c>
    </row>
    <row r="6" spans="1:38" ht="19.5">
      <c r="A6" s="1709"/>
      <c r="B6" s="287" t="s">
        <v>69</v>
      </c>
      <c r="C6" s="287" t="e">
        <f>単価表!AU128</f>
        <v>#VALUE!</v>
      </c>
      <c r="D6" s="287" t="e">
        <f>単価表!AV128</f>
        <v>#VALUE!</v>
      </c>
      <c r="E6" s="287" t="e">
        <f>C6+D6*$C$1</f>
        <v>#VALUE!</v>
      </c>
      <c r="G6" s="292" t="str">
        <f>B6</f>
        <v>休日保育加算</v>
      </c>
      <c r="H6" s="285">
        <f>加算と減算!E6</f>
        <v>0</v>
      </c>
      <c r="I6" s="285" t="str">
        <f>加算と減算!F6</f>
        <v/>
      </c>
      <c r="J6" s="285" t="str">
        <f>加算と減算!G6</f>
        <v/>
      </c>
      <c r="K6" s="285" t="str">
        <f>加算と減算!H6</f>
        <v/>
      </c>
      <c r="L6" s="285" t="str">
        <f>加算と減算!I6</f>
        <v/>
      </c>
      <c r="M6" s="285" t="str">
        <f>加算と減算!J6</f>
        <v/>
      </c>
      <c r="N6" s="285" t="str">
        <f>加算と減算!K6</f>
        <v/>
      </c>
      <c r="O6" s="285" t="str">
        <f>加算と減算!L6</f>
        <v/>
      </c>
      <c r="P6" s="285" t="str">
        <f>加算と減算!M6</f>
        <v/>
      </c>
      <c r="Q6" s="285" t="str">
        <f>加算と減算!N6</f>
        <v/>
      </c>
      <c r="R6" s="285" t="str">
        <f>加算と減算!O6</f>
        <v/>
      </c>
      <c r="S6" s="285" t="str">
        <f>加算と減算!P6</f>
        <v/>
      </c>
    </row>
    <row r="7" spans="1:38" ht="19.5">
      <c r="A7" s="1709"/>
      <c r="B7" s="287" t="s">
        <v>18</v>
      </c>
      <c r="C7" s="287">
        <f>加算と減算!R13</f>
        <v>256850</v>
      </c>
      <c r="D7" s="287">
        <f>加算と減算!S13</f>
        <v>2560</v>
      </c>
      <c r="E7" s="287">
        <f t="shared" ref="E7:E12" si="0">C7+D7*$C$1</f>
        <v>256850</v>
      </c>
      <c r="G7" s="292" t="str">
        <f t="shared" ref="G7:G12" si="1">B7</f>
        <v>主任保育士専任加算</v>
      </c>
      <c r="H7" s="285">
        <f>加算と減算!E13</f>
        <v>0</v>
      </c>
      <c r="I7" s="285" t="str">
        <f>加算と減算!F13</f>
        <v/>
      </c>
      <c r="J7" s="285" t="str">
        <f>加算と減算!G13</f>
        <v/>
      </c>
      <c r="K7" s="285" t="str">
        <f>加算と減算!H13</f>
        <v/>
      </c>
      <c r="L7" s="285" t="str">
        <f>加算と減算!I13</f>
        <v/>
      </c>
      <c r="M7" s="285" t="str">
        <f>加算と減算!J13</f>
        <v/>
      </c>
      <c r="N7" s="285" t="str">
        <f>加算と減算!K13</f>
        <v/>
      </c>
      <c r="O7" s="285" t="str">
        <f>加算と減算!L13</f>
        <v/>
      </c>
      <c r="P7" s="285" t="str">
        <f>加算と減算!M13</f>
        <v/>
      </c>
      <c r="Q7" s="285" t="str">
        <f>加算と減算!N13</f>
        <v/>
      </c>
      <c r="R7" s="285" t="str">
        <f>加算と減算!O13</f>
        <v/>
      </c>
      <c r="S7" s="285" t="str">
        <f>加算と減算!P13</f>
        <v/>
      </c>
    </row>
    <row r="8" spans="1:38" ht="19.5">
      <c r="A8" s="1709"/>
      <c r="B8" s="287" t="s">
        <v>459</v>
      </c>
      <c r="C8" s="287">
        <f>加算と減算!R14</f>
        <v>49870</v>
      </c>
      <c r="D8" s="287">
        <f>加算と減算!S14</f>
        <v>490</v>
      </c>
      <c r="E8" s="287">
        <f t="shared" si="0"/>
        <v>49870</v>
      </c>
      <c r="G8" s="292" t="str">
        <f t="shared" si="1"/>
        <v>療育支援加算Ａ</v>
      </c>
      <c r="H8" s="285">
        <f>加算と減算!E14</f>
        <v>0</v>
      </c>
      <c r="I8" s="285" t="str">
        <f>加算と減算!F14</f>
        <v/>
      </c>
      <c r="J8" s="285" t="str">
        <f>加算と減算!G14</f>
        <v/>
      </c>
      <c r="K8" s="285" t="str">
        <f>加算と減算!H14</f>
        <v/>
      </c>
      <c r="L8" s="285" t="str">
        <f>加算と減算!I14</f>
        <v/>
      </c>
      <c r="M8" s="285" t="str">
        <f>加算と減算!J14</f>
        <v/>
      </c>
      <c r="N8" s="285" t="str">
        <f>加算と減算!K14</f>
        <v/>
      </c>
      <c r="O8" s="285" t="str">
        <f>加算と減算!L14</f>
        <v/>
      </c>
      <c r="P8" s="285" t="str">
        <f>加算と減算!M14</f>
        <v/>
      </c>
      <c r="Q8" s="285" t="str">
        <f>加算と減算!N14</f>
        <v/>
      </c>
      <c r="R8" s="285" t="str">
        <f>加算と減算!O14</f>
        <v/>
      </c>
      <c r="S8" s="285" t="str">
        <f>加算と減算!P14</f>
        <v/>
      </c>
    </row>
    <row r="9" spans="1:38" ht="19.5">
      <c r="A9" s="1709"/>
      <c r="B9" s="287" t="s">
        <v>460</v>
      </c>
      <c r="C9" s="287">
        <f>加算と減算!R15</f>
        <v>33250</v>
      </c>
      <c r="D9" s="287">
        <f>加算と減算!S15</f>
        <v>330</v>
      </c>
      <c r="E9" s="287">
        <f t="shared" si="0"/>
        <v>33250</v>
      </c>
      <c r="G9" s="292" t="str">
        <f t="shared" si="1"/>
        <v>療育支援加算Ｂ</v>
      </c>
      <c r="H9" s="285">
        <f>加算と減算!E15</f>
        <v>0</v>
      </c>
      <c r="I9" s="285" t="str">
        <f>加算と減算!F15</f>
        <v/>
      </c>
      <c r="J9" s="285" t="str">
        <f>加算と減算!G15</f>
        <v/>
      </c>
      <c r="K9" s="285" t="str">
        <f>加算と減算!H15</f>
        <v/>
      </c>
      <c r="L9" s="285" t="str">
        <f>加算と減算!I15</f>
        <v/>
      </c>
      <c r="M9" s="285" t="str">
        <f>加算と減算!J15</f>
        <v/>
      </c>
      <c r="N9" s="285" t="str">
        <f>加算と減算!K15</f>
        <v/>
      </c>
      <c r="O9" s="285" t="str">
        <f>加算と減算!L15</f>
        <v/>
      </c>
      <c r="P9" s="285" t="str">
        <f>加算と減算!M15</f>
        <v/>
      </c>
      <c r="Q9" s="285" t="str">
        <f>加算と減算!N15</f>
        <v/>
      </c>
      <c r="R9" s="285" t="str">
        <f>加算と減算!O15</f>
        <v/>
      </c>
      <c r="S9" s="285" t="str">
        <f>加算と減算!P15</f>
        <v/>
      </c>
    </row>
    <row r="10" spans="1:38" ht="19.5">
      <c r="A10" s="1709"/>
      <c r="B10" s="287" t="s">
        <v>19</v>
      </c>
      <c r="C10" s="287">
        <f>加算と減算!R16</f>
        <v>46100</v>
      </c>
      <c r="D10" s="287">
        <f>加算と減算!S16</f>
        <v>460</v>
      </c>
      <c r="E10" s="287">
        <f t="shared" si="0"/>
        <v>46100</v>
      </c>
      <c r="G10" s="292" t="str">
        <f t="shared" si="1"/>
        <v>事務職員雇上費加算</v>
      </c>
      <c r="H10" s="285">
        <f>加算と減算!E16</f>
        <v>0</v>
      </c>
      <c r="I10" s="285" t="str">
        <f>加算と減算!F16</f>
        <v/>
      </c>
      <c r="J10" s="285" t="str">
        <f>加算と減算!G16</f>
        <v/>
      </c>
      <c r="K10" s="285" t="str">
        <f>加算と減算!H16</f>
        <v/>
      </c>
      <c r="L10" s="285" t="str">
        <f>加算と減算!I16</f>
        <v/>
      </c>
      <c r="M10" s="285" t="str">
        <f>加算と減算!J16</f>
        <v/>
      </c>
      <c r="N10" s="285" t="str">
        <f>加算と減算!K16</f>
        <v/>
      </c>
      <c r="O10" s="285" t="str">
        <f>加算と減算!L16</f>
        <v/>
      </c>
      <c r="P10" s="285" t="str">
        <f>加算と減算!M16</f>
        <v/>
      </c>
      <c r="Q10" s="285" t="str">
        <f>加算と減算!N16</f>
        <v/>
      </c>
      <c r="R10" s="285" t="str">
        <f>加算と減算!O16</f>
        <v/>
      </c>
      <c r="S10" s="285" t="str">
        <f>加算と減算!P16</f>
        <v/>
      </c>
    </row>
    <row r="11" spans="1:38" ht="19.5">
      <c r="A11" s="1709"/>
      <c r="B11" s="287" t="s">
        <v>461</v>
      </c>
      <c r="C11" s="287">
        <f>加算と減算!R26</f>
        <v>76960</v>
      </c>
      <c r="D11" s="287">
        <f>加算と減算!S26</f>
        <v>760</v>
      </c>
      <c r="E11" s="287">
        <f t="shared" si="0"/>
        <v>76960</v>
      </c>
      <c r="G11" s="292" t="str">
        <f t="shared" si="1"/>
        <v>栄養管理加算Ａ</v>
      </c>
      <c r="H11" s="285">
        <f>加算と減算!E26</f>
        <v>0</v>
      </c>
      <c r="I11" s="285" t="str">
        <f>加算と減算!F26</f>
        <v/>
      </c>
      <c r="J11" s="285" t="str">
        <f>加算と減算!G26</f>
        <v/>
      </c>
      <c r="K11" s="285" t="str">
        <f>加算と減算!H26</f>
        <v/>
      </c>
      <c r="L11" s="285" t="str">
        <f>加算と減算!I26</f>
        <v/>
      </c>
      <c r="M11" s="285" t="str">
        <f>加算と減算!J26</f>
        <v/>
      </c>
      <c r="N11" s="285" t="str">
        <f>加算と減算!K26</f>
        <v/>
      </c>
      <c r="O11" s="285" t="str">
        <f>加算と減算!L26</f>
        <v/>
      </c>
      <c r="P11" s="285" t="str">
        <f>加算と減算!M26</f>
        <v/>
      </c>
      <c r="Q11" s="285" t="str">
        <f>加算と減算!N26</f>
        <v/>
      </c>
      <c r="R11" s="285" t="str">
        <f>加算と減算!O26</f>
        <v/>
      </c>
      <c r="S11" s="285" t="str">
        <f>加算と減算!P26</f>
        <v/>
      </c>
    </row>
    <row r="12" spans="1:38" ht="19.5">
      <c r="A12" s="1709"/>
      <c r="B12" s="287" t="s">
        <v>462</v>
      </c>
      <c r="C12" s="287">
        <f>加算と減算!R27</f>
        <v>50000</v>
      </c>
      <c r="D12" s="287">
        <f>加算と減算!S27</f>
        <v>500</v>
      </c>
      <c r="E12" s="287">
        <f t="shared" si="0"/>
        <v>50000</v>
      </c>
      <c r="G12" s="292" t="str">
        <f t="shared" si="1"/>
        <v>栄養管理加算Ｂ</v>
      </c>
      <c r="H12" s="285">
        <f>加算と減算!E27</f>
        <v>0</v>
      </c>
      <c r="I12" s="285" t="str">
        <f>加算と減算!F27</f>
        <v/>
      </c>
      <c r="J12" s="285" t="str">
        <f>加算と減算!G27</f>
        <v/>
      </c>
      <c r="K12" s="285" t="str">
        <f>加算と減算!H27</f>
        <v/>
      </c>
      <c r="L12" s="285" t="str">
        <f>加算と減算!I27</f>
        <v/>
      </c>
      <c r="M12" s="285" t="str">
        <f>加算と減算!J27</f>
        <v/>
      </c>
      <c r="N12" s="285" t="str">
        <f>加算と減算!K27</f>
        <v/>
      </c>
      <c r="O12" s="285" t="str">
        <f>加算と減算!L27</f>
        <v/>
      </c>
      <c r="P12" s="285" t="str">
        <f>加算と減算!M27</f>
        <v/>
      </c>
      <c r="Q12" s="285" t="str">
        <f>加算と減算!N27</f>
        <v/>
      </c>
      <c r="R12" s="285" t="str">
        <f>加算と減算!O27</f>
        <v/>
      </c>
      <c r="S12" s="285" t="str">
        <f>加算と減算!P27</f>
        <v/>
      </c>
    </row>
    <row r="13" spans="1:38">
      <c r="A13" s="1709"/>
    </row>
    <row r="14" spans="1:38">
      <c r="A14" s="1709"/>
    </row>
    <row r="15" spans="1:38" ht="24">
      <c r="A15" s="1709"/>
      <c r="G15" s="289" t="s">
        <v>475</v>
      </c>
      <c r="H15" s="285" t="s">
        <v>463</v>
      </c>
      <c r="I15" s="285" t="s">
        <v>464</v>
      </c>
      <c r="J15" s="285" t="s">
        <v>465</v>
      </c>
      <c r="K15" s="285" t="s">
        <v>466</v>
      </c>
      <c r="L15" s="285" t="s">
        <v>467</v>
      </c>
      <c r="M15" s="285" t="s">
        <v>468</v>
      </c>
      <c r="N15" s="285" t="s">
        <v>469</v>
      </c>
      <c r="O15" s="285" t="s">
        <v>470</v>
      </c>
      <c r="P15" s="285" t="s">
        <v>471</v>
      </c>
      <c r="Q15" s="285" t="s">
        <v>472</v>
      </c>
      <c r="R15" s="285" t="s">
        <v>473</v>
      </c>
      <c r="S15" s="285" t="s">
        <v>474</v>
      </c>
      <c r="Z15" s="289" t="s">
        <v>688</v>
      </c>
      <c r="AA15" s="285" t="s">
        <v>463</v>
      </c>
      <c r="AB15" s="285" t="s">
        <v>464</v>
      </c>
      <c r="AC15" s="285" t="s">
        <v>465</v>
      </c>
      <c r="AD15" s="285" t="s">
        <v>466</v>
      </c>
      <c r="AE15" s="285" t="s">
        <v>467</v>
      </c>
      <c r="AF15" s="285" t="s">
        <v>468</v>
      </c>
      <c r="AG15" s="285" t="s">
        <v>469</v>
      </c>
      <c r="AH15" s="285" t="s">
        <v>470</v>
      </c>
      <c r="AI15" s="285" t="s">
        <v>471</v>
      </c>
      <c r="AJ15" s="285" t="s">
        <v>472</v>
      </c>
      <c r="AK15" s="285" t="s">
        <v>473</v>
      </c>
      <c r="AL15" s="285" t="s">
        <v>474</v>
      </c>
    </row>
    <row r="16" spans="1:38" ht="19.5">
      <c r="A16" s="1709"/>
      <c r="G16" s="292" t="str">
        <f t="shared" ref="G16:G22" si="2">B6</f>
        <v>休日保育加算</v>
      </c>
      <c r="H16" s="284">
        <f>IF(H6="○",ROUNDDOWN($E6/H$2,-1),0)</f>
        <v>0</v>
      </c>
      <c r="I16" s="284">
        <f t="shared" ref="I16:S16" si="3">IF(I6="○",ROUNDDOWN($E6/I$2,-1),0)</f>
        <v>0</v>
      </c>
      <c r="J16" s="284">
        <f t="shared" si="3"/>
        <v>0</v>
      </c>
      <c r="K16" s="284">
        <f t="shared" si="3"/>
        <v>0</v>
      </c>
      <c r="L16" s="284">
        <f t="shared" si="3"/>
        <v>0</v>
      </c>
      <c r="M16" s="284">
        <f t="shared" si="3"/>
        <v>0</v>
      </c>
      <c r="N16" s="284">
        <f t="shared" si="3"/>
        <v>0</v>
      </c>
      <c r="O16" s="284">
        <f t="shared" si="3"/>
        <v>0</v>
      </c>
      <c r="P16" s="284">
        <f t="shared" si="3"/>
        <v>0</v>
      </c>
      <c r="Q16" s="284">
        <f t="shared" si="3"/>
        <v>0</v>
      </c>
      <c r="R16" s="284">
        <f t="shared" si="3"/>
        <v>0</v>
      </c>
      <c r="S16" s="284">
        <f t="shared" si="3"/>
        <v>0</v>
      </c>
      <c r="Z16" s="796" t="s">
        <v>576</v>
      </c>
      <c r="AA16" s="284" t="e">
        <f>H26-AA26</f>
        <v>#DIV/0!</v>
      </c>
      <c r="AB16" s="284" t="e">
        <f t="shared" ref="AB16:AL22" si="4">I26-AB26</f>
        <v>#DIV/0!</v>
      </c>
      <c r="AC16" s="284" t="e">
        <f t="shared" si="4"/>
        <v>#DIV/0!</v>
      </c>
      <c r="AD16" s="284" t="e">
        <f t="shared" si="4"/>
        <v>#DIV/0!</v>
      </c>
      <c r="AE16" s="284" t="e">
        <f t="shared" si="4"/>
        <v>#DIV/0!</v>
      </c>
      <c r="AF16" s="284" t="e">
        <f t="shared" si="4"/>
        <v>#DIV/0!</v>
      </c>
      <c r="AG16" s="284" t="e">
        <f t="shared" si="4"/>
        <v>#DIV/0!</v>
      </c>
      <c r="AH16" s="284" t="e">
        <f t="shared" si="4"/>
        <v>#DIV/0!</v>
      </c>
      <c r="AI16" s="284" t="e">
        <f t="shared" si="4"/>
        <v>#DIV/0!</v>
      </c>
      <c r="AJ16" s="284" t="e">
        <f t="shared" si="4"/>
        <v>#DIV/0!</v>
      </c>
      <c r="AK16" s="284" t="e">
        <f t="shared" si="4"/>
        <v>#DIV/0!</v>
      </c>
      <c r="AL16" s="284" t="e">
        <f t="shared" si="4"/>
        <v>#DIV/0!</v>
      </c>
    </row>
    <row r="17" spans="1:52" ht="19.5">
      <c r="A17" s="1709"/>
      <c r="G17" s="292" t="str">
        <f t="shared" si="2"/>
        <v>主任保育士専任加算</v>
      </c>
      <c r="H17" s="284">
        <f t="shared" ref="H17:S22" si="5">IF(H7="○",ROUNDDOWN($E7/H$2,-1),0)</f>
        <v>0</v>
      </c>
      <c r="I17" s="284">
        <f t="shared" si="5"/>
        <v>0</v>
      </c>
      <c r="J17" s="284">
        <f t="shared" si="5"/>
        <v>0</v>
      </c>
      <c r="K17" s="284">
        <f t="shared" si="5"/>
        <v>0</v>
      </c>
      <c r="L17" s="284">
        <f t="shared" si="5"/>
        <v>0</v>
      </c>
      <c r="M17" s="284">
        <f t="shared" si="5"/>
        <v>0</v>
      </c>
      <c r="N17" s="284">
        <f t="shared" si="5"/>
        <v>0</v>
      </c>
      <c r="O17" s="284">
        <f t="shared" si="5"/>
        <v>0</v>
      </c>
      <c r="P17" s="284">
        <f t="shared" si="5"/>
        <v>0</v>
      </c>
      <c r="Q17" s="284">
        <f t="shared" si="5"/>
        <v>0</v>
      </c>
      <c r="R17" s="284">
        <f t="shared" si="5"/>
        <v>0</v>
      </c>
      <c r="S17" s="284">
        <f t="shared" si="5"/>
        <v>0</v>
      </c>
      <c r="Z17" s="796" t="s">
        <v>577</v>
      </c>
      <c r="AA17" s="284" t="e">
        <f t="shared" ref="AA17:AA22" si="6">H27-AA27</f>
        <v>#DIV/0!</v>
      </c>
      <c r="AB17" s="284" t="e">
        <f t="shared" si="4"/>
        <v>#DIV/0!</v>
      </c>
      <c r="AC17" s="284" t="e">
        <f t="shared" si="4"/>
        <v>#DIV/0!</v>
      </c>
      <c r="AD17" s="284" t="e">
        <f t="shared" si="4"/>
        <v>#DIV/0!</v>
      </c>
      <c r="AE17" s="284" t="e">
        <f t="shared" si="4"/>
        <v>#DIV/0!</v>
      </c>
      <c r="AF17" s="284" t="e">
        <f t="shared" si="4"/>
        <v>#DIV/0!</v>
      </c>
      <c r="AG17" s="284" t="e">
        <f t="shared" si="4"/>
        <v>#DIV/0!</v>
      </c>
      <c r="AH17" s="284" t="e">
        <f t="shared" si="4"/>
        <v>#DIV/0!</v>
      </c>
      <c r="AI17" s="284" t="e">
        <f t="shared" si="4"/>
        <v>#DIV/0!</v>
      </c>
      <c r="AJ17" s="284" t="e">
        <f t="shared" si="4"/>
        <v>#DIV/0!</v>
      </c>
      <c r="AK17" s="284" t="e">
        <f t="shared" si="4"/>
        <v>#DIV/0!</v>
      </c>
      <c r="AL17" s="284" t="e">
        <f t="shared" si="4"/>
        <v>#DIV/0!</v>
      </c>
    </row>
    <row r="18" spans="1:52" ht="19.5">
      <c r="A18" s="1709"/>
      <c r="G18" s="292" t="str">
        <f t="shared" si="2"/>
        <v>療育支援加算Ａ</v>
      </c>
      <c r="H18" s="284">
        <f t="shared" si="5"/>
        <v>0</v>
      </c>
      <c r="I18" s="284">
        <f t="shared" si="5"/>
        <v>0</v>
      </c>
      <c r="J18" s="284">
        <f t="shared" si="5"/>
        <v>0</v>
      </c>
      <c r="K18" s="284">
        <f t="shared" si="5"/>
        <v>0</v>
      </c>
      <c r="L18" s="284">
        <f t="shared" si="5"/>
        <v>0</v>
      </c>
      <c r="M18" s="284">
        <f t="shared" si="5"/>
        <v>0</v>
      </c>
      <c r="N18" s="284">
        <f t="shared" si="5"/>
        <v>0</v>
      </c>
      <c r="O18" s="284">
        <f t="shared" si="5"/>
        <v>0</v>
      </c>
      <c r="P18" s="284">
        <f t="shared" si="5"/>
        <v>0</v>
      </c>
      <c r="Q18" s="284">
        <f t="shared" si="5"/>
        <v>0</v>
      </c>
      <c r="R18" s="284">
        <f t="shared" si="5"/>
        <v>0</v>
      </c>
      <c r="S18" s="284">
        <f t="shared" si="5"/>
        <v>0</v>
      </c>
      <c r="Z18" s="796" t="s">
        <v>578</v>
      </c>
      <c r="AA18" s="284" t="e">
        <f t="shared" si="6"/>
        <v>#DIV/0!</v>
      </c>
      <c r="AB18" s="284" t="e">
        <f t="shared" si="4"/>
        <v>#DIV/0!</v>
      </c>
      <c r="AC18" s="284" t="e">
        <f t="shared" si="4"/>
        <v>#DIV/0!</v>
      </c>
      <c r="AD18" s="284" t="e">
        <f t="shared" si="4"/>
        <v>#DIV/0!</v>
      </c>
      <c r="AE18" s="284" t="e">
        <f t="shared" si="4"/>
        <v>#DIV/0!</v>
      </c>
      <c r="AF18" s="284" t="e">
        <f t="shared" si="4"/>
        <v>#DIV/0!</v>
      </c>
      <c r="AG18" s="284" t="e">
        <f t="shared" si="4"/>
        <v>#DIV/0!</v>
      </c>
      <c r="AH18" s="284" t="e">
        <f t="shared" si="4"/>
        <v>#DIV/0!</v>
      </c>
      <c r="AI18" s="284" t="e">
        <f t="shared" si="4"/>
        <v>#DIV/0!</v>
      </c>
      <c r="AJ18" s="284" t="e">
        <f t="shared" si="4"/>
        <v>#DIV/0!</v>
      </c>
      <c r="AK18" s="284" t="e">
        <f t="shared" si="4"/>
        <v>#DIV/0!</v>
      </c>
      <c r="AL18" s="284" t="e">
        <f t="shared" si="4"/>
        <v>#DIV/0!</v>
      </c>
    </row>
    <row r="19" spans="1:52" ht="19.5">
      <c r="A19" s="1709"/>
      <c r="G19" s="292" t="str">
        <f t="shared" si="2"/>
        <v>療育支援加算Ｂ</v>
      </c>
      <c r="H19" s="284">
        <f t="shared" si="5"/>
        <v>0</v>
      </c>
      <c r="I19" s="284">
        <f t="shared" si="5"/>
        <v>0</v>
      </c>
      <c r="J19" s="284">
        <f t="shared" si="5"/>
        <v>0</v>
      </c>
      <c r="K19" s="284">
        <f t="shared" si="5"/>
        <v>0</v>
      </c>
      <c r="L19" s="284">
        <f t="shared" si="5"/>
        <v>0</v>
      </c>
      <c r="M19" s="284">
        <f t="shared" si="5"/>
        <v>0</v>
      </c>
      <c r="N19" s="284">
        <f t="shared" si="5"/>
        <v>0</v>
      </c>
      <c r="O19" s="284">
        <f t="shared" si="5"/>
        <v>0</v>
      </c>
      <c r="P19" s="284">
        <f t="shared" si="5"/>
        <v>0</v>
      </c>
      <c r="Q19" s="284">
        <f t="shared" si="5"/>
        <v>0</v>
      </c>
      <c r="R19" s="284">
        <f t="shared" si="5"/>
        <v>0</v>
      </c>
      <c r="S19" s="284">
        <f t="shared" si="5"/>
        <v>0</v>
      </c>
      <c r="Z19" s="796" t="s">
        <v>579</v>
      </c>
      <c r="AA19" s="284" t="e">
        <f t="shared" si="6"/>
        <v>#DIV/0!</v>
      </c>
      <c r="AB19" s="284" t="e">
        <f t="shared" si="4"/>
        <v>#DIV/0!</v>
      </c>
      <c r="AC19" s="284" t="e">
        <f t="shared" si="4"/>
        <v>#DIV/0!</v>
      </c>
      <c r="AD19" s="284" t="e">
        <f t="shared" si="4"/>
        <v>#DIV/0!</v>
      </c>
      <c r="AE19" s="284" t="e">
        <f t="shared" si="4"/>
        <v>#DIV/0!</v>
      </c>
      <c r="AF19" s="284" t="e">
        <f t="shared" si="4"/>
        <v>#DIV/0!</v>
      </c>
      <c r="AG19" s="284" t="e">
        <f t="shared" si="4"/>
        <v>#DIV/0!</v>
      </c>
      <c r="AH19" s="284" t="e">
        <f t="shared" si="4"/>
        <v>#DIV/0!</v>
      </c>
      <c r="AI19" s="284" t="e">
        <f t="shared" si="4"/>
        <v>#DIV/0!</v>
      </c>
      <c r="AJ19" s="284" t="e">
        <f t="shared" si="4"/>
        <v>#DIV/0!</v>
      </c>
      <c r="AK19" s="284" t="e">
        <f t="shared" si="4"/>
        <v>#DIV/0!</v>
      </c>
      <c r="AL19" s="284" t="e">
        <f t="shared" si="4"/>
        <v>#DIV/0!</v>
      </c>
    </row>
    <row r="20" spans="1:52" ht="19.5">
      <c r="A20" s="1709"/>
      <c r="G20" s="292" t="str">
        <f t="shared" si="2"/>
        <v>事務職員雇上費加算</v>
      </c>
      <c r="H20" s="284">
        <f t="shared" si="5"/>
        <v>0</v>
      </c>
      <c r="I20" s="284">
        <f t="shared" si="5"/>
        <v>0</v>
      </c>
      <c r="J20" s="284">
        <f t="shared" si="5"/>
        <v>0</v>
      </c>
      <c r="K20" s="284">
        <f t="shared" si="5"/>
        <v>0</v>
      </c>
      <c r="L20" s="284">
        <f t="shared" si="5"/>
        <v>0</v>
      </c>
      <c r="M20" s="284">
        <f t="shared" si="5"/>
        <v>0</v>
      </c>
      <c r="N20" s="284">
        <f t="shared" si="5"/>
        <v>0</v>
      </c>
      <c r="O20" s="284">
        <f t="shared" si="5"/>
        <v>0</v>
      </c>
      <c r="P20" s="284">
        <f t="shared" si="5"/>
        <v>0</v>
      </c>
      <c r="Q20" s="284">
        <f t="shared" si="5"/>
        <v>0</v>
      </c>
      <c r="R20" s="284">
        <f t="shared" si="5"/>
        <v>0</v>
      </c>
      <c r="S20" s="284">
        <f t="shared" si="5"/>
        <v>0</v>
      </c>
      <c r="Z20" s="796" t="s">
        <v>580</v>
      </c>
      <c r="AA20" s="284" t="e">
        <f t="shared" si="6"/>
        <v>#DIV/0!</v>
      </c>
      <c r="AB20" s="284" t="e">
        <f t="shared" si="4"/>
        <v>#DIV/0!</v>
      </c>
      <c r="AC20" s="284" t="e">
        <f t="shared" si="4"/>
        <v>#DIV/0!</v>
      </c>
      <c r="AD20" s="284" t="e">
        <f t="shared" si="4"/>
        <v>#DIV/0!</v>
      </c>
      <c r="AE20" s="284" t="e">
        <f t="shared" si="4"/>
        <v>#DIV/0!</v>
      </c>
      <c r="AF20" s="284" t="e">
        <f t="shared" si="4"/>
        <v>#DIV/0!</v>
      </c>
      <c r="AG20" s="284" t="e">
        <f t="shared" si="4"/>
        <v>#DIV/0!</v>
      </c>
      <c r="AH20" s="284" t="e">
        <f t="shared" si="4"/>
        <v>#DIV/0!</v>
      </c>
      <c r="AI20" s="284" t="e">
        <f t="shared" si="4"/>
        <v>#DIV/0!</v>
      </c>
      <c r="AJ20" s="284" t="e">
        <f t="shared" si="4"/>
        <v>#DIV/0!</v>
      </c>
      <c r="AK20" s="284" t="e">
        <f t="shared" si="4"/>
        <v>#DIV/0!</v>
      </c>
      <c r="AL20" s="284" t="e">
        <f t="shared" si="4"/>
        <v>#DIV/0!</v>
      </c>
    </row>
    <row r="21" spans="1:52" ht="19.5">
      <c r="A21" s="1709"/>
      <c r="G21" s="292" t="str">
        <f t="shared" si="2"/>
        <v>栄養管理加算Ａ</v>
      </c>
      <c r="H21" s="284">
        <f t="shared" si="5"/>
        <v>0</v>
      </c>
      <c r="I21" s="284">
        <f t="shared" si="5"/>
        <v>0</v>
      </c>
      <c r="J21" s="284">
        <f t="shared" si="5"/>
        <v>0</v>
      </c>
      <c r="K21" s="284">
        <f t="shared" si="5"/>
        <v>0</v>
      </c>
      <c r="L21" s="284">
        <f t="shared" si="5"/>
        <v>0</v>
      </c>
      <c r="M21" s="284">
        <f t="shared" si="5"/>
        <v>0</v>
      </c>
      <c r="N21" s="284">
        <f t="shared" si="5"/>
        <v>0</v>
      </c>
      <c r="O21" s="284">
        <f t="shared" si="5"/>
        <v>0</v>
      </c>
      <c r="P21" s="284">
        <f t="shared" si="5"/>
        <v>0</v>
      </c>
      <c r="Q21" s="284">
        <f t="shared" si="5"/>
        <v>0</v>
      </c>
      <c r="R21" s="284">
        <f t="shared" si="5"/>
        <v>0</v>
      </c>
      <c r="S21" s="284">
        <f t="shared" si="5"/>
        <v>0</v>
      </c>
      <c r="Z21" s="796" t="s">
        <v>581</v>
      </c>
      <c r="AA21" s="284" t="e">
        <f t="shared" si="6"/>
        <v>#DIV/0!</v>
      </c>
      <c r="AB21" s="284" t="e">
        <f t="shared" si="4"/>
        <v>#DIV/0!</v>
      </c>
      <c r="AC21" s="284" t="e">
        <f t="shared" si="4"/>
        <v>#DIV/0!</v>
      </c>
      <c r="AD21" s="284" t="e">
        <f t="shared" si="4"/>
        <v>#DIV/0!</v>
      </c>
      <c r="AE21" s="284" t="e">
        <f t="shared" si="4"/>
        <v>#DIV/0!</v>
      </c>
      <c r="AF21" s="284" t="e">
        <f t="shared" si="4"/>
        <v>#DIV/0!</v>
      </c>
      <c r="AG21" s="284" t="e">
        <f t="shared" si="4"/>
        <v>#DIV/0!</v>
      </c>
      <c r="AH21" s="284" t="e">
        <f t="shared" si="4"/>
        <v>#DIV/0!</v>
      </c>
      <c r="AI21" s="284" t="e">
        <f t="shared" si="4"/>
        <v>#DIV/0!</v>
      </c>
      <c r="AJ21" s="284" t="e">
        <f t="shared" si="4"/>
        <v>#DIV/0!</v>
      </c>
      <c r="AK21" s="284" t="e">
        <f t="shared" si="4"/>
        <v>#DIV/0!</v>
      </c>
      <c r="AL21" s="284" t="e">
        <f t="shared" si="4"/>
        <v>#DIV/0!</v>
      </c>
    </row>
    <row r="22" spans="1:52" ht="19.5">
      <c r="A22" s="1709"/>
      <c r="G22" s="292" t="str">
        <f t="shared" si="2"/>
        <v>栄養管理加算Ｂ</v>
      </c>
      <c r="H22" s="284">
        <f t="shared" si="5"/>
        <v>0</v>
      </c>
      <c r="I22" s="284">
        <f t="shared" si="5"/>
        <v>0</v>
      </c>
      <c r="J22" s="284">
        <f t="shared" si="5"/>
        <v>0</v>
      </c>
      <c r="K22" s="284">
        <f t="shared" si="5"/>
        <v>0</v>
      </c>
      <c r="L22" s="284">
        <f t="shared" si="5"/>
        <v>0</v>
      </c>
      <c r="M22" s="284">
        <f t="shared" si="5"/>
        <v>0</v>
      </c>
      <c r="N22" s="284">
        <f t="shared" si="5"/>
        <v>0</v>
      </c>
      <c r="O22" s="284">
        <f t="shared" si="5"/>
        <v>0</v>
      </c>
      <c r="P22" s="284">
        <f t="shared" si="5"/>
        <v>0</v>
      </c>
      <c r="Q22" s="284">
        <f t="shared" si="5"/>
        <v>0</v>
      </c>
      <c r="R22" s="284">
        <f t="shared" si="5"/>
        <v>0</v>
      </c>
      <c r="S22" s="284">
        <f t="shared" si="5"/>
        <v>0</v>
      </c>
      <c r="Z22" s="796" t="s">
        <v>582</v>
      </c>
      <c r="AA22" s="284" t="e">
        <f t="shared" si="6"/>
        <v>#DIV/0!</v>
      </c>
      <c r="AB22" s="284" t="e">
        <f t="shared" si="4"/>
        <v>#DIV/0!</v>
      </c>
      <c r="AC22" s="284" t="e">
        <f t="shared" si="4"/>
        <v>#DIV/0!</v>
      </c>
      <c r="AD22" s="284" t="e">
        <f t="shared" si="4"/>
        <v>#DIV/0!</v>
      </c>
      <c r="AE22" s="284" t="e">
        <f t="shared" si="4"/>
        <v>#DIV/0!</v>
      </c>
      <c r="AF22" s="284" t="e">
        <f t="shared" si="4"/>
        <v>#DIV/0!</v>
      </c>
      <c r="AG22" s="284" t="e">
        <f t="shared" si="4"/>
        <v>#DIV/0!</v>
      </c>
      <c r="AH22" s="284" t="e">
        <f t="shared" si="4"/>
        <v>#DIV/0!</v>
      </c>
      <c r="AI22" s="284" t="e">
        <f t="shared" si="4"/>
        <v>#DIV/0!</v>
      </c>
      <c r="AJ22" s="284" t="e">
        <f t="shared" si="4"/>
        <v>#DIV/0!</v>
      </c>
      <c r="AK22" s="284" t="e">
        <f t="shared" si="4"/>
        <v>#DIV/0!</v>
      </c>
      <c r="AL22" s="284" t="e">
        <f t="shared" si="4"/>
        <v>#DIV/0!</v>
      </c>
    </row>
    <row r="23" spans="1:52">
      <c r="A23" s="1709"/>
    </row>
    <row r="24" spans="1:52">
      <c r="A24" s="1709"/>
      <c r="AN24" s="283" t="s">
        <v>712</v>
      </c>
    </row>
    <row r="25" spans="1:52" ht="24">
      <c r="A25" s="1709"/>
      <c r="G25" s="289" t="s">
        <v>476</v>
      </c>
      <c r="H25" s="285" t="s">
        <v>463</v>
      </c>
      <c r="I25" s="285" t="s">
        <v>464</v>
      </c>
      <c r="J25" s="285" t="s">
        <v>465</v>
      </c>
      <c r="K25" s="285" t="s">
        <v>466</v>
      </c>
      <c r="L25" s="285" t="s">
        <v>467</v>
      </c>
      <c r="M25" s="285" t="s">
        <v>468</v>
      </c>
      <c r="N25" s="285" t="s">
        <v>469</v>
      </c>
      <c r="O25" s="285" t="s">
        <v>470</v>
      </c>
      <c r="P25" s="285" t="s">
        <v>471</v>
      </c>
      <c r="Q25" s="285" t="s">
        <v>472</v>
      </c>
      <c r="R25" s="285" t="s">
        <v>473</v>
      </c>
      <c r="S25" s="285" t="s">
        <v>474</v>
      </c>
      <c r="Z25" s="289" t="s">
        <v>686</v>
      </c>
      <c r="AA25" s="285" t="s">
        <v>463</v>
      </c>
      <c r="AB25" s="285" t="s">
        <v>464</v>
      </c>
      <c r="AC25" s="285" t="s">
        <v>465</v>
      </c>
      <c r="AD25" s="285" t="s">
        <v>466</v>
      </c>
      <c r="AE25" s="285" t="s">
        <v>467</v>
      </c>
      <c r="AF25" s="285" t="s">
        <v>468</v>
      </c>
      <c r="AG25" s="285" t="s">
        <v>469</v>
      </c>
      <c r="AH25" s="285" t="s">
        <v>470</v>
      </c>
      <c r="AI25" s="285" t="s">
        <v>471</v>
      </c>
      <c r="AJ25" s="285" t="s">
        <v>472</v>
      </c>
      <c r="AK25" s="285" t="s">
        <v>473</v>
      </c>
      <c r="AL25" s="285" t="s">
        <v>474</v>
      </c>
      <c r="AN25" s="289" t="s">
        <v>686</v>
      </c>
      <c r="AO25" s="285" t="s">
        <v>463</v>
      </c>
      <c r="AP25" s="285" t="s">
        <v>464</v>
      </c>
      <c r="AQ25" s="285" t="s">
        <v>465</v>
      </c>
      <c r="AR25" s="285" t="s">
        <v>466</v>
      </c>
      <c r="AS25" s="285" t="s">
        <v>467</v>
      </c>
      <c r="AT25" s="285" t="s">
        <v>468</v>
      </c>
      <c r="AU25" s="285" t="s">
        <v>469</v>
      </c>
      <c r="AV25" s="285" t="s">
        <v>470</v>
      </c>
      <c r="AW25" s="285" t="s">
        <v>471</v>
      </c>
      <c r="AX25" s="285" t="s">
        <v>472</v>
      </c>
      <c r="AY25" s="285" t="s">
        <v>473</v>
      </c>
      <c r="AZ25" s="285" t="s">
        <v>474</v>
      </c>
    </row>
    <row r="26" spans="1:52" ht="19.5">
      <c r="A26" s="1709"/>
      <c r="G26" s="292" t="str">
        <f>G16</f>
        <v>休日保育加算</v>
      </c>
      <c r="H26" s="657">
        <f>IF(H6="○",IF(LEN(INT($D6/H$2))=1,INT($D6/H$2),ROUNDDOWN($D6/H$2,-1))*$C$1,0)</f>
        <v>0</v>
      </c>
      <c r="I26" s="657">
        <f t="shared" ref="H26:I30" si="7">IF(I6="○",IF(LEN(INT($D6/I$2))=1,INT($D6/I$2),ROUNDDOWN($D6/I$2,-1))*$C$1,0)</f>
        <v>0</v>
      </c>
      <c r="J26" s="657">
        <f t="shared" ref="J26:S26" si="8">IF(J6="○",IF(LEN(INT($D6/J$2))=1,INT($D6/J$2),ROUNDDOWN($D6/J$2,-1))*$C$1,0)</f>
        <v>0</v>
      </c>
      <c r="K26" s="657">
        <f t="shared" si="8"/>
        <v>0</v>
      </c>
      <c r="L26" s="657">
        <f t="shared" si="8"/>
        <v>0</v>
      </c>
      <c r="M26" s="657">
        <f t="shared" si="8"/>
        <v>0</v>
      </c>
      <c r="N26" s="657">
        <f t="shared" si="8"/>
        <v>0</v>
      </c>
      <c r="O26" s="657">
        <f t="shared" si="8"/>
        <v>0</v>
      </c>
      <c r="P26" s="657">
        <f t="shared" si="8"/>
        <v>0</v>
      </c>
      <c r="Q26" s="657">
        <f t="shared" si="8"/>
        <v>0</v>
      </c>
      <c r="R26" s="657">
        <f t="shared" si="8"/>
        <v>0</v>
      </c>
      <c r="S26" s="657">
        <f t="shared" si="8"/>
        <v>0</v>
      </c>
      <c r="T26" s="656" t="s">
        <v>520</v>
      </c>
      <c r="Z26" s="796" t="s">
        <v>576</v>
      </c>
      <c r="AA26" s="657" t="e">
        <f>H26*$C$3/$C$1</f>
        <v>#DIV/0!</v>
      </c>
      <c r="AB26" s="657" t="e">
        <f t="shared" ref="AB26:AL32" si="9">I26*$C$3/$C$1</f>
        <v>#DIV/0!</v>
      </c>
      <c r="AC26" s="657" t="e">
        <f t="shared" si="9"/>
        <v>#DIV/0!</v>
      </c>
      <c r="AD26" s="657" t="e">
        <f t="shared" si="9"/>
        <v>#DIV/0!</v>
      </c>
      <c r="AE26" s="657" t="e">
        <f t="shared" si="9"/>
        <v>#DIV/0!</v>
      </c>
      <c r="AF26" s="657" t="e">
        <f t="shared" si="9"/>
        <v>#DIV/0!</v>
      </c>
      <c r="AG26" s="657" t="e">
        <f t="shared" si="9"/>
        <v>#DIV/0!</v>
      </c>
      <c r="AH26" s="657" t="e">
        <f t="shared" si="9"/>
        <v>#DIV/0!</v>
      </c>
      <c r="AI26" s="657" t="e">
        <f t="shared" si="9"/>
        <v>#DIV/0!</v>
      </c>
      <c r="AJ26" s="657" t="e">
        <f t="shared" si="9"/>
        <v>#DIV/0!</v>
      </c>
      <c r="AK26" s="657" t="e">
        <f t="shared" si="9"/>
        <v>#DIV/0!</v>
      </c>
      <c r="AL26" s="657" t="e">
        <f t="shared" si="9"/>
        <v>#DIV/0!</v>
      </c>
      <c r="AN26" s="796" t="s">
        <v>576</v>
      </c>
      <c r="AO26" s="657">
        <f>H26*$H$2</f>
        <v>0</v>
      </c>
      <c r="AP26" s="657">
        <f t="shared" ref="AP26:AZ32" si="10">I26*$H$2</f>
        <v>0</v>
      </c>
      <c r="AQ26" s="657">
        <f t="shared" si="10"/>
        <v>0</v>
      </c>
      <c r="AR26" s="657">
        <f t="shared" si="10"/>
        <v>0</v>
      </c>
      <c r="AS26" s="657">
        <f t="shared" si="10"/>
        <v>0</v>
      </c>
      <c r="AT26" s="657">
        <f t="shared" si="10"/>
        <v>0</v>
      </c>
      <c r="AU26" s="657">
        <f t="shared" si="10"/>
        <v>0</v>
      </c>
      <c r="AV26" s="657">
        <f t="shared" si="10"/>
        <v>0</v>
      </c>
      <c r="AW26" s="657">
        <f t="shared" si="10"/>
        <v>0</v>
      </c>
      <c r="AX26" s="657">
        <f t="shared" si="10"/>
        <v>0</v>
      </c>
      <c r="AY26" s="657">
        <f t="shared" si="10"/>
        <v>0</v>
      </c>
      <c r="AZ26" s="657">
        <f t="shared" si="10"/>
        <v>0</v>
      </c>
    </row>
    <row r="27" spans="1:52" ht="19.5">
      <c r="A27" s="1709"/>
      <c r="G27" s="292" t="str">
        <f t="shared" ref="G27:G32" si="11">G17</f>
        <v>主任保育士専任加算</v>
      </c>
      <c r="H27" s="657">
        <f t="shared" si="7"/>
        <v>0</v>
      </c>
      <c r="I27" s="657">
        <f t="shared" si="7"/>
        <v>0</v>
      </c>
      <c r="J27" s="657">
        <f t="shared" ref="J27:S27" si="12">IF(J7="○",IF(LEN(INT($D7/J$2))=1,INT($D7/J$2),ROUNDDOWN($D7/J$2,-1))*$C$1,0)</f>
        <v>0</v>
      </c>
      <c r="K27" s="657">
        <f t="shared" si="12"/>
        <v>0</v>
      </c>
      <c r="L27" s="657">
        <f t="shared" si="12"/>
        <v>0</v>
      </c>
      <c r="M27" s="657">
        <f t="shared" si="12"/>
        <v>0</v>
      </c>
      <c r="N27" s="657">
        <f t="shared" si="12"/>
        <v>0</v>
      </c>
      <c r="O27" s="657">
        <f t="shared" si="12"/>
        <v>0</v>
      </c>
      <c r="P27" s="657">
        <f t="shared" si="12"/>
        <v>0</v>
      </c>
      <c r="Q27" s="657">
        <f t="shared" si="12"/>
        <v>0</v>
      </c>
      <c r="R27" s="657">
        <f t="shared" si="12"/>
        <v>0</v>
      </c>
      <c r="S27" s="657">
        <f t="shared" si="12"/>
        <v>0</v>
      </c>
      <c r="T27" s="656" t="s">
        <v>520</v>
      </c>
      <c r="Z27" s="796" t="s">
        <v>577</v>
      </c>
      <c r="AA27" s="657" t="e">
        <f t="shared" ref="AA27:AA32" si="13">H27*$C$3/$C$1</f>
        <v>#DIV/0!</v>
      </c>
      <c r="AB27" s="657" t="e">
        <f t="shared" si="9"/>
        <v>#DIV/0!</v>
      </c>
      <c r="AC27" s="657" t="e">
        <f t="shared" si="9"/>
        <v>#DIV/0!</v>
      </c>
      <c r="AD27" s="657" t="e">
        <f t="shared" si="9"/>
        <v>#DIV/0!</v>
      </c>
      <c r="AE27" s="657" t="e">
        <f t="shared" si="9"/>
        <v>#DIV/0!</v>
      </c>
      <c r="AF27" s="657" t="e">
        <f t="shared" si="9"/>
        <v>#DIV/0!</v>
      </c>
      <c r="AG27" s="657" t="e">
        <f t="shared" si="9"/>
        <v>#DIV/0!</v>
      </c>
      <c r="AH27" s="657" t="e">
        <f t="shared" si="9"/>
        <v>#DIV/0!</v>
      </c>
      <c r="AI27" s="657" t="e">
        <f t="shared" si="9"/>
        <v>#DIV/0!</v>
      </c>
      <c r="AJ27" s="657" t="e">
        <f t="shared" si="9"/>
        <v>#DIV/0!</v>
      </c>
      <c r="AK27" s="657" t="e">
        <f t="shared" si="9"/>
        <v>#DIV/0!</v>
      </c>
      <c r="AL27" s="657" t="e">
        <f t="shared" si="9"/>
        <v>#DIV/0!</v>
      </c>
      <c r="AN27" s="796" t="s">
        <v>577</v>
      </c>
      <c r="AO27" s="657">
        <f t="shared" ref="AO27:AO32" si="14">H27*$H$2</f>
        <v>0</v>
      </c>
      <c r="AP27" s="657">
        <f t="shared" si="10"/>
        <v>0</v>
      </c>
      <c r="AQ27" s="657">
        <f t="shared" si="10"/>
        <v>0</v>
      </c>
      <c r="AR27" s="657">
        <f t="shared" si="10"/>
        <v>0</v>
      </c>
      <c r="AS27" s="657">
        <f t="shared" si="10"/>
        <v>0</v>
      </c>
      <c r="AT27" s="657">
        <f t="shared" si="10"/>
        <v>0</v>
      </c>
      <c r="AU27" s="657">
        <f t="shared" si="10"/>
        <v>0</v>
      </c>
      <c r="AV27" s="657">
        <f t="shared" si="10"/>
        <v>0</v>
      </c>
      <c r="AW27" s="657">
        <f t="shared" si="10"/>
        <v>0</v>
      </c>
      <c r="AX27" s="657">
        <f t="shared" si="10"/>
        <v>0</v>
      </c>
      <c r="AY27" s="657">
        <f t="shared" si="10"/>
        <v>0</v>
      </c>
      <c r="AZ27" s="657">
        <f t="shared" si="10"/>
        <v>0</v>
      </c>
    </row>
    <row r="28" spans="1:52" ht="19.5">
      <c r="A28" s="1709"/>
      <c r="G28" s="292" t="str">
        <f t="shared" si="11"/>
        <v>療育支援加算Ａ</v>
      </c>
      <c r="H28" s="657">
        <f t="shared" si="7"/>
        <v>0</v>
      </c>
      <c r="I28" s="657">
        <f t="shared" si="7"/>
        <v>0</v>
      </c>
      <c r="J28" s="657">
        <f t="shared" ref="J28:S28" si="15">IF(J8="○",IF(LEN(INT($D8/J$2))=1,INT($D8/J$2),ROUNDDOWN($D8/J$2,-1))*$C$1,0)</f>
        <v>0</v>
      </c>
      <c r="K28" s="657">
        <f t="shared" si="15"/>
        <v>0</v>
      </c>
      <c r="L28" s="657">
        <f t="shared" si="15"/>
        <v>0</v>
      </c>
      <c r="M28" s="657">
        <f t="shared" si="15"/>
        <v>0</v>
      </c>
      <c r="N28" s="657">
        <f t="shared" si="15"/>
        <v>0</v>
      </c>
      <c r="O28" s="657">
        <f t="shared" si="15"/>
        <v>0</v>
      </c>
      <c r="P28" s="657">
        <f t="shared" si="15"/>
        <v>0</v>
      </c>
      <c r="Q28" s="657">
        <f t="shared" si="15"/>
        <v>0</v>
      </c>
      <c r="R28" s="657">
        <f t="shared" si="15"/>
        <v>0</v>
      </c>
      <c r="S28" s="657">
        <f t="shared" si="15"/>
        <v>0</v>
      </c>
      <c r="T28" s="656" t="s">
        <v>520</v>
      </c>
      <c r="Z28" s="796" t="s">
        <v>578</v>
      </c>
      <c r="AA28" s="657" t="e">
        <f t="shared" si="13"/>
        <v>#DIV/0!</v>
      </c>
      <c r="AB28" s="657" t="e">
        <f t="shared" si="9"/>
        <v>#DIV/0!</v>
      </c>
      <c r="AC28" s="657" t="e">
        <f t="shared" si="9"/>
        <v>#DIV/0!</v>
      </c>
      <c r="AD28" s="657" t="e">
        <f t="shared" si="9"/>
        <v>#DIV/0!</v>
      </c>
      <c r="AE28" s="657" t="e">
        <f t="shared" si="9"/>
        <v>#DIV/0!</v>
      </c>
      <c r="AF28" s="657" t="e">
        <f t="shared" si="9"/>
        <v>#DIV/0!</v>
      </c>
      <c r="AG28" s="657" t="e">
        <f t="shared" si="9"/>
        <v>#DIV/0!</v>
      </c>
      <c r="AH28" s="657" t="e">
        <f t="shared" si="9"/>
        <v>#DIV/0!</v>
      </c>
      <c r="AI28" s="657" t="e">
        <f t="shared" si="9"/>
        <v>#DIV/0!</v>
      </c>
      <c r="AJ28" s="657" t="e">
        <f t="shared" si="9"/>
        <v>#DIV/0!</v>
      </c>
      <c r="AK28" s="657" t="e">
        <f t="shared" si="9"/>
        <v>#DIV/0!</v>
      </c>
      <c r="AL28" s="657" t="e">
        <f t="shared" si="9"/>
        <v>#DIV/0!</v>
      </c>
      <c r="AN28" s="796" t="s">
        <v>578</v>
      </c>
      <c r="AO28" s="657">
        <f t="shared" si="14"/>
        <v>0</v>
      </c>
      <c r="AP28" s="657">
        <f t="shared" si="10"/>
        <v>0</v>
      </c>
      <c r="AQ28" s="657">
        <f t="shared" si="10"/>
        <v>0</v>
      </c>
      <c r="AR28" s="657">
        <f t="shared" si="10"/>
        <v>0</v>
      </c>
      <c r="AS28" s="657">
        <f t="shared" si="10"/>
        <v>0</v>
      </c>
      <c r="AT28" s="657">
        <f t="shared" si="10"/>
        <v>0</v>
      </c>
      <c r="AU28" s="657">
        <f t="shared" si="10"/>
        <v>0</v>
      </c>
      <c r="AV28" s="657">
        <f t="shared" si="10"/>
        <v>0</v>
      </c>
      <c r="AW28" s="657">
        <f t="shared" si="10"/>
        <v>0</v>
      </c>
      <c r="AX28" s="657">
        <f t="shared" si="10"/>
        <v>0</v>
      </c>
      <c r="AY28" s="657">
        <f t="shared" si="10"/>
        <v>0</v>
      </c>
      <c r="AZ28" s="657">
        <f t="shared" si="10"/>
        <v>0</v>
      </c>
    </row>
    <row r="29" spans="1:52" ht="19.5">
      <c r="A29" s="1709"/>
      <c r="G29" s="292" t="str">
        <f t="shared" si="11"/>
        <v>療育支援加算Ｂ</v>
      </c>
      <c r="H29" s="657">
        <f t="shared" si="7"/>
        <v>0</v>
      </c>
      <c r="I29" s="657">
        <f t="shared" si="7"/>
        <v>0</v>
      </c>
      <c r="J29" s="657">
        <f t="shared" ref="J29:S29" si="16">IF(J9="○",IF(LEN(INT($D9/J$2))=1,INT($D9/J$2),ROUNDDOWN($D9/J$2,-1))*$C$1,0)</f>
        <v>0</v>
      </c>
      <c r="K29" s="657">
        <f t="shared" si="16"/>
        <v>0</v>
      </c>
      <c r="L29" s="657">
        <f t="shared" si="16"/>
        <v>0</v>
      </c>
      <c r="M29" s="657">
        <f t="shared" si="16"/>
        <v>0</v>
      </c>
      <c r="N29" s="657">
        <f t="shared" si="16"/>
        <v>0</v>
      </c>
      <c r="O29" s="657">
        <f t="shared" si="16"/>
        <v>0</v>
      </c>
      <c r="P29" s="657">
        <f t="shared" si="16"/>
        <v>0</v>
      </c>
      <c r="Q29" s="657">
        <f t="shared" si="16"/>
        <v>0</v>
      </c>
      <c r="R29" s="657">
        <f t="shared" si="16"/>
        <v>0</v>
      </c>
      <c r="S29" s="657">
        <f t="shared" si="16"/>
        <v>0</v>
      </c>
      <c r="T29" s="656" t="s">
        <v>520</v>
      </c>
      <c r="Z29" s="796" t="s">
        <v>579</v>
      </c>
      <c r="AA29" s="657" t="e">
        <f t="shared" si="13"/>
        <v>#DIV/0!</v>
      </c>
      <c r="AB29" s="657" t="e">
        <f t="shared" si="9"/>
        <v>#DIV/0!</v>
      </c>
      <c r="AC29" s="657" t="e">
        <f t="shared" si="9"/>
        <v>#DIV/0!</v>
      </c>
      <c r="AD29" s="657" t="e">
        <f t="shared" si="9"/>
        <v>#DIV/0!</v>
      </c>
      <c r="AE29" s="657" t="e">
        <f t="shared" si="9"/>
        <v>#DIV/0!</v>
      </c>
      <c r="AF29" s="657" t="e">
        <f t="shared" si="9"/>
        <v>#DIV/0!</v>
      </c>
      <c r="AG29" s="657" t="e">
        <f t="shared" si="9"/>
        <v>#DIV/0!</v>
      </c>
      <c r="AH29" s="657" t="e">
        <f t="shared" si="9"/>
        <v>#DIV/0!</v>
      </c>
      <c r="AI29" s="657" t="e">
        <f t="shared" si="9"/>
        <v>#DIV/0!</v>
      </c>
      <c r="AJ29" s="657" t="e">
        <f t="shared" si="9"/>
        <v>#DIV/0!</v>
      </c>
      <c r="AK29" s="657" t="e">
        <f t="shared" si="9"/>
        <v>#DIV/0!</v>
      </c>
      <c r="AL29" s="657" t="e">
        <f t="shared" si="9"/>
        <v>#DIV/0!</v>
      </c>
      <c r="AN29" s="796" t="s">
        <v>579</v>
      </c>
      <c r="AO29" s="657">
        <f t="shared" si="14"/>
        <v>0</v>
      </c>
      <c r="AP29" s="657">
        <f t="shared" si="10"/>
        <v>0</v>
      </c>
      <c r="AQ29" s="657">
        <f t="shared" si="10"/>
        <v>0</v>
      </c>
      <c r="AR29" s="657">
        <f t="shared" si="10"/>
        <v>0</v>
      </c>
      <c r="AS29" s="657">
        <f t="shared" si="10"/>
        <v>0</v>
      </c>
      <c r="AT29" s="657">
        <f t="shared" si="10"/>
        <v>0</v>
      </c>
      <c r="AU29" s="657">
        <f t="shared" si="10"/>
        <v>0</v>
      </c>
      <c r="AV29" s="657">
        <f t="shared" si="10"/>
        <v>0</v>
      </c>
      <c r="AW29" s="657">
        <f t="shared" si="10"/>
        <v>0</v>
      </c>
      <c r="AX29" s="657">
        <f t="shared" si="10"/>
        <v>0</v>
      </c>
      <c r="AY29" s="657">
        <f t="shared" si="10"/>
        <v>0</v>
      </c>
      <c r="AZ29" s="657">
        <f t="shared" si="10"/>
        <v>0</v>
      </c>
    </row>
    <row r="30" spans="1:52" ht="19.5">
      <c r="A30" s="1709"/>
      <c r="G30" s="292" t="str">
        <f t="shared" si="11"/>
        <v>事務職員雇上費加算</v>
      </c>
      <c r="H30" s="657">
        <f t="shared" si="7"/>
        <v>0</v>
      </c>
      <c r="I30" s="657">
        <f t="shared" si="7"/>
        <v>0</v>
      </c>
      <c r="J30" s="657">
        <f t="shared" ref="J30:S30" si="17">IF(J10="○",IF(LEN(INT($D10/J$2))=1,INT($D10/J$2),ROUNDDOWN($D10/J$2,-1))*$C$1,0)</f>
        <v>0</v>
      </c>
      <c r="K30" s="657">
        <f t="shared" si="17"/>
        <v>0</v>
      </c>
      <c r="L30" s="657">
        <f t="shared" si="17"/>
        <v>0</v>
      </c>
      <c r="M30" s="657">
        <f t="shared" si="17"/>
        <v>0</v>
      </c>
      <c r="N30" s="657">
        <f t="shared" si="17"/>
        <v>0</v>
      </c>
      <c r="O30" s="657">
        <f t="shared" si="17"/>
        <v>0</v>
      </c>
      <c r="P30" s="657">
        <f t="shared" si="17"/>
        <v>0</v>
      </c>
      <c r="Q30" s="657">
        <f t="shared" si="17"/>
        <v>0</v>
      </c>
      <c r="R30" s="657">
        <f t="shared" si="17"/>
        <v>0</v>
      </c>
      <c r="S30" s="657">
        <f t="shared" si="17"/>
        <v>0</v>
      </c>
      <c r="T30" s="656" t="s">
        <v>520</v>
      </c>
      <c r="Z30" s="796" t="s">
        <v>580</v>
      </c>
      <c r="AA30" s="657" t="e">
        <f t="shared" si="13"/>
        <v>#DIV/0!</v>
      </c>
      <c r="AB30" s="657" t="e">
        <f t="shared" si="9"/>
        <v>#DIV/0!</v>
      </c>
      <c r="AC30" s="657" t="e">
        <f t="shared" si="9"/>
        <v>#DIV/0!</v>
      </c>
      <c r="AD30" s="657" t="e">
        <f t="shared" si="9"/>
        <v>#DIV/0!</v>
      </c>
      <c r="AE30" s="657" t="e">
        <f t="shared" si="9"/>
        <v>#DIV/0!</v>
      </c>
      <c r="AF30" s="657" t="e">
        <f t="shared" si="9"/>
        <v>#DIV/0!</v>
      </c>
      <c r="AG30" s="657" t="e">
        <f t="shared" si="9"/>
        <v>#DIV/0!</v>
      </c>
      <c r="AH30" s="657" t="e">
        <f t="shared" si="9"/>
        <v>#DIV/0!</v>
      </c>
      <c r="AI30" s="657" t="e">
        <f t="shared" si="9"/>
        <v>#DIV/0!</v>
      </c>
      <c r="AJ30" s="657" t="e">
        <f t="shared" si="9"/>
        <v>#DIV/0!</v>
      </c>
      <c r="AK30" s="657" t="e">
        <f t="shared" si="9"/>
        <v>#DIV/0!</v>
      </c>
      <c r="AL30" s="657" t="e">
        <f t="shared" si="9"/>
        <v>#DIV/0!</v>
      </c>
      <c r="AN30" s="796" t="s">
        <v>580</v>
      </c>
      <c r="AO30" s="657">
        <f t="shared" si="14"/>
        <v>0</v>
      </c>
      <c r="AP30" s="657">
        <f t="shared" si="10"/>
        <v>0</v>
      </c>
      <c r="AQ30" s="657">
        <f t="shared" si="10"/>
        <v>0</v>
      </c>
      <c r="AR30" s="657">
        <f t="shared" si="10"/>
        <v>0</v>
      </c>
      <c r="AS30" s="657">
        <f t="shared" si="10"/>
        <v>0</v>
      </c>
      <c r="AT30" s="657">
        <f t="shared" si="10"/>
        <v>0</v>
      </c>
      <c r="AU30" s="657">
        <f t="shared" si="10"/>
        <v>0</v>
      </c>
      <c r="AV30" s="657">
        <f t="shared" si="10"/>
        <v>0</v>
      </c>
      <c r="AW30" s="657">
        <f t="shared" si="10"/>
        <v>0</v>
      </c>
      <c r="AX30" s="657">
        <f t="shared" si="10"/>
        <v>0</v>
      </c>
      <c r="AY30" s="657">
        <f t="shared" si="10"/>
        <v>0</v>
      </c>
      <c r="AZ30" s="657">
        <f t="shared" si="10"/>
        <v>0</v>
      </c>
    </row>
    <row r="31" spans="1:52" ht="19.5">
      <c r="A31" s="1709"/>
      <c r="G31" s="292" t="str">
        <f t="shared" si="11"/>
        <v>栄養管理加算Ａ</v>
      </c>
      <c r="H31" s="657">
        <f t="shared" ref="H31:I32" si="18">IF(H11="○",IF(LEN(INT($D11/H$2))=1,INT($D11/H$2),ROUNDDOWN($D11/H$2,-1))*$C$1,0)</f>
        <v>0</v>
      </c>
      <c r="I31" s="657">
        <f t="shared" si="18"/>
        <v>0</v>
      </c>
      <c r="J31" s="657">
        <f t="shared" ref="J31:S31" si="19">IF(J11="○",IF(LEN(INT($D11/J$2))=1,INT($D11/J$2),ROUNDDOWN($D11/J$2,-1))*$C$1,0)</f>
        <v>0</v>
      </c>
      <c r="K31" s="657">
        <f t="shared" si="19"/>
        <v>0</v>
      </c>
      <c r="L31" s="657">
        <f t="shared" si="19"/>
        <v>0</v>
      </c>
      <c r="M31" s="657">
        <f t="shared" si="19"/>
        <v>0</v>
      </c>
      <c r="N31" s="657">
        <f t="shared" si="19"/>
        <v>0</v>
      </c>
      <c r="O31" s="657">
        <f t="shared" si="19"/>
        <v>0</v>
      </c>
      <c r="P31" s="657">
        <f t="shared" si="19"/>
        <v>0</v>
      </c>
      <c r="Q31" s="657">
        <f t="shared" si="19"/>
        <v>0</v>
      </c>
      <c r="R31" s="657">
        <f t="shared" si="19"/>
        <v>0</v>
      </c>
      <c r="S31" s="657">
        <f t="shared" si="19"/>
        <v>0</v>
      </c>
      <c r="T31" s="656" t="s">
        <v>520</v>
      </c>
      <c r="Z31" s="796" t="s">
        <v>581</v>
      </c>
      <c r="AA31" s="657" t="e">
        <f t="shared" si="13"/>
        <v>#DIV/0!</v>
      </c>
      <c r="AB31" s="657" t="e">
        <f t="shared" si="9"/>
        <v>#DIV/0!</v>
      </c>
      <c r="AC31" s="657" t="e">
        <f t="shared" si="9"/>
        <v>#DIV/0!</v>
      </c>
      <c r="AD31" s="657" t="e">
        <f t="shared" si="9"/>
        <v>#DIV/0!</v>
      </c>
      <c r="AE31" s="657" t="e">
        <f t="shared" si="9"/>
        <v>#DIV/0!</v>
      </c>
      <c r="AF31" s="657" t="e">
        <f t="shared" si="9"/>
        <v>#DIV/0!</v>
      </c>
      <c r="AG31" s="657" t="e">
        <f t="shared" si="9"/>
        <v>#DIV/0!</v>
      </c>
      <c r="AH31" s="657" t="e">
        <f t="shared" si="9"/>
        <v>#DIV/0!</v>
      </c>
      <c r="AI31" s="657" t="e">
        <f t="shared" si="9"/>
        <v>#DIV/0!</v>
      </c>
      <c r="AJ31" s="657" t="e">
        <f t="shared" si="9"/>
        <v>#DIV/0!</v>
      </c>
      <c r="AK31" s="657" t="e">
        <f t="shared" si="9"/>
        <v>#DIV/0!</v>
      </c>
      <c r="AL31" s="657" t="e">
        <f t="shared" si="9"/>
        <v>#DIV/0!</v>
      </c>
      <c r="AN31" s="796" t="s">
        <v>581</v>
      </c>
      <c r="AO31" s="657">
        <f t="shared" si="14"/>
        <v>0</v>
      </c>
      <c r="AP31" s="657">
        <f t="shared" si="10"/>
        <v>0</v>
      </c>
      <c r="AQ31" s="657">
        <f t="shared" si="10"/>
        <v>0</v>
      </c>
      <c r="AR31" s="657">
        <f t="shared" si="10"/>
        <v>0</v>
      </c>
      <c r="AS31" s="657">
        <f t="shared" si="10"/>
        <v>0</v>
      </c>
      <c r="AT31" s="657">
        <f t="shared" si="10"/>
        <v>0</v>
      </c>
      <c r="AU31" s="657">
        <f t="shared" si="10"/>
        <v>0</v>
      </c>
      <c r="AV31" s="657">
        <f t="shared" si="10"/>
        <v>0</v>
      </c>
      <c r="AW31" s="657">
        <f t="shared" si="10"/>
        <v>0</v>
      </c>
      <c r="AX31" s="657">
        <f t="shared" si="10"/>
        <v>0</v>
      </c>
      <c r="AY31" s="657">
        <f t="shared" si="10"/>
        <v>0</v>
      </c>
      <c r="AZ31" s="657">
        <f t="shared" si="10"/>
        <v>0</v>
      </c>
    </row>
    <row r="32" spans="1:52" ht="19.5">
      <c r="A32" s="1709"/>
      <c r="G32" s="292" t="str">
        <f t="shared" si="11"/>
        <v>栄養管理加算Ｂ</v>
      </c>
      <c r="H32" s="657">
        <f t="shared" si="18"/>
        <v>0</v>
      </c>
      <c r="I32" s="657">
        <f t="shared" si="18"/>
        <v>0</v>
      </c>
      <c r="J32" s="657">
        <f t="shared" ref="J32:S32" si="20">IF(J12="○",IF(LEN(INT($D12/J$2))=1,INT($D12/J$2),ROUNDDOWN($D12/J$2,-1))*$C$1,0)</f>
        <v>0</v>
      </c>
      <c r="K32" s="657">
        <f t="shared" si="20"/>
        <v>0</v>
      </c>
      <c r="L32" s="657">
        <f t="shared" si="20"/>
        <v>0</v>
      </c>
      <c r="M32" s="657">
        <f t="shared" si="20"/>
        <v>0</v>
      </c>
      <c r="N32" s="657">
        <f t="shared" si="20"/>
        <v>0</v>
      </c>
      <c r="O32" s="657">
        <f t="shared" si="20"/>
        <v>0</v>
      </c>
      <c r="P32" s="657">
        <f t="shared" si="20"/>
        <v>0</v>
      </c>
      <c r="Q32" s="657">
        <f t="shared" si="20"/>
        <v>0</v>
      </c>
      <c r="R32" s="657">
        <f t="shared" si="20"/>
        <v>0</v>
      </c>
      <c r="S32" s="657">
        <f t="shared" si="20"/>
        <v>0</v>
      </c>
      <c r="T32" s="656" t="s">
        <v>520</v>
      </c>
      <c r="Z32" s="796" t="s">
        <v>582</v>
      </c>
      <c r="AA32" s="657" t="e">
        <f t="shared" si="13"/>
        <v>#DIV/0!</v>
      </c>
      <c r="AB32" s="657" t="e">
        <f t="shared" si="9"/>
        <v>#DIV/0!</v>
      </c>
      <c r="AC32" s="657" t="e">
        <f t="shared" si="9"/>
        <v>#DIV/0!</v>
      </c>
      <c r="AD32" s="657" t="e">
        <f t="shared" si="9"/>
        <v>#DIV/0!</v>
      </c>
      <c r="AE32" s="657" t="e">
        <f t="shared" si="9"/>
        <v>#DIV/0!</v>
      </c>
      <c r="AF32" s="657" t="e">
        <f t="shared" si="9"/>
        <v>#DIV/0!</v>
      </c>
      <c r="AG32" s="657" t="e">
        <f t="shared" si="9"/>
        <v>#DIV/0!</v>
      </c>
      <c r="AH32" s="657" t="e">
        <f t="shared" si="9"/>
        <v>#DIV/0!</v>
      </c>
      <c r="AI32" s="657" t="e">
        <f t="shared" si="9"/>
        <v>#DIV/0!</v>
      </c>
      <c r="AJ32" s="657" t="e">
        <f t="shared" si="9"/>
        <v>#DIV/0!</v>
      </c>
      <c r="AK32" s="657" t="e">
        <f t="shared" si="9"/>
        <v>#DIV/0!</v>
      </c>
      <c r="AL32" s="657" t="e">
        <f t="shared" si="9"/>
        <v>#DIV/0!</v>
      </c>
      <c r="AN32" s="796" t="s">
        <v>582</v>
      </c>
      <c r="AO32" s="657">
        <f t="shared" si="14"/>
        <v>0</v>
      </c>
      <c r="AP32" s="657">
        <f t="shared" si="10"/>
        <v>0</v>
      </c>
      <c r="AQ32" s="657">
        <f t="shared" si="10"/>
        <v>0</v>
      </c>
      <c r="AR32" s="657">
        <f t="shared" si="10"/>
        <v>0</v>
      </c>
      <c r="AS32" s="657">
        <f t="shared" si="10"/>
        <v>0</v>
      </c>
      <c r="AT32" s="657">
        <f t="shared" si="10"/>
        <v>0</v>
      </c>
      <c r="AU32" s="657">
        <f t="shared" si="10"/>
        <v>0</v>
      </c>
      <c r="AV32" s="657">
        <f t="shared" si="10"/>
        <v>0</v>
      </c>
      <c r="AW32" s="657">
        <f t="shared" si="10"/>
        <v>0</v>
      </c>
      <c r="AX32" s="657">
        <f t="shared" si="10"/>
        <v>0</v>
      </c>
      <c r="AY32" s="657">
        <f t="shared" si="10"/>
        <v>0</v>
      </c>
      <c r="AZ32" s="657">
        <f t="shared" si="10"/>
        <v>0</v>
      </c>
    </row>
    <row r="33" spans="1:20">
      <c r="A33" s="1709"/>
    </row>
    <row r="34" spans="1:20">
      <c r="A34" s="1709"/>
    </row>
    <row r="35" spans="1:20" ht="24">
      <c r="A35" s="1709"/>
      <c r="G35" s="324" t="s">
        <v>487</v>
      </c>
      <c r="H35" s="285" t="s">
        <v>463</v>
      </c>
      <c r="I35" s="285" t="s">
        <v>464</v>
      </c>
      <c r="J35" s="285" t="s">
        <v>465</v>
      </c>
      <c r="K35" s="285" t="s">
        <v>466</v>
      </c>
      <c r="L35" s="285" t="s">
        <v>467</v>
      </c>
      <c r="M35" s="285" t="s">
        <v>468</v>
      </c>
      <c r="N35" s="285" t="s">
        <v>469</v>
      </c>
      <c r="O35" s="285" t="s">
        <v>470</v>
      </c>
      <c r="P35" s="285" t="s">
        <v>471</v>
      </c>
      <c r="Q35" s="285" t="s">
        <v>472</v>
      </c>
      <c r="R35" s="285" t="s">
        <v>473</v>
      </c>
      <c r="S35" s="298" t="s">
        <v>474</v>
      </c>
      <c r="T35" s="301" t="s">
        <v>36</v>
      </c>
    </row>
    <row r="36" spans="1:20" ht="19.5">
      <c r="A36" s="1709"/>
      <c r="G36" s="292" t="str">
        <f>G16</f>
        <v>休日保育加算</v>
      </c>
      <c r="H36" s="284">
        <f>H16*H$2</f>
        <v>0</v>
      </c>
      <c r="I36" s="284">
        <f t="shared" ref="I36:S36" si="21">I16*I$2</f>
        <v>0</v>
      </c>
      <c r="J36" s="284">
        <f t="shared" si="21"/>
        <v>0</v>
      </c>
      <c r="K36" s="284">
        <f t="shared" si="21"/>
        <v>0</v>
      </c>
      <c r="L36" s="284">
        <f t="shared" si="21"/>
        <v>0</v>
      </c>
      <c r="M36" s="284">
        <f t="shared" si="21"/>
        <v>0</v>
      </c>
      <c r="N36" s="284">
        <f t="shared" si="21"/>
        <v>0</v>
      </c>
      <c r="O36" s="284">
        <f t="shared" si="21"/>
        <v>0</v>
      </c>
      <c r="P36" s="284">
        <f t="shared" si="21"/>
        <v>0</v>
      </c>
      <c r="Q36" s="284">
        <f t="shared" si="21"/>
        <v>0</v>
      </c>
      <c r="R36" s="284">
        <f t="shared" si="21"/>
        <v>0</v>
      </c>
      <c r="S36" s="299">
        <f t="shared" si="21"/>
        <v>0</v>
      </c>
      <c r="T36" s="302">
        <f>SUM(H36:S36)</f>
        <v>0</v>
      </c>
    </row>
    <row r="37" spans="1:20" ht="19.5">
      <c r="A37" s="1709"/>
      <c r="G37" s="292" t="str">
        <f t="shared" ref="G37:G42" si="22">G17</f>
        <v>主任保育士専任加算</v>
      </c>
      <c r="H37" s="284">
        <f>H17*H$2</f>
        <v>0</v>
      </c>
      <c r="I37" s="284">
        <f t="shared" ref="H37:S42" si="23">I17*I$2</f>
        <v>0</v>
      </c>
      <c r="J37" s="284">
        <f t="shared" si="23"/>
        <v>0</v>
      </c>
      <c r="K37" s="284">
        <f t="shared" si="23"/>
        <v>0</v>
      </c>
      <c r="L37" s="284">
        <f t="shared" si="23"/>
        <v>0</v>
      </c>
      <c r="M37" s="284">
        <f t="shared" si="23"/>
        <v>0</v>
      </c>
      <c r="N37" s="284">
        <f t="shared" si="23"/>
        <v>0</v>
      </c>
      <c r="O37" s="284">
        <f t="shared" si="23"/>
        <v>0</v>
      </c>
      <c r="P37" s="284">
        <f t="shared" si="23"/>
        <v>0</v>
      </c>
      <c r="Q37" s="284">
        <f t="shared" si="23"/>
        <v>0</v>
      </c>
      <c r="R37" s="284">
        <f t="shared" si="23"/>
        <v>0</v>
      </c>
      <c r="S37" s="299">
        <f t="shared" si="23"/>
        <v>0</v>
      </c>
      <c r="T37" s="302">
        <f t="shared" ref="T37:T42" si="24">SUM(H37:S37)</f>
        <v>0</v>
      </c>
    </row>
    <row r="38" spans="1:20" ht="19.5">
      <c r="A38" s="1709"/>
      <c r="G38" s="292" t="str">
        <f t="shared" si="22"/>
        <v>療育支援加算Ａ</v>
      </c>
      <c r="H38" s="284">
        <f t="shared" si="23"/>
        <v>0</v>
      </c>
      <c r="I38" s="284">
        <f t="shared" si="23"/>
        <v>0</v>
      </c>
      <c r="J38" s="284">
        <f t="shared" si="23"/>
        <v>0</v>
      </c>
      <c r="K38" s="284">
        <f t="shared" si="23"/>
        <v>0</v>
      </c>
      <c r="L38" s="284">
        <f t="shared" si="23"/>
        <v>0</v>
      </c>
      <c r="M38" s="284">
        <f t="shared" si="23"/>
        <v>0</v>
      </c>
      <c r="N38" s="284">
        <f t="shared" si="23"/>
        <v>0</v>
      </c>
      <c r="O38" s="284">
        <f t="shared" si="23"/>
        <v>0</v>
      </c>
      <c r="P38" s="284">
        <f t="shared" si="23"/>
        <v>0</v>
      </c>
      <c r="Q38" s="284">
        <f t="shared" si="23"/>
        <v>0</v>
      </c>
      <c r="R38" s="284">
        <f t="shared" si="23"/>
        <v>0</v>
      </c>
      <c r="S38" s="299">
        <f t="shared" si="23"/>
        <v>0</v>
      </c>
      <c r="T38" s="302">
        <f t="shared" si="24"/>
        <v>0</v>
      </c>
    </row>
    <row r="39" spans="1:20" ht="19.5">
      <c r="A39" s="1709"/>
      <c r="G39" s="292" t="str">
        <f t="shared" si="22"/>
        <v>療育支援加算Ｂ</v>
      </c>
      <c r="H39" s="284">
        <f t="shared" si="23"/>
        <v>0</v>
      </c>
      <c r="I39" s="284">
        <f t="shared" si="23"/>
        <v>0</v>
      </c>
      <c r="J39" s="284">
        <f t="shared" si="23"/>
        <v>0</v>
      </c>
      <c r="K39" s="284">
        <f t="shared" si="23"/>
        <v>0</v>
      </c>
      <c r="L39" s="284">
        <f t="shared" si="23"/>
        <v>0</v>
      </c>
      <c r="M39" s="284">
        <f t="shared" si="23"/>
        <v>0</v>
      </c>
      <c r="N39" s="284">
        <f t="shared" si="23"/>
        <v>0</v>
      </c>
      <c r="O39" s="284">
        <f t="shared" si="23"/>
        <v>0</v>
      </c>
      <c r="P39" s="284">
        <f t="shared" si="23"/>
        <v>0</v>
      </c>
      <c r="Q39" s="284">
        <f t="shared" si="23"/>
        <v>0</v>
      </c>
      <c r="R39" s="284">
        <f t="shared" si="23"/>
        <v>0</v>
      </c>
      <c r="S39" s="299">
        <f t="shared" si="23"/>
        <v>0</v>
      </c>
      <c r="T39" s="302">
        <f t="shared" si="24"/>
        <v>0</v>
      </c>
    </row>
    <row r="40" spans="1:20" ht="19.5">
      <c r="A40" s="1709"/>
      <c r="G40" s="292" t="str">
        <f t="shared" si="22"/>
        <v>事務職員雇上費加算</v>
      </c>
      <c r="H40" s="284">
        <f t="shared" si="23"/>
        <v>0</v>
      </c>
      <c r="I40" s="284">
        <f t="shared" si="23"/>
        <v>0</v>
      </c>
      <c r="J40" s="284">
        <f t="shared" si="23"/>
        <v>0</v>
      </c>
      <c r="K40" s="284">
        <f t="shared" si="23"/>
        <v>0</v>
      </c>
      <c r="L40" s="284">
        <f t="shared" si="23"/>
        <v>0</v>
      </c>
      <c r="M40" s="284">
        <f t="shared" si="23"/>
        <v>0</v>
      </c>
      <c r="N40" s="284">
        <f t="shared" si="23"/>
        <v>0</v>
      </c>
      <c r="O40" s="284">
        <f t="shared" si="23"/>
        <v>0</v>
      </c>
      <c r="P40" s="284">
        <f t="shared" si="23"/>
        <v>0</v>
      </c>
      <c r="Q40" s="284">
        <f t="shared" si="23"/>
        <v>0</v>
      </c>
      <c r="R40" s="284">
        <f t="shared" si="23"/>
        <v>0</v>
      </c>
      <c r="S40" s="299">
        <f t="shared" si="23"/>
        <v>0</v>
      </c>
      <c r="T40" s="302">
        <f t="shared" si="24"/>
        <v>0</v>
      </c>
    </row>
    <row r="41" spans="1:20" ht="19.5">
      <c r="A41" s="1709"/>
      <c r="G41" s="292" t="str">
        <f t="shared" si="22"/>
        <v>栄養管理加算Ａ</v>
      </c>
      <c r="H41" s="284">
        <f t="shared" si="23"/>
        <v>0</v>
      </c>
      <c r="I41" s="284">
        <f t="shared" si="23"/>
        <v>0</v>
      </c>
      <c r="J41" s="284">
        <f t="shared" si="23"/>
        <v>0</v>
      </c>
      <c r="K41" s="284">
        <f t="shared" si="23"/>
        <v>0</v>
      </c>
      <c r="L41" s="284">
        <f t="shared" si="23"/>
        <v>0</v>
      </c>
      <c r="M41" s="284">
        <f t="shared" si="23"/>
        <v>0</v>
      </c>
      <c r="N41" s="284">
        <f t="shared" si="23"/>
        <v>0</v>
      </c>
      <c r="O41" s="284">
        <f t="shared" si="23"/>
        <v>0</v>
      </c>
      <c r="P41" s="284">
        <f t="shared" si="23"/>
        <v>0</v>
      </c>
      <c r="Q41" s="284">
        <f t="shared" si="23"/>
        <v>0</v>
      </c>
      <c r="R41" s="284">
        <f t="shared" si="23"/>
        <v>0</v>
      </c>
      <c r="S41" s="299">
        <f t="shared" si="23"/>
        <v>0</v>
      </c>
      <c r="T41" s="302">
        <f t="shared" si="24"/>
        <v>0</v>
      </c>
    </row>
    <row r="42" spans="1:20" ht="20.25" thickBot="1">
      <c r="A42" s="1709"/>
      <c r="G42" s="293" t="str">
        <f t="shared" si="22"/>
        <v>栄養管理加算Ｂ</v>
      </c>
      <c r="H42" s="294">
        <f t="shared" si="23"/>
        <v>0</v>
      </c>
      <c r="I42" s="294">
        <f t="shared" si="23"/>
        <v>0</v>
      </c>
      <c r="J42" s="294">
        <f t="shared" si="23"/>
        <v>0</v>
      </c>
      <c r="K42" s="294">
        <f t="shared" si="23"/>
        <v>0</v>
      </c>
      <c r="L42" s="294">
        <f t="shared" si="23"/>
        <v>0</v>
      </c>
      <c r="M42" s="294">
        <f t="shared" si="23"/>
        <v>0</v>
      </c>
      <c r="N42" s="294">
        <f t="shared" si="23"/>
        <v>0</v>
      </c>
      <c r="O42" s="294">
        <f t="shared" si="23"/>
        <v>0</v>
      </c>
      <c r="P42" s="294">
        <f t="shared" si="23"/>
        <v>0</v>
      </c>
      <c r="Q42" s="294">
        <f t="shared" si="23"/>
        <v>0</v>
      </c>
      <c r="R42" s="294">
        <f t="shared" si="23"/>
        <v>0</v>
      </c>
      <c r="S42" s="304">
        <f t="shared" si="23"/>
        <v>0</v>
      </c>
      <c r="T42" s="305">
        <f t="shared" si="24"/>
        <v>0</v>
      </c>
    </row>
    <row r="43" spans="1:20" ht="19.5" thickTop="1">
      <c r="A43" s="1709"/>
      <c r="G43" s="297"/>
      <c r="H43" s="296">
        <f>SUM(H36:H42)</f>
        <v>0</v>
      </c>
      <c r="I43" s="296">
        <f t="shared" ref="I43:S43" si="25">SUM(I36:I42)</f>
        <v>0</v>
      </c>
      <c r="J43" s="296">
        <f t="shared" si="25"/>
        <v>0</v>
      </c>
      <c r="K43" s="296">
        <f t="shared" si="25"/>
        <v>0</v>
      </c>
      <c r="L43" s="296">
        <f t="shared" si="25"/>
        <v>0</v>
      </c>
      <c r="M43" s="296">
        <f t="shared" si="25"/>
        <v>0</v>
      </c>
      <c r="N43" s="296">
        <f t="shared" si="25"/>
        <v>0</v>
      </c>
      <c r="O43" s="296">
        <f t="shared" si="25"/>
        <v>0</v>
      </c>
      <c r="P43" s="296">
        <f t="shared" si="25"/>
        <v>0</v>
      </c>
      <c r="Q43" s="296">
        <f t="shared" si="25"/>
        <v>0</v>
      </c>
      <c r="R43" s="296">
        <f t="shared" si="25"/>
        <v>0</v>
      </c>
      <c r="S43" s="300">
        <f t="shared" si="25"/>
        <v>0</v>
      </c>
      <c r="T43" s="303">
        <f>SUM(T36:T42)</f>
        <v>0</v>
      </c>
    </row>
    <row r="44" spans="1:20">
      <c r="A44" s="1709"/>
    </row>
    <row r="45" spans="1:20" ht="24">
      <c r="A45" s="1709"/>
      <c r="G45" s="290" t="s">
        <v>488</v>
      </c>
      <c r="H45" s="285" t="s">
        <v>463</v>
      </c>
      <c r="I45" s="285" t="s">
        <v>464</v>
      </c>
      <c r="J45" s="285" t="s">
        <v>465</v>
      </c>
      <c r="K45" s="285" t="s">
        <v>466</v>
      </c>
      <c r="L45" s="285" t="s">
        <v>467</v>
      </c>
      <c r="M45" s="285" t="s">
        <v>468</v>
      </c>
      <c r="N45" s="285" t="s">
        <v>469</v>
      </c>
      <c r="O45" s="285" t="s">
        <v>470</v>
      </c>
      <c r="P45" s="285" t="s">
        <v>471</v>
      </c>
      <c r="Q45" s="285" t="s">
        <v>472</v>
      </c>
      <c r="R45" s="285" t="s">
        <v>473</v>
      </c>
      <c r="S45" s="298" t="s">
        <v>474</v>
      </c>
      <c r="T45" s="301" t="s">
        <v>36</v>
      </c>
    </row>
    <row r="46" spans="1:20" ht="19.5">
      <c r="A46" s="1709"/>
      <c r="G46" s="292" t="str">
        <f>G26</f>
        <v>休日保育加算</v>
      </c>
      <c r="H46" s="284">
        <f>H26*H$2</f>
        <v>0</v>
      </c>
      <c r="I46" s="284">
        <f t="shared" ref="I46:S46" si="26">I26*I$2</f>
        <v>0</v>
      </c>
      <c r="J46" s="284">
        <f t="shared" si="26"/>
        <v>0</v>
      </c>
      <c r="K46" s="284">
        <f t="shared" si="26"/>
        <v>0</v>
      </c>
      <c r="L46" s="284">
        <f t="shared" si="26"/>
        <v>0</v>
      </c>
      <c r="M46" s="284">
        <f t="shared" si="26"/>
        <v>0</v>
      </c>
      <c r="N46" s="284">
        <f t="shared" si="26"/>
        <v>0</v>
      </c>
      <c r="O46" s="284">
        <f t="shared" si="26"/>
        <v>0</v>
      </c>
      <c r="P46" s="284">
        <f t="shared" si="26"/>
        <v>0</v>
      </c>
      <c r="Q46" s="284">
        <f t="shared" si="26"/>
        <v>0</v>
      </c>
      <c r="R46" s="284">
        <f t="shared" si="26"/>
        <v>0</v>
      </c>
      <c r="S46" s="299">
        <f t="shared" si="26"/>
        <v>0</v>
      </c>
      <c r="T46" s="302">
        <f>SUM(H46:S46)</f>
        <v>0</v>
      </c>
    </row>
    <row r="47" spans="1:20" ht="19.5">
      <c r="A47" s="1709"/>
      <c r="G47" s="292" t="str">
        <f t="shared" ref="G47:G52" si="27">G27</f>
        <v>主任保育士専任加算</v>
      </c>
      <c r="H47" s="284">
        <f t="shared" ref="H47:S47" si="28">H27*H$2</f>
        <v>0</v>
      </c>
      <c r="I47" s="284">
        <f t="shared" si="28"/>
        <v>0</v>
      </c>
      <c r="J47" s="284">
        <f t="shared" si="28"/>
        <v>0</v>
      </c>
      <c r="K47" s="284">
        <f t="shared" si="28"/>
        <v>0</v>
      </c>
      <c r="L47" s="284">
        <f t="shared" si="28"/>
        <v>0</v>
      </c>
      <c r="M47" s="284">
        <f t="shared" si="28"/>
        <v>0</v>
      </c>
      <c r="N47" s="284">
        <f t="shared" si="28"/>
        <v>0</v>
      </c>
      <c r="O47" s="284">
        <f t="shared" si="28"/>
        <v>0</v>
      </c>
      <c r="P47" s="284">
        <f t="shared" si="28"/>
        <v>0</v>
      </c>
      <c r="Q47" s="284">
        <f t="shared" si="28"/>
        <v>0</v>
      </c>
      <c r="R47" s="284">
        <f t="shared" si="28"/>
        <v>0</v>
      </c>
      <c r="S47" s="299">
        <f t="shared" si="28"/>
        <v>0</v>
      </c>
      <c r="T47" s="302">
        <f t="shared" ref="T47:T52" si="29">SUM(H47:S47)</f>
        <v>0</v>
      </c>
    </row>
    <row r="48" spans="1:20" ht="19.5">
      <c r="A48" s="1709"/>
      <c r="G48" s="292" t="str">
        <f t="shared" si="27"/>
        <v>療育支援加算Ａ</v>
      </c>
      <c r="H48" s="284">
        <f t="shared" ref="H48:S48" si="30">H28*H$2</f>
        <v>0</v>
      </c>
      <c r="I48" s="284">
        <f t="shared" si="30"/>
        <v>0</v>
      </c>
      <c r="J48" s="284">
        <f t="shared" si="30"/>
        <v>0</v>
      </c>
      <c r="K48" s="284">
        <f t="shared" si="30"/>
        <v>0</v>
      </c>
      <c r="L48" s="284">
        <f t="shared" si="30"/>
        <v>0</v>
      </c>
      <c r="M48" s="284">
        <f t="shared" si="30"/>
        <v>0</v>
      </c>
      <c r="N48" s="284">
        <f t="shared" si="30"/>
        <v>0</v>
      </c>
      <c r="O48" s="284">
        <f t="shared" si="30"/>
        <v>0</v>
      </c>
      <c r="P48" s="284">
        <f t="shared" si="30"/>
        <v>0</v>
      </c>
      <c r="Q48" s="284">
        <f t="shared" si="30"/>
        <v>0</v>
      </c>
      <c r="R48" s="284">
        <f t="shared" si="30"/>
        <v>0</v>
      </c>
      <c r="S48" s="299">
        <f t="shared" si="30"/>
        <v>0</v>
      </c>
      <c r="T48" s="302">
        <f t="shared" si="29"/>
        <v>0</v>
      </c>
    </row>
    <row r="49" spans="1:20" ht="19.5">
      <c r="A49" s="1709"/>
      <c r="G49" s="292" t="str">
        <f t="shared" si="27"/>
        <v>療育支援加算Ｂ</v>
      </c>
      <c r="H49" s="284">
        <f t="shared" ref="H49:S49" si="31">H29*H$2</f>
        <v>0</v>
      </c>
      <c r="I49" s="284">
        <f t="shared" si="31"/>
        <v>0</v>
      </c>
      <c r="J49" s="284">
        <f t="shared" si="31"/>
        <v>0</v>
      </c>
      <c r="K49" s="284">
        <f t="shared" si="31"/>
        <v>0</v>
      </c>
      <c r="L49" s="284">
        <f t="shared" si="31"/>
        <v>0</v>
      </c>
      <c r="M49" s="284">
        <f t="shared" si="31"/>
        <v>0</v>
      </c>
      <c r="N49" s="284">
        <f t="shared" si="31"/>
        <v>0</v>
      </c>
      <c r="O49" s="284">
        <f t="shared" si="31"/>
        <v>0</v>
      </c>
      <c r="P49" s="284">
        <f t="shared" si="31"/>
        <v>0</v>
      </c>
      <c r="Q49" s="284">
        <f t="shared" si="31"/>
        <v>0</v>
      </c>
      <c r="R49" s="284">
        <f t="shared" si="31"/>
        <v>0</v>
      </c>
      <c r="S49" s="299">
        <f t="shared" si="31"/>
        <v>0</v>
      </c>
      <c r="T49" s="302">
        <f t="shared" si="29"/>
        <v>0</v>
      </c>
    </row>
    <row r="50" spans="1:20" ht="19.5">
      <c r="A50" s="1709"/>
      <c r="G50" s="292" t="str">
        <f t="shared" si="27"/>
        <v>事務職員雇上費加算</v>
      </c>
      <c r="H50" s="284">
        <f t="shared" ref="H50:S50" si="32">H30*H$2</f>
        <v>0</v>
      </c>
      <c r="I50" s="284">
        <f t="shared" si="32"/>
        <v>0</v>
      </c>
      <c r="J50" s="284">
        <f t="shared" si="32"/>
        <v>0</v>
      </c>
      <c r="K50" s="284">
        <f t="shared" si="32"/>
        <v>0</v>
      </c>
      <c r="L50" s="284">
        <f t="shared" si="32"/>
        <v>0</v>
      </c>
      <c r="M50" s="284">
        <f t="shared" si="32"/>
        <v>0</v>
      </c>
      <c r="N50" s="284">
        <f t="shared" si="32"/>
        <v>0</v>
      </c>
      <c r="O50" s="284">
        <f t="shared" si="32"/>
        <v>0</v>
      </c>
      <c r="P50" s="284">
        <f t="shared" si="32"/>
        <v>0</v>
      </c>
      <c r="Q50" s="284">
        <f t="shared" si="32"/>
        <v>0</v>
      </c>
      <c r="R50" s="284">
        <f t="shared" si="32"/>
        <v>0</v>
      </c>
      <c r="S50" s="299">
        <f t="shared" si="32"/>
        <v>0</v>
      </c>
      <c r="T50" s="302">
        <f t="shared" si="29"/>
        <v>0</v>
      </c>
    </row>
    <row r="51" spans="1:20" ht="19.5">
      <c r="A51" s="1709"/>
      <c r="G51" s="292" t="str">
        <f t="shared" si="27"/>
        <v>栄養管理加算Ａ</v>
      </c>
      <c r="H51" s="284">
        <f t="shared" ref="H51:S51" si="33">H31*H$2</f>
        <v>0</v>
      </c>
      <c r="I51" s="284">
        <f t="shared" si="33"/>
        <v>0</v>
      </c>
      <c r="J51" s="284">
        <f t="shared" si="33"/>
        <v>0</v>
      </c>
      <c r="K51" s="284">
        <f t="shared" si="33"/>
        <v>0</v>
      </c>
      <c r="L51" s="284">
        <f t="shared" si="33"/>
        <v>0</v>
      </c>
      <c r="M51" s="284">
        <f t="shared" si="33"/>
        <v>0</v>
      </c>
      <c r="N51" s="284">
        <f t="shared" si="33"/>
        <v>0</v>
      </c>
      <c r="O51" s="284">
        <f t="shared" si="33"/>
        <v>0</v>
      </c>
      <c r="P51" s="284">
        <f t="shared" si="33"/>
        <v>0</v>
      </c>
      <c r="Q51" s="284">
        <f t="shared" si="33"/>
        <v>0</v>
      </c>
      <c r="R51" s="284">
        <f t="shared" si="33"/>
        <v>0</v>
      </c>
      <c r="S51" s="299">
        <f t="shared" si="33"/>
        <v>0</v>
      </c>
      <c r="T51" s="302">
        <f t="shared" si="29"/>
        <v>0</v>
      </c>
    </row>
    <row r="52" spans="1:20" ht="20.25" thickBot="1">
      <c r="A52" s="1709"/>
      <c r="G52" s="293" t="str">
        <f t="shared" si="27"/>
        <v>栄養管理加算Ｂ</v>
      </c>
      <c r="H52" s="294">
        <f>H32*H$2</f>
        <v>0</v>
      </c>
      <c r="I52" s="294">
        <f t="shared" ref="I52:S52" si="34">I32*I$2</f>
        <v>0</v>
      </c>
      <c r="J52" s="294">
        <f t="shared" si="34"/>
        <v>0</v>
      </c>
      <c r="K52" s="294">
        <f t="shared" si="34"/>
        <v>0</v>
      </c>
      <c r="L52" s="294">
        <f t="shared" si="34"/>
        <v>0</v>
      </c>
      <c r="M52" s="294">
        <f t="shared" si="34"/>
        <v>0</v>
      </c>
      <c r="N52" s="294">
        <f t="shared" si="34"/>
        <v>0</v>
      </c>
      <c r="O52" s="294">
        <f t="shared" si="34"/>
        <v>0</v>
      </c>
      <c r="P52" s="294">
        <f t="shared" si="34"/>
        <v>0</v>
      </c>
      <c r="Q52" s="294">
        <f t="shared" si="34"/>
        <v>0</v>
      </c>
      <c r="R52" s="294">
        <f t="shared" si="34"/>
        <v>0</v>
      </c>
      <c r="S52" s="304">
        <f t="shared" si="34"/>
        <v>0</v>
      </c>
      <c r="T52" s="305">
        <f t="shared" si="29"/>
        <v>0</v>
      </c>
    </row>
    <row r="53" spans="1:20" ht="19.5" thickTop="1">
      <c r="A53" s="1709"/>
      <c r="G53" s="295" t="s">
        <v>36</v>
      </c>
      <c r="H53" s="296">
        <f>SUM(H46:H52)</f>
        <v>0</v>
      </c>
      <c r="I53" s="296">
        <f t="shared" ref="I53:S53" si="35">SUM(I46:I52)</f>
        <v>0</v>
      </c>
      <c r="J53" s="296">
        <f t="shared" si="35"/>
        <v>0</v>
      </c>
      <c r="K53" s="296">
        <f t="shared" si="35"/>
        <v>0</v>
      </c>
      <c r="L53" s="296">
        <f t="shared" si="35"/>
        <v>0</v>
      </c>
      <c r="M53" s="296">
        <f t="shared" si="35"/>
        <v>0</v>
      </c>
      <c r="N53" s="296">
        <f t="shared" si="35"/>
        <v>0</v>
      </c>
      <c r="O53" s="296">
        <f t="shared" si="35"/>
        <v>0</v>
      </c>
      <c r="P53" s="296">
        <f t="shared" si="35"/>
        <v>0</v>
      </c>
      <c r="Q53" s="296">
        <f t="shared" si="35"/>
        <v>0</v>
      </c>
      <c r="R53" s="296">
        <f t="shared" si="35"/>
        <v>0</v>
      </c>
      <c r="S53" s="300">
        <f t="shared" si="35"/>
        <v>0</v>
      </c>
      <c r="T53" s="303">
        <f>SUM(T46:T52)</f>
        <v>0</v>
      </c>
    </row>
    <row r="58" spans="1:20" ht="24" customHeight="1">
      <c r="A58" s="1710" t="s">
        <v>485</v>
      </c>
      <c r="G58" s="1717" t="s">
        <v>490</v>
      </c>
      <c r="H58" s="285" t="s">
        <v>463</v>
      </c>
      <c r="I58" s="285" t="s">
        <v>464</v>
      </c>
      <c r="J58" s="285" t="s">
        <v>465</v>
      </c>
      <c r="K58" s="285" t="s">
        <v>466</v>
      </c>
      <c r="L58" s="285" t="s">
        <v>467</v>
      </c>
      <c r="M58" s="285" t="s">
        <v>468</v>
      </c>
      <c r="N58" s="285" t="s">
        <v>469</v>
      </c>
      <c r="O58" s="285" t="s">
        <v>470</v>
      </c>
      <c r="P58" s="285" t="s">
        <v>471</v>
      </c>
      <c r="Q58" s="285" t="s">
        <v>472</v>
      </c>
      <c r="R58" s="285" t="s">
        <v>473</v>
      </c>
      <c r="S58" s="298" t="s">
        <v>474</v>
      </c>
      <c r="T58" s="301" t="s">
        <v>36</v>
      </c>
    </row>
    <row r="59" spans="1:20">
      <c r="A59" s="1710"/>
      <c r="C59" s="306"/>
      <c r="D59" s="306"/>
      <c r="E59" s="306"/>
      <c r="G59" s="1718"/>
      <c r="H59" s="323" t="e">
        <f>'4月'!F69</f>
        <v>#VALUE!</v>
      </c>
      <c r="I59" s="323" t="e">
        <f>'5月'!F69</f>
        <v>#VALUE!</v>
      </c>
      <c r="J59" s="323" t="e">
        <f>'6月'!F69</f>
        <v>#VALUE!</v>
      </c>
      <c r="K59" s="323" t="e">
        <f>'7月'!F69</f>
        <v>#VALUE!</v>
      </c>
      <c r="L59" s="323" t="e">
        <f>'8月'!F69</f>
        <v>#VALUE!</v>
      </c>
      <c r="M59" s="323" t="e">
        <f>'9月'!F69</f>
        <v>#VALUE!</v>
      </c>
      <c r="N59" s="323" t="e">
        <f>'10月'!F69</f>
        <v>#VALUE!</v>
      </c>
      <c r="O59" s="323" t="e">
        <f>'11月'!F69</f>
        <v>#VALUE!</v>
      </c>
      <c r="P59" s="323" t="e">
        <f>'12月'!F69</f>
        <v>#VALUE!</v>
      </c>
      <c r="Q59" s="323" t="e">
        <f>'1月'!F69</f>
        <v>#VALUE!</v>
      </c>
      <c r="R59" s="323" t="e">
        <f>'2月'!F69</f>
        <v>#VALUE!</v>
      </c>
      <c r="S59" s="323" t="e">
        <f>'3月'!F81</f>
        <v>#VALUE!</v>
      </c>
      <c r="T59" s="323" t="e">
        <f>SUM(H59:S59)</f>
        <v>#VALUE!</v>
      </c>
    </row>
    <row r="60" spans="1:20">
      <c r="A60" s="1710"/>
      <c r="C60" s="306"/>
      <c r="D60" s="306"/>
      <c r="E60" s="306"/>
    </row>
    <row r="61" spans="1:20">
      <c r="A61" s="1710"/>
    </row>
    <row r="62" spans="1:20" ht="24">
      <c r="A62" s="1710"/>
      <c r="G62" s="291" t="s">
        <v>478</v>
      </c>
      <c r="H62" s="285" t="s">
        <v>463</v>
      </c>
      <c r="I62" s="285" t="s">
        <v>464</v>
      </c>
      <c r="J62" s="285" t="s">
        <v>465</v>
      </c>
      <c r="K62" s="285" t="s">
        <v>466</v>
      </c>
      <c r="L62" s="285" t="s">
        <v>467</v>
      </c>
      <c r="M62" s="285" t="s">
        <v>468</v>
      </c>
      <c r="N62" s="285" t="s">
        <v>469</v>
      </c>
      <c r="O62" s="285" t="s">
        <v>470</v>
      </c>
      <c r="P62" s="285" t="s">
        <v>471</v>
      </c>
      <c r="Q62" s="285" t="s">
        <v>472</v>
      </c>
      <c r="R62" s="285" t="s">
        <v>473</v>
      </c>
      <c r="S62" s="298" t="s">
        <v>474</v>
      </c>
      <c r="T62" s="301" t="s">
        <v>36</v>
      </c>
    </row>
    <row r="63" spans="1:20" ht="19.5">
      <c r="A63" s="1710"/>
      <c r="G63" s="292" t="s">
        <v>181</v>
      </c>
      <c r="H63" s="284" t="e">
        <f>'4月'!$AG$28</f>
        <v>#VALUE!</v>
      </c>
      <c r="I63" s="284" t="e">
        <f>'5月'!$AG$28</f>
        <v>#VALUE!</v>
      </c>
      <c r="J63" s="284" t="e">
        <f>'6月'!$AG$28</f>
        <v>#VALUE!</v>
      </c>
      <c r="K63" s="284" t="e">
        <f>'7月'!$AG$28</f>
        <v>#VALUE!</v>
      </c>
      <c r="L63" s="284" t="e">
        <f>'8月'!$AG$28</f>
        <v>#VALUE!</v>
      </c>
      <c r="M63" s="284" t="e">
        <f>'9月'!$AG$28</f>
        <v>#VALUE!</v>
      </c>
      <c r="N63" s="284" t="e">
        <f>'10月'!$AG$28</f>
        <v>#VALUE!</v>
      </c>
      <c r="O63" s="284" t="e">
        <f>'11月'!$AG$28</f>
        <v>#VALUE!</v>
      </c>
      <c r="P63" s="284" t="e">
        <f>'12月'!$AG$28</f>
        <v>#VALUE!</v>
      </c>
      <c r="Q63" s="284" t="e">
        <f>'1月'!$AG$28</f>
        <v>#VALUE!</v>
      </c>
      <c r="R63" s="284" t="e">
        <f>'2月'!$AG$28</f>
        <v>#VALUE!</v>
      </c>
      <c r="S63" s="299" t="e">
        <f>'3月'!AG34</f>
        <v>#VALUE!</v>
      </c>
      <c r="T63" s="302" t="e">
        <f>SUM(H63:S63)</f>
        <v>#VALUE!</v>
      </c>
    </row>
    <row r="64" spans="1:20" ht="20.25" thickBot="1">
      <c r="A64" s="1710"/>
      <c r="G64" s="292" t="s">
        <v>3</v>
      </c>
      <c r="H64" s="284">
        <f>'4月'!$AG$55</f>
        <v>0</v>
      </c>
      <c r="I64" s="284">
        <f>'5月'!$AG$55</f>
        <v>0</v>
      </c>
      <c r="J64" s="284">
        <f>'6月'!$AG$55</f>
        <v>0</v>
      </c>
      <c r="K64" s="284">
        <f>'7月'!$AG$55</f>
        <v>0</v>
      </c>
      <c r="L64" s="284">
        <f>'8月'!$AG$55</f>
        <v>0</v>
      </c>
      <c r="M64" s="284">
        <f>'9月'!$AG$55</f>
        <v>0</v>
      </c>
      <c r="N64" s="284">
        <f>'10月'!$AG$55</f>
        <v>0</v>
      </c>
      <c r="O64" s="284">
        <f>'11月'!$AG$55</f>
        <v>0</v>
      </c>
      <c r="P64" s="284">
        <f>'12月'!$AG$55</f>
        <v>0</v>
      </c>
      <c r="Q64" s="284">
        <f>'1月'!$AG$55</f>
        <v>0</v>
      </c>
      <c r="R64" s="284">
        <f>'2月'!$AG$55</f>
        <v>0</v>
      </c>
      <c r="S64" s="299">
        <f>'3月'!AG67</f>
        <v>0</v>
      </c>
      <c r="T64" s="302">
        <f t="shared" ref="T64" si="36">SUM(H64:S64)</f>
        <v>0</v>
      </c>
    </row>
    <row r="65" spans="1:20" ht="19.5" thickTop="1">
      <c r="A65" s="1710"/>
      <c r="G65" s="295" t="s">
        <v>36</v>
      </c>
      <c r="H65" s="296" t="e">
        <f>SUM(H63:H64)</f>
        <v>#VALUE!</v>
      </c>
      <c r="I65" s="296" t="e">
        <f t="shared" ref="I65:S65" si="37">SUM(I63:I64)</f>
        <v>#VALUE!</v>
      </c>
      <c r="J65" s="296" t="e">
        <f t="shared" si="37"/>
        <v>#VALUE!</v>
      </c>
      <c r="K65" s="296" t="e">
        <f t="shared" si="37"/>
        <v>#VALUE!</v>
      </c>
      <c r="L65" s="296" t="e">
        <f t="shared" si="37"/>
        <v>#VALUE!</v>
      </c>
      <c r="M65" s="296" t="e">
        <f t="shared" si="37"/>
        <v>#VALUE!</v>
      </c>
      <c r="N65" s="296" t="e">
        <f t="shared" si="37"/>
        <v>#VALUE!</v>
      </c>
      <c r="O65" s="296" t="e">
        <f t="shared" si="37"/>
        <v>#VALUE!</v>
      </c>
      <c r="P65" s="296" t="e">
        <f t="shared" si="37"/>
        <v>#VALUE!</v>
      </c>
      <c r="Q65" s="296" t="e">
        <f t="shared" si="37"/>
        <v>#VALUE!</v>
      </c>
      <c r="R65" s="296" t="e">
        <f t="shared" si="37"/>
        <v>#VALUE!</v>
      </c>
      <c r="S65" s="300" t="e">
        <f t="shared" si="37"/>
        <v>#VALUE!</v>
      </c>
      <c r="T65" s="303" t="e">
        <f>SUM(T63:T64)</f>
        <v>#VALUE!</v>
      </c>
    </row>
    <row r="70" spans="1:20" ht="24">
      <c r="A70" s="1719" t="s">
        <v>499</v>
      </c>
      <c r="G70" s="335" t="s">
        <v>496</v>
      </c>
      <c r="H70" s="285" t="s">
        <v>463</v>
      </c>
      <c r="I70" s="285" t="s">
        <v>464</v>
      </c>
      <c r="J70" s="285" t="s">
        <v>465</v>
      </c>
      <c r="K70" s="285" t="s">
        <v>466</v>
      </c>
      <c r="L70" s="285" t="s">
        <v>467</v>
      </c>
      <c r="M70" s="285" t="s">
        <v>468</v>
      </c>
      <c r="N70" s="285" t="s">
        <v>469</v>
      </c>
      <c r="O70" s="285" t="s">
        <v>470</v>
      </c>
      <c r="P70" s="285" t="s">
        <v>471</v>
      </c>
      <c r="Q70" s="285" t="s">
        <v>472</v>
      </c>
      <c r="R70" s="285" t="s">
        <v>473</v>
      </c>
      <c r="S70" s="298" t="s">
        <v>474</v>
      </c>
      <c r="T70" s="301" t="s">
        <v>36</v>
      </c>
    </row>
    <row r="71" spans="1:20" ht="19.5">
      <c r="A71" s="1719"/>
      <c r="G71" s="292" t="s">
        <v>181</v>
      </c>
      <c r="H71" s="284">
        <f>'4月'!V78</f>
        <v>0</v>
      </c>
      <c r="I71" s="284">
        <f>'5月'!V78</f>
        <v>0</v>
      </c>
      <c r="J71" s="284">
        <f>'6月'!V78</f>
        <v>0</v>
      </c>
      <c r="K71" s="284">
        <f>'7月'!V78</f>
        <v>0</v>
      </c>
      <c r="L71" s="284">
        <f>'8月'!V78</f>
        <v>0</v>
      </c>
      <c r="M71" s="284">
        <f>'9月'!V78</f>
        <v>0</v>
      </c>
      <c r="N71" s="284">
        <f>'10月'!V78</f>
        <v>0</v>
      </c>
      <c r="O71" s="284">
        <f>'11月'!V78</f>
        <v>0</v>
      </c>
      <c r="P71" s="284">
        <f>'12月'!V78</f>
        <v>0</v>
      </c>
      <c r="Q71" s="284">
        <f>'1月'!V78</f>
        <v>0</v>
      </c>
      <c r="R71" s="284">
        <f>'2月'!V78</f>
        <v>0</v>
      </c>
      <c r="S71" s="299">
        <f>'3月'!V84</f>
        <v>0</v>
      </c>
      <c r="T71" s="302">
        <f>SUM(H71:S71)</f>
        <v>0</v>
      </c>
    </row>
    <row r="72" spans="1:20" ht="20.25" thickBot="1">
      <c r="A72" s="1719"/>
      <c r="G72" s="292" t="s">
        <v>3</v>
      </c>
      <c r="H72" s="284">
        <f>'4月'!V101</f>
        <v>0</v>
      </c>
      <c r="I72" s="284">
        <f>'5月'!V101</f>
        <v>0</v>
      </c>
      <c r="J72" s="284">
        <f>'6月'!V101</f>
        <v>0</v>
      </c>
      <c r="K72" s="284">
        <f>'7月'!V101</f>
        <v>0</v>
      </c>
      <c r="L72" s="284">
        <f>'8月'!V101</f>
        <v>0</v>
      </c>
      <c r="M72" s="284">
        <f>'9月'!V101</f>
        <v>0</v>
      </c>
      <c r="N72" s="284">
        <f>'10月'!V101</f>
        <v>0</v>
      </c>
      <c r="O72" s="284">
        <f>'11月'!V101</f>
        <v>0</v>
      </c>
      <c r="P72" s="284">
        <f>'12月'!V101</f>
        <v>0</v>
      </c>
      <c r="Q72" s="284">
        <f>'1月'!V101</f>
        <v>0</v>
      </c>
      <c r="R72" s="284">
        <f>'2月'!V101</f>
        <v>0</v>
      </c>
      <c r="S72" s="299">
        <f>'3月'!V107</f>
        <v>0</v>
      </c>
      <c r="T72" s="302">
        <f t="shared" ref="T72" si="38">SUM(H72:S72)</f>
        <v>0</v>
      </c>
    </row>
    <row r="73" spans="1:20" ht="19.5" thickTop="1">
      <c r="A73" s="1719"/>
      <c r="G73" s="295" t="s">
        <v>36</v>
      </c>
      <c r="H73" s="296">
        <f>SUM(H71:H72)</f>
        <v>0</v>
      </c>
      <c r="I73" s="296">
        <f t="shared" ref="I73:S73" si="39">SUM(I71:I72)</f>
        <v>0</v>
      </c>
      <c r="J73" s="296">
        <f t="shared" si="39"/>
        <v>0</v>
      </c>
      <c r="K73" s="296">
        <f t="shared" si="39"/>
        <v>0</v>
      </c>
      <c r="L73" s="296">
        <f t="shared" si="39"/>
        <v>0</v>
      </c>
      <c r="M73" s="296">
        <f t="shared" si="39"/>
        <v>0</v>
      </c>
      <c r="N73" s="296">
        <f t="shared" si="39"/>
        <v>0</v>
      </c>
      <c r="O73" s="296">
        <f t="shared" si="39"/>
        <v>0</v>
      </c>
      <c r="P73" s="296">
        <f t="shared" si="39"/>
        <v>0</v>
      </c>
      <c r="Q73" s="296">
        <f t="shared" si="39"/>
        <v>0</v>
      </c>
      <c r="R73" s="296">
        <f t="shared" si="39"/>
        <v>0</v>
      </c>
      <c r="S73" s="300">
        <f t="shared" si="39"/>
        <v>0</v>
      </c>
      <c r="T73" s="303">
        <f>SUM(T71:T72)</f>
        <v>0</v>
      </c>
    </row>
    <row r="74" spans="1:20">
      <c r="A74" s="1719"/>
      <c r="G74" s="333"/>
      <c r="H74" s="334"/>
      <c r="I74" s="334"/>
      <c r="J74" s="334"/>
      <c r="K74" s="334"/>
      <c r="L74" s="334"/>
      <c r="M74" s="334"/>
      <c r="N74" s="334"/>
      <c r="O74" s="334"/>
      <c r="P74" s="334"/>
      <c r="Q74" s="334"/>
      <c r="R74" s="334"/>
      <c r="S74" s="334"/>
      <c r="T74" s="334"/>
    </row>
    <row r="75" spans="1:20" ht="24">
      <c r="A75" s="1719"/>
      <c r="G75" s="335" t="s">
        <v>497</v>
      </c>
      <c r="H75" s="285" t="s">
        <v>463</v>
      </c>
      <c r="I75" s="285" t="s">
        <v>464</v>
      </c>
      <c r="J75" s="285" t="s">
        <v>465</v>
      </c>
      <c r="K75" s="285" t="s">
        <v>466</v>
      </c>
      <c r="L75" s="285" t="s">
        <v>467</v>
      </c>
      <c r="M75" s="285" t="s">
        <v>468</v>
      </c>
      <c r="N75" s="285" t="s">
        <v>469</v>
      </c>
      <c r="O75" s="285" t="s">
        <v>470</v>
      </c>
      <c r="P75" s="285" t="s">
        <v>471</v>
      </c>
      <c r="Q75" s="285" t="s">
        <v>472</v>
      </c>
      <c r="R75" s="285" t="s">
        <v>473</v>
      </c>
      <c r="S75" s="298" t="s">
        <v>474</v>
      </c>
      <c r="T75" s="301" t="s">
        <v>36</v>
      </c>
    </row>
    <row r="76" spans="1:20" ht="19.5">
      <c r="A76" s="1719"/>
      <c r="G76" s="292" t="s">
        <v>181</v>
      </c>
      <c r="H76" s="323">
        <f>'4月'!AE78</f>
        <v>0</v>
      </c>
      <c r="I76" s="323">
        <f>'5月'!AE78</f>
        <v>0</v>
      </c>
      <c r="J76" s="323">
        <f>'6月'!AE78</f>
        <v>0</v>
      </c>
      <c r="K76" s="323">
        <f>'7月'!AE78</f>
        <v>0</v>
      </c>
      <c r="L76" s="323">
        <f>'8月'!AE78</f>
        <v>0</v>
      </c>
      <c r="M76" s="323">
        <f>'9月'!AE78</f>
        <v>0</v>
      </c>
      <c r="N76" s="323">
        <f>'10月'!AE78</f>
        <v>0</v>
      </c>
      <c r="O76" s="323">
        <f>'11月'!AE78</f>
        <v>0</v>
      </c>
      <c r="P76" s="323">
        <f>'12月'!AE78</f>
        <v>0</v>
      </c>
      <c r="Q76" s="323">
        <f>'1月'!AE78</f>
        <v>0</v>
      </c>
      <c r="R76" s="323">
        <f>'2月'!AE78</f>
        <v>0</v>
      </c>
      <c r="S76" s="336">
        <f>'3月'!AE84</f>
        <v>0</v>
      </c>
      <c r="T76" s="337">
        <f>SUM(H76:S76)</f>
        <v>0</v>
      </c>
    </row>
    <row r="77" spans="1:20" ht="20.25" thickBot="1">
      <c r="A77" s="1719"/>
      <c r="G77" s="292" t="s">
        <v>3</v>
      </c>
      <c r="H77" s="323">
        <f>'4月'!AE101</f>
        <v>0</v>
      </c>
      <c r="I77" s="323">
        <f>'5月'!AE101</f>
        <v>0</v>
      </c>
      <c r="J77" s="323">
        <f>'6月'!AE101</f>
        <v>0</v>
      </c>
      <c r="K77" s="323">
        <f>'7月'!AE101</f>
        <v>0</v>
      </c>
      <c r="L77" s="323">
        <f>'8月'!AE101</f>
        <v>0</v>
      </c>
      <c r="M77" s="323">
        <f>'9月'!AE101</f>
        <v>0</v>
      </c>
      <c r="N77" s="323">
        <f>'10月'!AE101</f>
        <v>0</v>
      </c>
      <c r="O77" s="323">
        <f>'11月'!AE101</f>
        <v>0</v>
      </c>
      <c r="P77" s="323">
        <f>'12月'!AE101</f>
        <v>0</v>
      </c>
      <c r="Q77" s="323">
        <f>'1月'!AE101</f>
        <v>0</v>
      </c>
      <c r="R77" s="323">
        <f>'2月'!AE101</f>
        <v>0</v>
      </c>
      <c r="S77" s="336">
        <f>'3月'!AE107</f>
        <v>0</v>
      </c>
      <c r="T77" s="337">
        <f t="shared" ref="T77" si="40">SUM(H77:S77)</f>
        <v>0</v>
      </c>
    </row>
    <row r="78" spans="1:20" ht="19.5" thickTop="1">
      <c r="A78" s="1719"/>
      <c r="G78" s="295" t="s">
        <v>36</v>
      </c>
      <c r="H78" s="338">
        <f>SUM(H76:H77)</f>
        <v>0</v>
      </c>
      <c r="I78" s="338">
        <f t="shared" ref="I78:S78" si="41">SUM(I76:I77)</f>
        <v>0</v>
      </c>
      <c r="J78" s="338">
        <f t="shared" si="41"/>
        <v>0</v>
      </c>
      <c r="K78" s="338">
        <f t="shared" si="41"/>
        <v>0</v>
      </c>
      <c r="L78" s="338">
        <f t="shared" si="41"/>
        <v>0</v>
      </c>
      <c r="M78" s="338">
        <f t="shared" si="41"/>
        <v>0</v>
      </c>
      <c r="N78" s="338">
        <f t="shared" si="41"/>
        <v>0</v>
      </c>
      <c r="O78" s="338">
        <f t="shared" si="41"/>
        <v>0</v>
      </c>
      <c r="P78" s="338">
        <f t="shared" si="41"/>
        <v>0</v>
      </c>
      <c r="Q78" s="338">
        <f t="shared" si="41"/>
        <v>0</v>
      </c>
      <c r="R78" s="338">
        <f t="shared" si="41"/>
        <v>0</v>
      </c>
      <c r="S78" s="339">
        <f t="shared" si="41"/>
        <v>0</v>
      </c>
      <c r="T78" s="340">
        <f>SUM(T76:T77)</f>
        <v>0</v>
      </c>
    </row>
    <row r="79" spans="1:20" ht="19.5" thickBot="1">
      <c r="A79" s="1719"/>
    </row>
    <row r="80" spans="1:20" ht="24" customHeight="1">
      <c r="A80" s="1719"/>
      <c r="G80" s="1720" t="s">
        <v>498</v>
      </c>
      <c r="H80" s="326" t="s">
        <v>463</v>
      </c>
      <c r="I80" s="326" t="s">
        <v>464</v>
      </c>
      <c r="J80" s="326" t="s">
        <v>465</v>
      </c>
      <c r="K80" s="326" t="s">
        <v>466</v>
      </c>
      <c r="L80" s="326" t="s">
        <v>467</v>
      </c>
      <c r="M80" s="326" t="s">
        <v>468</v>
      </c>
      <c r="N80" s="326" t="s">
        <v>469</v>
      </c>
      <c r="O80" s="326" t="s">
        <v>470</v>
      </c>
      <c r="P80" s="326" t="s">
        <v>471</v>
      </c>
      <c r="Q80" s="326" t="s">
        <v>472</v>
      </c>
      <c r="R80" s="326" t="s">
        <v>473</v>
      </c>
      <c r="S80" s="327" t="s">
        <v>474</v>
      </c>
      <c r="T80" s="328" t="s">
        <v>36</v>
      </c>
    </row>
    <row r="81" spans="1:20" ht="19.5" thickBot="1">
      <c r="A81" s="1719"/>
      <c r="G81" s="1721"/>
      <c r="H81" s="341">
        <f>H73+H78</f>
        <v>0</v>
      </c>
      <c r="I81" s="341">
        <f t="shared" ref="I81:S81" si="42">I73+I78</f>
        <v>0</v>
      </c>
      <c r="J81" s="341">
        <f t="shared" si="42"/>
        <v>0</v>
      </c>
      <c r="K81" s="341">
        <f t="shared" si="42"/>
        <v>0</v>
      </c>
      <c r="L81" s="341">
        <f t="shared" si="42"/>
        <v>0</v>
      </c>
      <c r="M81" s="341">
        <f t="shared" si="42"/>
        <v>0</v>
      </c>
      <c r="N81" s="341">
        <f t="shared" si="42"/>
        <v>0</v>
      </c>
      <c r="O81" s="341">
        <f t="shared" si="42"/>
        <v>0</v>
      </c>
      <c r="P81" s="341">
        <f t="shared" si="42"/>
        <v>0</v>
      </c>
      <c r="Q81" s="341">
        <f t="shared" si="42"/>
        <v>0</v>
      </c>
      <c r="R81" s="341">
        <f t="shared" si="42"/>
        <v>0</v>
      </c>
      <c r="S81" s="341">
        <f t="shared" si="42"/>
        <v>0</v>
      </c>
      <c r="T81" s="342">
        <f>SUM(H81:S81)</f>
        <v>0</v>
      </c>
    </row>
    <row r="83" spans="1:20" ht="19.5" thickBot="1"/>
    <row r="84" spans="1:20" ht="19.5" thickTop="1">
      <c r="A84" s="1711" t="s">
        <v>154</v>
      </c>
      <c r="B84" s="1712"/>
      <c r="C84" s="1712"/>
      <c r="D84" s="1712"/>
      <c r="E84" s="1712"/>
      <c r="F84" s="1712"/>
      <c r="G84" s="1713"/>
      <c r="H84" s="343" t="s">
        <v>463</v>
      </c>
      <c r="I84" s="344" t="s">
        <v>464</v>
      </c>
      <c r="J84" s="344" t="s">
        <v>465</v>
      </c>
      <c r="K84" s="344" t="s">
        <v>466</v>
      </c>
      <c r="L84" s="344" t="s">
        <v>467</v>
      </c>
      <c r="M84" s="344" t="s">
        <v>468</v>
      </c>
      <c r="N84" s="344" t="s">
        <v>469</v>
      </c>
      <c r="O84" s="344" t="s">
        <v>470</v>
      </c>
      <c r="P84" s="344" t="s">
        <v>471</v>
      </c>
      <c r="Q84" s="344" t="s">
        <v>472</v>
      </c>
      <c r="R84" s="344" t="s">
        <v>473</v>
      </c>
      <c r="S84" s="345" t="s">
        <v>474</v>
      </c>
      <c r="T84" s="346" t="s">
        <v>36</v>
      </c>
    </row>
    <row r="85" spans="1:20" ht="19.5" thickBot="1">
      <c r="A85" s="1714"/>
      <c r="B85" s="1715"/>
      <c r="C85" s="1715"/>
      <c r="D85" s="1715"/>
      <c r="E85" s="1715"/>
      <c r="F85" s="1715"/>
      <c r="G85" s="1716"/>
      <c r="H85" s="347" t="e">
        <f>H53+H59+H65+H81</f>
        <v>#VALUE!</v>
      </c>
      <c r="I85" s="348" t="e">
        <f t="shared" ref="I85:S85" si="43">I53+I59+I65+I81</f>
        <v>#VALUE!</v>
      </c>
      <c r="J85" s="348" t="e">
        <f t="shared" si="43"/>
        <v>#VALUE!</v>
      </c>
      <c r="K85" s="348" t="e">
        <f t="shared" si="43"/>
        <v>#VALUE!</v>
      </c>
      <c r="L85" s="348" t="e">
        <f t="shared" si="43"/>
        <v>#VALUE!</v>
      </c>
      <c r="M85" s="348" t="e">
        <f t="shared" si="43"/>
        <v>#VALUE!</v>
      </c>
      <c r="N85" s="348" t="e">
        <f t="shared" si="43"/>
        <v>#VALUE!</v>
      </c>
      <c r="O85" s="348" t="e">
        <f t="shared" si="43"/>
        <v>#VALUE!</v>
      </c>
      <c r="P85" s="348" t="e">
        <f t="shared" si="43"/>
        <v>#VALUE!</v>
      </c>
      <c r="Q85" s="348" t="e">
        <f t="shared" si="43"/>
        <v>#VALUE!</v>
      </c>
      <c r="R85" s="348" t="e">
        <f t="shared" si="43"/>
        <v>#VALUE!</v>
      </c>
      <c r="S85" s="350" t="e">
        <f t="shared" si="43"/>
        <v>#VALUE!</v>
      </c>
      <c r="T85" s="349" t="e">
        <f>SUM(H85:S85)</f>
        <v>#VALUE!</v>
      </c>
    </row>
    <row r="86" spans="1:20" ht="19.5" thickTop="1"/>
    <row r="90" spans="1:20" ht="24" customHeight="1">
      <c r="A90" s="1702" t="s">
        <v>491</v>
      </c>
      <c r="G90" s="1703" t="s">
        <v>492</v>
      </c>
      <c r="H90" s="285" t="s">
        <v>463</v>
      </c>
      <c r="I90" s="285" t="s">
        <v>464</v>
      </c>
      <c r="J90" s="285" t="s">
        <v>465</v>
      </c>
      <c r="K90" s="285" t="s">
        <v>466</v>
      </c>
      <c r="L90" s="285" t="s">
        <v>467</v>
      </c>
      <c r="M90" s="285" t="s">
        <v>468</v>
      </c>
      <c r="N90" s="285" t="s">
        <v>469</v>
      </c>
      <c r="O90" s="285" t="s">
        <v>470</v>
      </c>
      <c r="P90" s="285" t="s">
        <v>471</v>
      </c>
      <c r="Q90" s="285" t="s">
        <v>472</v>
      </c>
      <c r="R90" s="285" t="s">
        <v>473</v>
      </c>
      <c r="S90" s="285" t="s">
        <v>474</v>
      </c>
    </row>
    <row r="91" spans="1:20">
      <c r="A91" s="1702"/>
      <c r="G91" s="1704"/>
      <c r="H91" s="284">
        <f>'4月'!F24</f>
        <v>0</v>
      </c>
      <c r="I91" s="284">
        <f>'5月'!F24</f>
        <v>0</v>
      </c>
      <c r="J91" s="284">
        <f>'6月'!F24</f>
        <v>0</v>
      </c>
      <c r="K91" s="284">
        <f>'7月'!F24</f>
        <v>0</v>
      </c>
      <c r="L91" s="284">
        <f>'8月'!F24</f>
        <v>0</v>
      </c>
      <c r="M91" s="284">
        <f>'9月'!F24</f>
        <v>0</v>
      </c>
      <c r="N91" s="284">
        <f>'10月'!F24</f>
        <v>0</v>
      </c>
      <c r="O91" s="284">
        <f>'11月'!F24</f>
        <v>0</v>
      </c>
      <c r="P91" s="284">
        <f>'12月'!F24</f>
        <v>0</v>
      </c>
      <c r="Q91" s="284">
        <f>'1月'!F24</f>
        <v>0</v>
      </c>
      <c r="R91" s="284">
        <f>'2月'!F24</f>
        <v>0</v>
      </c>
      <c r="S91" s="284">
        <f>'3月'!F24</f>
        <v>0</v>
      </c>
    </row>
    <row r="92" spans="1:20">
      <c r="A92" s="1702"/>
    </row>
    <row r="93" spans="1:20" ht="19.5" thickBot="1">
      <c r="A93" s="1702"/>
    </row>
    <row r="94" spans="1:20">
      <c r="A94" s="1702"/>
      <c r="G94" s="1705" t="s">
        <v>493</v>
      </c>
      <c r="H94" s="325" t="s">
        <v>463</v>
      </c>
      <c r="I94" s="326" t="s">
        <v>464</v>
      </c>
      <c r="J94" s="326" t="s">
        <v>465</v>
      </c>
      <c r="K94" s="326" t="s">
        <v>466</v>
      </c>
      <c r="L94" s="326" t="s">
        <v>467</v>
      </c>
      <c r="M94" s="326" t="s">
        <v>468</v>
      </c>
      <c r="N94" s="326" t="s">
        <v>469</v>
      </c>
      <c r="O94" s="326" t="s">
        <v>470</v>
      </c>
      <c r="P94" s="326" t="s">
        <v>471</v>
      </c>
      <c r="Q94" s="326" t="s">
        <v>472</v>
      </c>
      <c r="R94" s="326" t="s">
        <v>473</v>
      </c>
      <c r="S94" s="327" t="s">
        <v>474</v>
      </c>
      <c r="T94" s="328" t="s">
        <v>36</v>
      </c>
    </row>
    <row r="95" spans="1:20" ht="19.5" thickBot="1">
      <c r="A95" s="1702"/>
      <c r="G95" s="1706"/>
      <c r="H95" s="329">
        <f t="shared" ref="H95:S95" si="44">H91*H2</f>
        <v>0</v>
      </c>
      <c r="I95" s="330">
        <f t="shared" si="44"/>
        <v>0</v>
      </c>
      <c r="J95" s="330">
        <f t="shared" si="44"/>
        <v>0</v>
      </c>
      <c r="K95" s="330">
        <f t="shared" si="44"/>
        <v>0</v>
      </c>
      <c r="L95" s="330">
        <f t="shared" si="44"/>
        <v>0</v>
      </c>
      <c r="M95" s="330">
        <f t="shared" si="44"/>
        <v>0</v>
      </c>
      <c r="N95" s="330">
        <f t="shared" si="44"/>
        <v>0</v>
      </c>
      <c r="O95" s="330">
        <f t="shared" si="44"/>
        <v>0</v>
      </c>
      <c r="P95" s="330">
        <f t="shared" si="44"/>
        <v>0</v>
      </c>
      <c r="Q95" s="330">
        <f t="shared" si="44"/>
        <v>0</v>
      </c>
      <c r="R95" s="330">
        <f t="shared" si="44"/>
        <v>0</v>
      </c>
      <c r="S95" s="331">
        <f t="shared" si="44"/>
        <v>0</v>
      </c>
      <c r="T95" s="332">
        <f>SUM(H95:S95)</f>
        <v>0</v>
      </c>
    </row>
  </sheetData>
  <sheetProtection algorithmName="SHA-512" hashValue="cp73kBLqg6KRnMQNBiY4GSpix5+WvvYuQ/FUgcILH9CzekTTn+d8Aj7DbEHZuz80buUsA6uekJH3DW+oKSSfXg==" saltValue="4TPkPOARZiMt5Bf8S8k35A==" spinCount="100000" sheet="1" objects="1" scenarios="1"/>
  <mergeCells count="10">
    <mergeCell ref="A90:A95"/>
    <mergeCell ref="G90:G91"/>
    <mergeCell ref="G94:G95"/>
    <mergeCell ref="G1:G2"/>
    <mergeCell ref="A1:A53"/>
    <mergeCell ref="A58:A65"/>
    <mergeCell ref="A84:G85"/>
    <mergeCell ref="G58:G59"/>
    <mergeCell ref="A70:A81"/>
    <mergeCell ref="G80:G81"/>
  </mergeCells>
  <phoneticPr fontId="2"/>
  <printOptions headings="1"/>
  <pageMargins left="0.70866141732283472" right="0.70866141732283472" top="0.74803149606299213" bottom="0.74803149606299213" header="0.31496062992125984" footer="0.31496062992125984"/>
  <pageSetup paperSize="8" scale="56" orientation="portrait" r:id="rId1"/>
  <colBreaks count="1" manualBreakCount="1">
    <brk id="2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2B8E1-9783-44B8-81B6-3FB3E1537852}">
  <dimension ref="A2:I35"/>
  <sheetViews>
    <sheetView zoomScale="85" zoomScaleNormal="85" workbookViewId="0">
      <selection activeCell="L15" sqref="L15"/>
    </sheetView>
  </sheetViews>
  <sheetFormatPr defaultRowHeight="18.75"/>
  <cols>
    <col min="1" max="1" width="14.5" bestFit="1" customWidth="1"/>
    <col min="2" max="6" width="11.25" bestFit="1" customWidth="1"/>
    <col min="7" max="8" width="10.125" bestFit="1" customWidth="1"/>
    <col min="9" max="9" width="11" bestFit="1" customWidth="1"/>
  </cols>
  <sheetData>
    <row r="2" spans="1:9">
      <c r="B2" s="260" t="s">
        <v>425</v>
      </c>
      <c r="C2" s="253" t="e">
        <f>INDEX(B7:I23,MATCH(基本情報!AA4,定員超過減算率!A7:A23,0),MATCH(基本情報!C3,B6:I6,0))</f>
        <v>#N/A</v>
      </c>
    </row>
    <row r="3" spans="1:9">
      <c r="B3" s="260" t="s">
        <v>426</v>
      </c>
      <c r="C3" s="253" t="e">
        <f>INDEX(B7:I23,MATCH(基本情報!AB4,定員超過減算率!A7:A23,0),MATCH(基本情報!C3,B6:I6,0))</f>
        <v>#N/A</v>
      </c>
    </row>
    <row r="4" spans="1:9">
      <c r="B4" s="259"/>
    </row>
    <row r="5" spans="1:9">
      <c r="A5" s="1723" t="s">
        <v>424</v>
      </c>
      <c r="B5" s="1722" t="s">
        <v>200</v>
      </c>
      <c r="C5" s="1722"/>
      <c r="D5" s="1722"/>
      <c r="E5" s="1722"/>
      <c r="F5" s="1722"/>
      <c r="G5" s="1722"/>
      <c r="H5" s="1722"/>
      <c r="I5" s="1722"/>
    </row>
    <row r="6" spans="1:9">
      <c r="A6" s="1724"/>
      <c r="B6" s="253" t="s">
        <v>291</v>
      </c>
      <c r="C6" s="253" t="s">
        <v>318</v>
      </c>
      <c r="D6" s="253" t="s">
        <v>320</v>
      </c>
      <c r="E6" s="253" t="s">
        <v>321</v>
      </c>
      <c r="F6" s="253" t="s">
        <v>322</v>
      </c>
      <c r="G6" s="253" t="s">
        <v>323</v>
      </c>
      <c r="H6" s="253" t="s">
        <v>324</v>
      </c>
      <c r="I6" s="253" t="s">
        <v>325</v>
      </c>
    </row>
    <row r="7" spans="1:9">
      <c r="A7" s="255" t="s">
        <v>328</v>
      </c>
      <c r="B7" s="254">
        <v>21</v>
      </c>
      <c r="C7" s="254">
        <v>21</v>
      </c>
      <c r="D7" s="254">
        <v>21</v>
      </c>
      <c r="E7" s="254">
        <v>21</v>
      </c>
      <c r="F7" s="254">
        <v>21</v>
      </c>
      <c r="G7" s="254">
        <v>21</v>
      </c>
      <c r="H7" s="254">
        <v>21</v>
      </c>
      <c r="I7" s="254">
        <v>21</v>
      </c>
    </row>
    <row r="8" spans="1:9">
      <c r="A8" s="255" t="s">
        <v>329</v>
      </c>
      <c r="B8" s="254">
        <v>13</v>
      </c>
      <c r="C8" s="254">
        <v>13</v>
      </c>
      <c r="D8" s="254">
        <v>13</v>
      </c>
      <c r="E8" s="254">
        <v>13</v>
      </c>
      <c r="F8" s="254">
        <v>13</v>
      </c>
      <c r="G8" s="254">
        <v>13</v>
      </c>
      <c r="H8" s="254">
        <v>13</v>
      </c>
      <c r="I8" s="254">
        <v>13</v>
      </c>
    </row>
    <row r="9" spans="1:9">
      <c r="A9" s="255" t="s">
        <v>330</v>
      </c>
      <c r="B9" s="254">
        <v>4</v>
      </c>
      <c r="C9" s="254">
        <v>4</v>
      </c>
      <c r="D9" s="254">
        <v>4</v>
      </c>
      <c r="E9" s="254">
        <v>4</v>
      </c>
      <c r="F9" s="254">
        <v>4</v>
      </c>
      <c r="G9" s="254">
        <v>4</v>
      </c>
      <c r="H9" s="254">
        <v>4</v>
      </c>
      <c r="I9" s="254">
        <v>4</v>
      </c>
    </row>
    <row r="10" spans="1:9">
      <c r="A10" s="255" t="s">
        <v>331</v>
      </c>
      <c r="B10" s="254">
        <v>8</v>
      </c>
      <c r="C10" s="254">
        <v>8</v>
      </c>
      <c r="D10" s="254">
        <v>8</v>
      </c>
      <c r="E10" s="254">
        <v>8</v>
      </c>
      <c r="F10" s="254">
        <v>8</v>
      </c>
      <c r="G10" s="254">
        <v>8</v>
      </c>
      <c r="H10" s="254">
        <v>8</v>
      </c>
      <c r="I10" s="254">
        <v>8</v>
      </c>
    </row>
    <row r="11" spans="1:9">
      <c r="A11" s="255" t="s">
        <v>302</v>
      </c>
      <c r="B11" s="254">
        <v>10</v>
      </c>
      <c r="C11" s="254">
        <v>10</v>
      </c>
      <c r="D11" s="254">
        <v>10</v>
      </c>
      <c r="E11" s="254">
        <v>10</v>
      </c>
      <c r="F11" s="254">
        <v>10</v>
      </c>
      <c r="G11" s="254">
        <v>10</v>
      </c>
      <c r="H11" s="254">
        <v>10</v>
      </c>
      <c r="I11" s="254">
        <v>10</v>
      </c>
    </row>
    <row r="12" spans="1:9">
      <c r="A12" s="255" t="s">
        <v>304</v>
      </c>
      <c r="B12" s="254">
        <v>8</v>
      </c>
      <c r="C12" s="254">
        <v>8</v>
      </c>
      <c r="D12" s="254">
        <v>8</v>
      </c>
      <c r="E12" s="254">
        <v>8</v>
      </c>
      <c r="F12" s="254">
        <v>8</v>
      </c>
      <c r="G12" s="254">
        <v>8</v>
      </c>
      <c r="H12" s="254">
        <v>8</v>
      </c>
      <c r="I12" s="254">
        <v>8</v>
      </c>
    </row>
    <row r="13" spans="1:9">
      <c r="A13" s="255" t="s">
        <v>305</v>
      </c>
      <c r="B13" s="254">
        <v>11</v>
      </c>
      <c r="C13" s="254">
        <v>11</v>
      </c>
      <c r="D13" s="254">
        <v>11</v>
      </c>
      <c r="E13" s="254">
        <v>11</v>
      </c>
      <c r="F13" s="254">
        <v>11</v>
      </c>
      <c r="G13" s="254">
        <v>11</v>
      </c>
      <c r="H13" s="254">
        <v>11</v>
      </c>
      <c r="I13" s="254">
        <v>11</v>
      </c>
    </row>
    <row r="14" spans="1:9">
      <c r="A14" s="255" t="s">
        <v>306</v>
      </c>
      <c r="B14" s="254">
        <v>9</v>
      </c>
      <c r="C14" s="254">
        <v>9</v>
      </c>
      <c r="D14" s="254">
        <v>9</v>
      </c>
      <c r="E14" s="254">
        <v>9</v>
      </c>
      <c r="F14" s="254">
        <v>9</v>
      </c>
      <c r="G14" s="254">
        <v>9</v>
      </c>
      <c r="H14" s="256">
        <v>10</v>
      </c>
      <c r="I14" s="254">
        <v>9</v>
      </c>
    </row>
    <row r="15" spans="1:9">
      <c r="A15" s="255" t="s">
        <v>307</v>
      </c>
      <c r="B15" s="254">
        <v>4</v>
      </c>
      <c r="C15" s="254">
        <v>4</v>
      </c>
      <c r="D15" s="254">
        <v>4</v>
      </c>
      <c r="E15" s="254">
        <v>4</v>
      </c>
      <c r="F15" s="254">
        <v>4</v>
      </c>
      <c r="G15" s="254">
        <v>4</v>
      </c>
      <c r="H15" s="254">
        <v>4</v>
      </c>
      <c r="I15" s="254">
        <v>4</v>
      </c>
    </row>
    <row r="16" spans="1:9">
      <c r="A16" s="255" t="s">
        <v>309</v>
      </c>
      <c r="B16" s="254">
        <v>5</v>
      </c>
      <c r="C16" s="254">
        <v>5</v>
      </c>
      <c r="D16" s="254">
        <v>5</v>
      </c>
      <c r="E16" s="254">
        <v>5</v>
      </c>
      <c r="F16" s="254">
        <v>5</v>
      </c>
      <c r="G16" s="254">
        <v>5</v>
      </c>
      <c r="H16" s="254">
        <v>5</v>
      </c>
      <c r="I16" s="254">
        <v>5</v>
      </c>
    </row>
    <row r="17" spans="1:9">
      <c r="A17" s="255" t="s">
        <v>310</v>
      </c>
      <c r="B17" s="254">
        <v>5</v>
      </c>
      <c r="C17" s="254">
        <v>5</v>
      </c>
      <c r="D17" s="254">
        <v>5</v>
      </c>
      <c r="E17" s="254">
        <v>5</v>
      </c>
      <c r="F17" s="254">
        <v>5</v>
      </c>
      <c r="G17" s="254">
        <v>5</v>
      </c>
      <c r="H17" s="254">
        <v>5</v>
      </c>
      <c r="I17" s="254">
        <v>5</v>
      </c>
    </row>
    <row r="18" spans="1:9">
      <c r="A18" s="255" t="s">
        <v>311</v>
      </c>
      <c r="B18" s="254">
        <v>3</v>
      </c>
      <c r="C18" s="254">
        <v>3</v>
      </c>
      <c r="D18" s="254">
        <v>3</v>
      </c>
      <c r="E18" s="254">
        <v>3</v>
      </c>
      <c r="F18" s="254">
        <v>3</v>
      </c>
      <c r="G18" s="254">
        <v>3</v>
      </c>
      <c r="H18" s="254">
        <v>3</v>
      </c>
      <c r="I18" s="254">
        <v>3</v>
      </c>
    </row>
    <row r="19" spans="1:9">
      <c r="A19" s="255" t="s">
        <v>312</v>
      </c>
      <c r="B19" s="254">
        <v>2</v>
      </c>
      <c r="C19" s="254">
        <v>2</v>
      </c>
      <c r="D19" s="254">
        <v>2</v>
      </c>
      <c r="E19" s="254">
        <v>2</v>
      </c>
      <c r="F19" s="254">
        <v>2</v>
      </c>
      <c r="G19" s="254">
        <v>2</v>
      </c>
      <c r="H19" s="254">
        <v>2</v>
      </c>
      <c r="I19" s="254">
        <v>2</v>
      </c>
    </row>
    <row r="20" spans="1:9">
      <c r="A20" s="255" t="s">
        <v>313</v>
      </c>
      <c r="B20" s="254">
        <v>2</v>
      </c>
      <c r="C20" s="254">
        <v>2</v>
      </c>
      <c r="D20" s="254">
        <v>2</v>
      </c>
      <c r="E20" s="254">
        <v>2</v>
      </c>
      <c r="F20" s="254">
        <v>2</v>
      </c>
      <c r="G20" s="254">
        <v>2</v>
      </c>
      <c r="H20" s="254">
        <v>2</v>
      </c>
      <c r="I20" s="254">
        <v>2</v>
      </c>
    </row>
    <row r="21" spans="1:9">
      <c r="A21" s="255" t="s">
        <v>314</v>
      </c>
      <c r="B21" s="254">
        <v>2</v>
      </c>
      <c r="C21" s="254">
        <v>2</v>
      </c>
      <c r="D21" s="254">
        <v>2</v>
      </c>
      <c r="E21" s="254">
        <v>2</v>
      </c>
      <c r="F21" s="254">
        <v>2</v>
      </c>
      <c r="G21" s="254">
        <v>2</v>
      </c>
      <c r="H21" s="254">
        <v>2</v>
      </c>
      <c r="I21" s="254">
        <v>2</v>
      </c>
    </row>
    <row r="22" spans="1:9">
      <c r="A22" s="255" t="s">
        <v>315</v>
      </c>
      <c r="B22" s="254">
        <v>1</v>
      </c>
      <c r="C22" s="254">
        <v>1</v>
      </c>
      <c r="D22" s="254">
        <v>1</v>
      </c>
      <c r="E22" s="254">
        <v>1</v>
      </c>
      <c r="F22" s="254">
        <v>1</v>
      </c>
      <c r="G22" s="254">
        <v>1</v>
      </c>
      <c r="H22" s="254">
        <v>1</v>
      </c>
      <c r="I22" s="254">
        <v>1</v>
      </c>
    </row>
    <row r="23" spans="1:9">
      <c r="A23" s="255" t="s">
        <v>316</v>
      </c>
      <c r="B23" s="254">
        <v>1</v>
      </c>
      <c r="C23" s="254">
        <v>1</v>
      </c>
      <c r="D23" s="254">
        <v>1</v>
      </c>
      <c r="E23" s="254">
        <v>1</v>
      </c>
      <c r="F23" s="254">
        <v>1</v>
      </c>
      <c r="G23" s="254">
        <v>1</v>
      </c>
      <c r="H23" s="254">
        <v>1</v>
      </c>
      <c r="I23" s="254">
        <v>1</v>
      </c>
    </row>
    <row r="24" spans="1:9">
      <c r="B24" s="79"/>
    </row>
    <row r="25" spans="1:9">
      <c r="B25" s="79"/>
    </row>
    <row r="26" spans="1:9">
      <c r="B26" s="79"/>
    </row>
    <row r="27" spans="1:9">
      <c r="B27" s="79"/>
    </row>
    <row r="28" spans="1:9">
      <c r="B28" s="79"/>
    </row>
    <row r="29" spans="1:9">
      <c r="B29" s="79"/>
    </row>
    <row r="30" spans="1:9">
      <c r="B30" s="79"/>
    </row>
    <row r="31" spans="1:9">
      <c r="B31" s="79"/>
    </row>
    <row r="32" spans="1:9">
      <c r="B32" s="79"/>
    </row>
    <row r="33" spans="2:2">
      <c r="B33" s="79"/>
    </row>
    <row r="34" spans="2:2">
      <c r="B34" s="79"/>
    </row>
    <row r="35" spans="2:2">
      <c r="B35" s="79"/>
    </row>
  </sheetData>
  <sheetProtection algorithmName="SHA-512" hashValue="GOgD6QaB3HYvFkTmY/u7ZtjOvdLksuobnh6gsipYKBSiKlHdcnCJkcZtuqoabM4gEMIMM+6gWOMzW/TUf/Rtrw==" saltValue="tcznxIZY/ujLxrgEd99X5g==" spinCount="100000" sheet="1" objects="1" scenarios="1"/>
  <mergeCells count="2">
    <mergeCell ref="B5:I5"/>
    <mergeCell ref="A5:A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16</vt:i4>
      </vt:variant>
    </vt:vector>
  </HeadingPairs>
  <TitlesOfParts>
    <vt:vector size="39" baseType="lpstr">
      <vt:lpstr>基本情報</vt:lpstr>
      <vt:lpstr>児童数</vt:lpstr>
      <vt:lpstr>事業費・管理費</vt:lpstr>
      <vt:lpstr>月途中入退所情報</vt:lpstr>
      <vt:lpstr>加算と減算</vt:lpstr>
      <vt:lpstr>単価表</vt:lpstr>
      <vt:lpstr>5月</vt:lpstr>
      <vt:lpstr>6月</vt:lpstr>
      <vt:lpstr>7月</vt:lpstr>
      <vt:lpstr>8月</vt:lpstr>
      <vt:lpstr>9月</vt:lpstr>
      <vt:lpstr>10月</vt:lpstr>
      <vt:lpstr>11月</vt:lpstr>
      <vt:lpstr>12月</vt:lpstr>
      <vt:lpstr>1月</vt:lpstr>
      <vt:lpstr>4月</vt:lpstr>
      <vt:lpstr>2月</vt:lpstr>
      <vt:lpstr>3月</vt:lpstr>
      <vt:lpstr>処遇Ⅱ</vt:lpstr>
      <vt:lpstr>集計</vt:lpstr>
      <vt:lpstr>内訳計算</vt:lpstr>
      <vt:lpstr>処遇Ⅰ計算用</vt:lpstr>
      <vt:lpstr>定員超過減算率</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lpstr>加算と減算!Print_Area</vt:lpstr>
      <vt:lpstr>月途中入退所情報!Print_Area</vt:lpstr>
      <vt:lpstr>処遇Ⅰ計算用!Print_Area</vt:lpstr>
      <vt:lpstr>単価表!Print_Area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kmat161108</dc:creator>
  <cp:lastModifiedBy>青田　晋也（福祉総合評価機構）</cp:lastModifiedBy>
  <cp:lastPrinted>2021-05-07T12:10:07Z</cp:lastPrinted>
  <dcterms:created xsi:type="dcterms:W3CDTF">2020-03-03T11:24:47Z</dcterms:created>
  <dcterms:modified xsi:type="dcterms:W3CDTF">2022-02-28T01:49:35Z</dcterms:modified>
</cp:coreProperties>
</file>